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Mitchell Park\8.0  FINANCING\8.8  TAX CREDIT ALLOCATION COMMITTEE\8.8.2  Application\2022 App Rd 2 (9%)\In progress\"/>
    </mc:Choice>
  </mc:AlternateContent>
  <xr:revisionPtr revIDLastSave="0" documentId="13_ncr:1_{704C3190-06FA-4E7E-B4EE-DAA9BE9E6B8F}" xr6:coauthVersionLast="47" xr6:coauthVersionMax="47" xr10:uidLastSave="{00000000-0000-0000-0000-000000000000}"/>
  <bookViews>
    <workbookView xWindow="-28920" yWindow="-120" windowWidth="29040" windowHeight="1584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50"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23" i="3" l="1"/>
  <c r="L922" i="3"/>
  <c r="E48" i="9"/>
  <c r="AA911" i="3"/>
  <c r="E12" i="10"/>
  <c r="F12" i="10"/>
  <c r="E8" i="10"/>
  <c r="H8" i="10"/>
  <c r="I8" i="10"/>
  <c r="E4" i="10"/>
  <c r="H4" i="10"/>
  <c r="I4" i="10"/>
  <c r="W831" i="3"/>
  <c r="W853" i="3"/>
  <c r="W852" i="3"/>
  <c r="W824" i="3"/>
  <c r="W822" i="3"/>
  <c r="W849" i="3"/>
  <c r="W844" i="3"/>
  <c r="W843" i="3"/>
  <c r="W832" i="3"/>
  <c r="D13" i="4"/>
  <c r="B13" i="4"/>
  <c r="E13" i="4"/>
  <c r="R13" i="4"/>
  <c r="C13" i="4"/>
  <c r="F89" i="18"/>
  <c r="F88" i="18"/>
  <c r="F47" i="18"/>
  <c r="F46" i="18"/>
  <c r="F35" i="18"/>
  <c r="F33" i="18"/>
  <c r="C89" i="18"/>
  <c r="C85" i="18"/>
  <c r="C66" i="18"/>
  <c r="C65" i="18"/>
  <c r="C64" i="18"/>
  <c r="C58" i="18"/>
  <c r="C57" i="18"/>
  <c r="C55" i="18"/>
  <c r="C51" i="18"/>
  <c r="C47" i="18"/>
  <c r="C46" i="18"/>
  <c r="C35" i="18"/>
  <c r="C33" i="18"/>
  <c r="C9" i="18"/>
  <c r="C7" i="18"/>
  <c r="C5" i="18"/>
  <c r="C5" i="9"/>
  <c r="C9" i="9"/>
  <c r="E92" i="25"/>
  <c r="E91" i="25"/>
  <c r="G91" i="25"/>
  <c r="E90" i="25"/>
  <c r="C91" i="25"/>
  <c r="C90" i="25"/>
  <c r="G90" i="25"/>
  <c r="E43" i="25"/>
  <c r="E42" i="25"/>
  <c r="G39" i="25"/>
  <c r="S93" i="4"/>
  <c r="S67" i="4"/>
  <c r="S66" i="4"/>
  <c r="S65" i="4"/>
  <c r="S52" i="4"/>
  <c r="E51" i="18"/>
  <c r="S48" i="4"/>
  <c r="S47" i="4"/>
  <c r="S36" i="4"/>
  <c r="S34" i="4"/>
  <c r="E90" i="4"/>
  <c r="E86" i="4"/>
  <c r="E75" i="4"/>
  <c r="E73" i="4"/>
  <c r="E72" i="4"/>
  <c r="E71" i="4"/>
  <c r="E67" i="4"/>
  <c r="E66" i="4"/>
  <c r="E65" i="4"/>
  <c r="E59" i="4"/>
  <c r="E58" i="4"/>
  <c r="E56" i="4"/>
  <c r="E52" i="4"/>
  <c r="R52" i="4"/>
  <c r="E48" i="4"/>
  <c r="E47" i="4"/>
  <c r="E36" i="4"/>
  <c r="E34" i="4"/>
  <c r="E9" i="4"/>
  <c r="E7" i="4"/>
  <c r="E5" i="4"/>
  <c r="R5" i="4"/>
  <c r="D89" i="4"/>
  <c r="D88" i="4"/>
  <c r="B88" i="4"/>
  <c r="E88" i="4"/>
  <c r="R88" i="4"/>
  <c r="D87" i="4"/>
  <c r="D82" i="4"/>
  <c r="C89" i="4"/>
  <c r="C88" i="4"/>
  <c r="S88" i="4"/>
  <c r="E87" i="18"/>
  <c r="F87" i="18"/>
  <c r="C87" i="4"/>
  <c r="D88" i="15"/>
  <c r="D74" i="4"/>
  <c r="D76" i="4"/>
  <c r="D60" i="4"/>
  <c r="D57" i="4"/>
  <c r="D55" i="4"/>
  <c r="C60" i="4"/>
  <c r="B61" i="15"/>
  <c r="C57" i="4"/>
  <c r="D58" i="15"/>
  <c r="D37" i="4"/>
  <c r="C37" i="4"/>
  <c r="C38" i="15"/>
  <c r="B13" i="18"/>
  <c r="C13" i="18"/>
  <c r="AA910" i="3"/>
  <c r="AA894" i="3"/>
  <c r="O632" i="3"/>
  <c r="AO636" i="3"/>
  <c r="J30" i="4"/>
  <c r="J38" i="4"/>
  <c r="J62" i="4"/>
  <c r="J96" i="4"/>
  <c r="J104" i="4"/>
  <c r="AO635" i="3"/>
  <c r="I107" i="4"/>
  <c r="AO634" i="3"/>
  <c r="H30" i="4"/>
  <c r="H38" i="4"/>
  <c r="H62" i="4"/>
  <c r="H96" i="4"/>
  <c r="H104" i="4"/>
  <c r="AO633" i="3"/>
  <c r="G107" i="4"/>
  <c r="AM564" i="3"/>
  <c r="AM562" i="3"/>
  <c r="AM561" i="3"/>
  <c r="AM563" i="3"/>
  <c r="BA692" i="3"/>
  <c r="AM709" i="3"/>
  <c r="BA691" i="3"/>
  <c r="AM708" i="3"/>
  <c r="BA690" i="3"/>
  <c r="AM707" i="3"/>
  <c r="G731" i="3"/>
  <c r="BG692" i="3"/>
  <c r="BG693" i="3"/>
  <c r="BG691" i="3"/>
  <c r="AG441" i="3"/>
  <c r="AG435" i="3"/>
  <c r="AG436" i="3"/>
  <c r="T25" i="5"/>
  <c r="AI7" i="5"/>
  <c r="U373" i="6"/>
  <c r="AF978" i="3"/>
  <c r="AJ977" i="3"/>
  <c r="U17" i="28"/>
  <c r="R9" i="4"/>
  <c r="R30" i="28"/>
  <c r="AC706" i="3"/>
  <c r="AM706" i="3"/>
  <c r="AC707" i="3"/>
  <c r="AC708" i="3"/>
  <c r="AC709" i="3"/>
  <c r="AC710" i="3"/>
  <c r="AC711" i="3"/>
  <c r="AC712" i="3"/>
  <c r="AC713" i="3"/>
  <c r="AC714" i="3"/>
  <c r="AM714" i="3"/>
  <c r="AC715" i="3"/>
  <c r="AM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28" i="3"/>
  <c r="T612" i="6"/>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c r="BI605" i="3"/>
  <c r="BI606" i="3"/>
  <c r="BI607" i="3"/>
  <c r="BI608" i="3"/>
  <c r="BI609" i="3"/>
  <c r="BI610" i="3"/>
  <c r="BI611" i="3"/>
  <c r="BK611" i="3"/>
  <c r="BI612" i="3"/>
  <c r="BI613" i="3"/>
  <c r="BI614" i="3"/>
  <c r="BI615" i="3"/>
  <c r="BI616" i="3"/>
  <c r="BI617" i="3"/>
  <c r="BI618" i="3"/>
  <c r="BI619" i="3"/>
  <c r="BI620" i="3"/>
  <c r="BI621" i="3"/>
  <c r="BI622" i="3"/>
  <c r="BI623" i="3"/>
  <c r="BI624" i="3"/>
  <c r="BI625" i="3"/>
  <c r="BI626" i="3"/>
  <c r="BI627" i="3"/>
  <c r="BI603" i="3"/>
  <c r="BE604" i="3"/>
  <c r="BE605" i="3"/>
  <c r="BE606" i="3"/>
  <c r="BE607" i="3"/>
  <c r="BG607" i="3"/>
  <c r="BE608" i="3"/>
  <c r="BG608" i="3"/>
  <c r="BE609" i="3"/>
  <c r="BG609" i="3"/>
  <c r="BE610" i="3"/>
  <c r="BG610" i="3"/>
  <c r="BE611" i="3"/>
  <c r="BE612" i="3"/>
  <c r="BE613" i="3"/>
  <c r="BE614" i="3"/>
  <c r="BE615" i="3"/>
  <c r="BE616" i="3"/>
  <c r="BE617" i="3"/>
  <c r="BE618" i="3"/>
  <c r="BE619" i="3"/>
  <c r="BE620" i="3"/>
  <c r="BE621" i="3"/>
  <c r="BE622" i="3"/>
  <c r="BE623" i="3"/>
  <c r="BE624" i="3"/>
  <c r="BE625" i="3"/>
  <c r="BE626" i="3"/>
  <c r="BE627" i="3"/>
  <c r="BE603" i="3"/>
  <c r="K107" i="4"/>
  <c r="L107" i="4"/>
  <c r="M107" i="4"/>
  <c r="N107" i="4"/>
  <c r="O107" i="4"/>
  <c r="P107" i="4"/>
  <c r="Q107" i="4"/>
  <c r="B100" i="15"/>
  <c r="C100" i="15"/>
  <c r="D100" i="15"/>
  <c r="B101" i="15"/>
  <c r="C101" i="15"/>
  <c r="D101" i="15"/>
  <c r="B102" i="15"/>
  <c r="C102" i="15"/>
  <c r="E102" i="15"/>
  <c r="D102" i="15"/>
  <c r="B103" i="15"/>
  <c r="C103" i="15"/>
  <c r="E103" i="15"/>
  <c r="D103" i="15"/>
  <c r="E100" i="15"/>
  <c r="B87" i="15"/>
  <c r="C87" i="15"/>
  <c r="D87" i="15"/>
  <c r="B89" i="15"/>
  <c r="B91" i="15"/>
  <c r="C91" i="15"/>
  <c r="D91" i="15"/>
  <c r="B94" i="15"/>
  <c r="C94" i="15"/>
  <c r="E94" i="15"/>
  <c r="D94" i="15"/>
  <c r="B95" i="15"/>
  <c r="C95" i="15"/>
  <c r="E95" i="15"/>
  <c r="D95" i="15"/>
  <c r="B73" i="15"/>
  <c r="C73" i="15"/>
  <c r="D73" i="15"/>
  <c r="B74" i="15"/>
  <c r="E74" i="15"/>
  <c r="C74" i="15"/>
  <c r="D74" i="15"/>
  <c r="B76" i="15"/>
  <c r="C76" i="15"/>
  <c r="D76" i="15"/>
  <c r="D72" i="15"/>
  <c r="C72" i="15"/>
  <c r="B72" i="15"/>
  <c r="B66" i="15"/>
  <c r="C66" i="15"/>
  <c r="E66" i="15"/>
  <c r="D66" i="15"/>
  <c r="B67" i="15"/>
  <c r="C67" i="15"/>
  <c r="D67" i="15"/>
  <c r="B68" i="15"/>
  <c r="C68" i="15"/>
  <c r="E68" i="15"/>
  <c r="D68" i="15"/>
  <c r="B57" i="15"/>
  <c r="C57" i="15"/>
  <c r="D57" i="15"/>
  <c r="C58" i="15"/>
  <c r="B59" i="15"/>
  <c r="C59" i="15"/>
  <c r="E59" i="15"/>
  <c r="D59" i="15"/>
  <c r="B60" i="15"/>
  <c r="C60" i="15"/>
  <c r="E60" i="15"/>
  <c r="D60" i="15"/>
  <c r="B48" i="15"/>
  <c r="C48" i="15"/>
  <c r="D48" i="15"/>
  <c r="B49" i="15"/>
  <c r="C49" i="15"/>
  <c r="E49" i="15"/>
  <c r="D49" i="15"/>
  <c r="B53" i="15"/>
  <c r="C53" i="15"/>
  <c r="D53" i="15"/>
  <c r="B35" i="15"/>
  <c r="C35" i="15"/>
  <c r="D35" i="15"/>
  <c r="B37" i="15"/>
  <c r="C37" i="15"/>
  <c r="D37"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6" i="15"/>
  <c r="C6" i="15"/>
  <c r="B8" i="15"/>
  <c r="C8" i="15"/>
  <c r="B10" i="15"/>
  <c r="C10"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73" i="15"/>
  <c r="E22" i="15"/>
  <c r="E91" i="15"/>
  <c r="E87" i="15"/>
  <c r="E67" i="15"/>
  <c r="E16" i="15"/>
  <c r="E57" i="15"/>
  <c r="E21" i="15"/>
  <c r="E28" i="15"/>
  <c r="E8" i="15"/>
  <c r="E48" i="15"/>
  <c r="E19" i="15"/>
  <c r="E72" i="15"/>
  <c r="E6" i="15"/>
  <c r="E23" i="15"/>
  <c r="E35" i="15"/>
  <c r="E15" i="15"/>
  <c r="E10" i="15"/>
  <c r="E37" i="15"/>
  <c r="AJ998" i="3"/>
  <c r="AJ993" i="3"/>
  <c r="AJ989" i="3"/>
  <c r="BN604" i="3"/>
  <c r="BN605" i="3"/>
  <c r="BN603" i="3"/>
  <c r="BN627" i="3"/>
  <c r="BN652" i="3"/>
  <c r="AB947" i="3"/>
  <c r="BS604" i="3"/>
  <c r="BS605" i="3"/>
  <c r="BS603" i="3"/>
  <c r="BX604" i="3"/>
  <c r="BX605" i="3"/>
  <c r="BX603" i="3"/>
  <c r="CC604" i="3"/>
  <c r="CC605" i="3"/>
  <c r="CC603" i="3"/>
  <c r="CM604" i="3"/>
  <c r="CM605" i="3"/>
  <c r="CM603" i="3"/>
  <c r="CM627" i="3"/>
  <c r="CH604" i="3"/>
  <c r="CH627" i="3"/>
  <c r="CH605" i="3"/>
  <c r="CH603" i="3"/>
  <c r="AF983" i="3"/>
  <c r="AJ970" i="3"/>
  <c r="AJ968" i="3"/>
  <c r="AJ964" i="3"/>
  <c r="AJ958" i="3"/>
  <c r="O776" i="3"/>
  <c r="AC775" i="3"/>
  <c r="AC774" i="3"/>
  <c r="AC773" i="3"/>
  <c r="AC772" i="3"/>
  <c r="AC771" i="3"/>
  <c r="AC770" i="3"/>
  <c r="AC769" i="3"/>
  <c r="AC768" i="3"/>
  <c r="AC767" i="3"/>
  <c r="AC766" i="3"/>
  <c r="O756" i="3"/>
  <c r="AC755" i="3"/>
  <c r="AC754" i="3"/>
  <c r="AC753" i="3"/>
  <c r="AC752" i="3"/>
  <c r="AC756"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76" i="3"/>
  <c r="H64" i="18"/>
  <c r="H65" i="18"/>
  <c r="H66" i="18"/>
  <c r="E65" i="18"/>
  <c r="E66" i="18"/>
  <c r="B64" i="18"/>
  <c r="B65" i="18"/>
  <c r="B66" i="18"/>
  <c r="B101" i="4"/>
  <c r="R101" i="4"/>
  <c r="R67" i="4"/>
  <c r="R66"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G494" i="6"/>
  <c r="AG492" i="6"/>
  <c r="AG505" i="6"/>
  <c r="AG503" i="6"/>
  <c r="AG499" i="6"/>
  <c r="AG530" i="6"/>
  <c r="AD66" i="5"/>
  <c r="Y66" i="5"/>
  <c r="AI22" i="5"/>
  <c r="AD20" i="5"/>
  <c r="AD22" i="5"/>
  <c r="BA945" i="3"/>
  <c r="BA946" i="3"/>
  <c r="BA947" i="3"/>
  <c r="BA948" i="3"/>
  <c r="BA949" i="3"/>
  <c r="BA950" i="3"/>
  <c r="BA951" i="3"/>
  <c r="BA952" i="3"/>
  <c r="BA953" i="3"/>
  <c r="G92" i="25"/>
  <c r="G93" i="25"/>
  <c r="G94" i="25"/>
  <c r="G95" i="25"/>
  <c r="G96" i="25"/>
  <c r="G97" i="25"/>
  <c r="Q91" i="25"/>
  <c r="Q93" i="25"/>
  <c r="B15" i="4"/>
  <c r="Q48" i="25"/>
  <c r="D26" i="4"/>
  <c r="D103" i="4"/>
  <c r="C26" i="4"/>
  <c r="C65" i="25"/>
  <c r="C66" i="25"/>
  <c r="G67" i="25"/>
  <c r="Y20" i="5"/>
  <c r="Y22" i="5"/>
  <c r="AI20" i="5"/>
  <c r="S26" i="4"/>
  <c r="F25" i="18"/>
  <c r="T20" i="5"/>
  <c r="T26" i="4"/>
  <c r="T38" i="4"/>
  <c r="T42" i="4"/>
  <c r="T53" i="4"/>
  <c r="T11" i="4"/>
  <c r="T69" i="4"/>
  <c r="H68" i="18"/>
  <c r="T80" i="4"/>
  <c r="H79" i="18"/>
  <c r="T95" i="4"/>
  <c r="T103" i="4"/>
  <c r="I11" i="18"/>
  <c r="I25" i="18"/>
  <c r="I37" i="18"/>
  <c r="I41" i="18"/>
  <c r="I52" i="18"/>
  <c r="I68" i="18"/>
  <c r="I79" i="18"/>
  <c r="I94" i="18"/>
  <c r="I102" i="18"/>
  <c r="U61" i="25"/>
  <c r="U69" i="25"/>
  <c r="U63" i="25"/>
  <c r="U65" i="25"/>
  <c r="U67" i="25"/>
  <c r="AG434" i="3"/>
  <c r="AG437" i="3"/>
  <c r="BN602" i="3"/>
  <c r="BN606" i="3"/>
  <c r="BN607" i="3"/>
  <c r="BN608" i="3"/>
  <c r="BN609" i="3"/>
  <c r="BN610" i="3"/>
  <c r="BN611" i="3"/>
  <c r="BN612" i="3"/>
  <c r="BN613" i="3"/>
  <c r="BN614" i="3"/>
  <c r="BN615" i="3"/>
  <c r="BN616" i="3"/>
  <c r="BN617" i="3"/>
  <c r="BN618" i="3"/>
  <c r="BN619" i="3"/>
  <c r="BN620" i="3"/>
  <c r="BN621" i="3"/>
  <c r="BN622" i="3"/>
  <c r="BN623" i="3"/>
  <c r="BN624" i="3"/>
  <c r="BN625" i="3"/>
  <c r="BN626" i="3"/>
  <c r="BS602" i="3"/>
  <c r="BS627" i="3"/>
  <c r="BS606" i="3"/>
  <c r="BS607" i="3"/>
  <c r="BS608" i="3"/>
  <c r="BS609" i="3"/>
  <c r="BS610" i="3"/>
  <c r="BS611" i="3"/>
  <c r="BS612" i="3"/>
  <c r="BS613" i="3"/>
  <c r="BS614" i="3"/>
  <c r="BS615" i="3"/>
  <c r="BS616" i="3"/>
  <c r="BS617" i="3"/>
  <c r="BS618" i="3"/>
  <c r="BS619" i="3"/>
  <c r="BS620" i="3"/>
  <c r="BS621" i="3"/>
  <c r="BS622" i="3"/>
  <c r="BS623" i="3"/>
  <c r="BS624" i="3"/>
  <c r="BS625" i="3"/>
  <c r="BS626" i="3"/>
  <c r="BX602" i="3"/>
  <c r="BX627" i="3"/>
  <c r="BX606" i="3"/>
  <c r="BX607" i="3"/>
  <c r="BX608" i="3"/>
  <c r="BX609" i="3"/>
  <c r="BX610" i="3"/>
  <c r="BX611" i="3"/>
  <c r="BX612" i="3"/>
  <c r="BX613" i="3"/>
  <c r="BX614" i="3"/>
  <c r="BX615" i="3"/>
  <c r="BX616" i="3"/>
  <c r="BX617" i="3"/>
  <c r="BX618" i="3"/>
  <c r="BX619" i="3"/>
  <c r="BX620" i="3"/>
  <c r="BX621" i="3"/>
  <c r="BX622" i="3"/>
  <c r="BX623" i="3"/>
  <c r="BX624" i="3"/>
  <c r="BX625" i="3"/>
  <c r="BX626" i="3"/>
  <c r="CC602" i="3"/>
  <c r="CC606" i="3"/>
  <c r="CC607" i="3"/>
  <c r="CC608" i="3"/>
  <c r="CC609" i="3"/>
  <c r="CC610" i="3"/>
  <c r="CC611" i="3"/>
  <c r="CC612" i="3"/>
  <c r="CC613" i="3"/>
  <c r="CC614" i="3"/>
  <c r="CC615" i="3"/>
  <c r="CC616" i="3"/>
  <c r="CC617" i="3"/>
  <c r="CC618" i="3"/>
  <c r="CC619" i="3"/>
  <c r="CC620" i="3"/>
  <c r="CC621" i="3"/>
  <c r="CC622" i="3"/>
  <c r="CC623" i="3"/>
  <c r="CC624" i="3"/>
  <c r="CC625" i="3"/>
  <c r="CC626" i="3"/>
  <c r="CH602" i="3"/>
  <c r="CH606" i="3"/>
  <c r="CH607" i="3"/>
  <c r="CH608" i="3"/>
  <c r="CH609" i="3"/>
  <c r="CH610" i="3"/>
  <c r="CH611" i="3"/>
  <c r="CH612" i="3"/>
  <c r="CH613" i="3"/>
  <c r="CH614" i="3"/>
  <c r="CH615" i="3"/>
  <c r="CH616" i="3"/>
  <c r="CH617" i="3"/>
  <c r="CH618" i="3"/>
  <c r="CH619" i="3"/>
  <c r="CH620" i="3"/>
  <c r="CH621" i="3"/>
  <c r="CH622" i="3"/>
  <c r="CH623" i="3"/>
  <c r="CH624" i="3"/>
  <c r="CH625" i="3"/>
  <c r="CH626" i="3"/>
  <c r="CM602"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11" i="4"/>
  <c r="I26" i="4"/>
  <c r="I42" i="4"/>
  <c r="I53" i="4"/>
  <c r="I61" i="4"/>
  <c r="I80" i="4"/>
  <c r="I69" i="4"/>
  <c r="I76" i="4"/>
  <c r="I95" i="4"/>
  <c r="J80" i="4"/>
  <c r="J8" i="4"/>
  <c r="J11" i="4"/>
  <c r="J26"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5" i="4"/>
  <c r="F80" i="4"/>
  <c r="G80" i="4"/>
  <c r="H80" i="4"/>
  <c r="G76" i="4"/>
  <c r="F76" i="4"/>
  <c r="H78" i="18"/>
  <c r="AG443" i="3"/>
  <c r="B102" i="4"/>
  <c r="B25" i="18"/>
  <c r="G25" i="18"/>
  <c r="G37" i="18"/>
  <c r="G41" i="18"/>
  <c r="G52" i="18"/>
  <c r="G68" i="18"/>
  <c r="G94" i="18"/>
  <c r="G102" i="18"/>
  <c r="H6" i="10"/>
  <c r="I6" i="10"/>
  <c r="H7" i="10"/>
  <c r="I7" i="10"/>
  <c r="H10" i="10"/>
  <c r="I10" i="10"/>
  <c r="H11" i="10"/>
  <c r="I11"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A6" i="10"/>
  <c r="B6" i="10"/>
  <c r="F6" i="10"/>
  <c r="A7" i="10"/>
  <c r="B7" i="10"/>
  <c r="F7" i="10"/>
  <c r="A8" i="10"/>
  <c r="B8" i="10"/>
  <c r="A9" i="10"/>
  <c r="B9" i="10"/>
  <c r="A10" i="10"/>
  <c r="B10" i="10"/>
  <c r="F10" i="10"/>
  <c r="A11" i="10"/>
  <c r="B11" i="10"/>
  <c r="F11" i="10"/>
  <c r="A12" i="10"/>
  <c r="B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A4" i="10"/>
  <c r="AJ283" i="6"/>
  <c r="A101" i="18"/>
  <c r="A92" i="18"/>
  <c r="A93" i="18"/>
  <c r="A91" i="18"/>
  <c r="A74" i="18"/>
  <c r="A67" i="18"/>
  <c r="A59" i="18"/>
  <c r="A51" i="18"/>
  <c r="A36" i="18"/>
  <c r="A24" i="18"/>
  <c r="AB47" i="27"/>
  <c r="W579" i="6"/>
  <c r="AD67" i="5"/>
  <c r="B5" i="18"/>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47" i="18"/>
  <c r="E46" i="18"/>
  <c r="E33" i="18"/>
  <c r="E26" i="18"/>
  <c r="E24" i="18"/>
  <c r="E23" i="18"/>
  <c r="E22" i="18"/>
  <c r="E21" i="18"/>
  <c r="E20" i="18"/>
  <c r="E19" i="18"/>
  <c r="E18" i="18"/>
  <c r="E17" i="18"/>
  <c r="E14" i="18"/>
  <c r="E15" i="18"/>
  <c r="E13" i="18"/>
  <c r="B101" i="18"/>
  <c r="B100" i="18"/>
  <c r="B99" i="18"/>
  <c r="B98" i="18"/>
  <c r="B93" i="18"/>
  <c r="B92" i="18"/>
  <c r="B89" i="18"/>
  <c r="B87" i="18"/>
  <c r="C87" i="18"/>
  <c r="B85" i="18"/>
  <c r="B74" i="18"/>
  <c r="B72" i="18"/>
  <c r="B71" i="18"/>
  <c r="B70" i="18"/>
  <c r="B58" i="18"/>
  <c r="B57" i="18"/>
  <c r="B56" i="18"/>
  <c r="C56" i="18"/>
  <c r="B55" i="18"/>
  <c r="B51" i="18"/>
  <c r="B47" i="18"/>
  <c r="B46" i="18"/>
  <c r="B33" i="18"/>
  <c r="B26" i="18"/>
  <c r="B24" i="18"/>
  <c r="B23" i="18"/>
  <c r="B22" i="18"/>
  <c r="B21" i="18"/>
  <c r="B20" i="18"/>
  <c r="B19" i="18"/>
  <c r="B18" i="18"/>
  <c r="B17" i="18"/>
  <c r="D102" i="18"/>
  <c r="D94" i="18"/>
  <c r="D75" i="18"/>
  <c r="D68" i="18"/>
  <c r="D60" i="18"/>
  <c r="D52" i="18"/>
  <c r="D41" i="18"/>
  <c r="D37" i="18"/>
  <c r="D25" i="18"/>
  <c r="C25" i="18"/>
  <c r="D11" i="18"/>
  <c r="D8" i="18"/>
  <c r="AG519" i="6"/>
  <c r="AO653" i="6"/>
  <c r="AO652" i="6"/>
  <c r="AO651" i="6"/>
  <c r="AO650" i="6"/>
  <c r="AO649" i="6"/>
  <c r="AO648" i="6"/>
  <c r="AJ273" i="6"/>
  <c r="AJ258" i="6"/>
  <c r="AJ246" i="6"/>
  <c r="AJ232" i="6"/>
  <c r="AJ220" i="6"/>
  <c r="AJ208" i="6"/>
  <c r="AJ189" i="6"/>
  <c r="AJ144" i="6"/>
  <c r="AJ129" i="6"/>
  <c r="AK73" i="6"/>
  <c r="AJ47" i="6"/>
  <c r="T683" i="6"/>
  <c r="AJ31" i="6"/>
  <c r="T682" i="6"/>
  <c r="AG526" i="6"/>
  <c r="AG522" i="6"/>
  <c r="AG515" i="6"/>
  <c r="AG510" i="6"/>
  <c r="AG487" i="6"/>
  <c r="R94" i="4"/>
  <c r="R86" i="4"/>
  <c r="R90" i="4"/>
  <c r="R93" i="4"/>
  <c r="R59" i="4"/>
  <c r="R58" i="4"/>
  <c r="R56" i="4"/>
  <c r="R48" i="4"/>
  <c r="R47" i="4"/>
  <c r="R34" i="4"/>
  <c r="R27" i="4"/>
  <c r="R25" i="4"/>
  <c r="R23" i="4"/>
  <c r="R22" i="4"/>
  <c r="R21" i="4"/>
  <c r="R20" i="4"/>
  <c r="R19" i="4"/>
  <c r="R18" i="4"/>
  <c r="R17" i="4"/>
  <c r="R15" i="4"/>
  <c r="R14" i="4"/>
  <c r="R7" i="4"/>
  <c r="D6" i="15"/>
  <c r="D8" i="15"/>
  <c r="D10" i="15"/>
  <c r="D15" i="15"/>
  <c r="D16" i="15"/>
  <c r="D18" i="15"/>
  <c r="H25" i="18"/>
  <c r="H37" i="18"/>
  <c r="H52" i="18"/>
  <c r="H94" i="18"/>
  <c r="H102" i="18"/>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7" i="4"/>
  <c r="F8" i="4"/>
  <c r="G8" i="4"/>
  <c r="H8" i="4"/>
  <c r="H11" i="4"/>
  <c r="L12" i="4"/>
  <c r="B9" i="4"/>
  <c r="F11" i="4"/>
  <c r="G11" i="4"/>
  <c r="O12" i="4"/>
  <c r="B14" i="4"/>
  <c r="B17" i="4"/>
  <c r="B18" i="4"/>
  <c r="B19" i="4"/>
  <c r="B20" i="4"/>
  <c r="B21" i="4"/>
  <c r="B22" i="4"/>
  <c r="B23" i="4"/>
  <c r="B25" i="4"/>
  <c r="E26" i="4"/>
  <c r="F26" i="4"/>
  <c r="G26" i="4"/>
  <c r="H26" i="4"/>
  <c r="M103" i="4"/>
  <c r="Q103" i="4"/>
  <c r="B27" i="4"/>
  <c r="B34" i="4"/>
  <c r="O103" i="4"/>
  <c r="F42" i="4"/>
  <c r="G42" i="4"/>
  <c r="H42" i="4"/>
  <c r="B47" i="4"/>
  <c r="B48" i="4"/>
  <c r="B52" i="4"/>
  <c r="F53" i="4"/>
  <c r="F61" i="4"/>
  <c r="F95" i="4"/>
  <c r="F69" i="4"/>
  <c r="F103" i="4"/>
  <c r="G53" i="4"/>
  <c r="H53" i="4"/>
  <c r="B56" i="4"/>
  <c r="B58" i="4"/>
  <c r="B59" i="4"/>
  <c r="G61" i="4"/>
  <c r="H61" i="4"/>
  <c r="G69" i="4"/>
  <c r="H69" i="4"/>
  <c r="B71" i="4"/>
  <c r="B72" i="4"/>
  <c r="B73" i="4"/>
  <c r="B75" i="4"/>
  <c r="H76" i="4"/>
  <c r="B86" i="4"/>
  <c r="B90" i="4"/>
  <c r="B93"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G605" i="3"/>
  <c r="BK605" i="3"/>
  <c r="BG606" i="3"/>
  <c r="BK606" i="3"/>
  <c r="G606" i="3"/>
  <c r="Z606" i="3"/>
  <c r="BK607" i="3"/>
  <c r="BK608" i="3"/>
  <c r="BK609" i="3"/>
  <c r="BK610" i="3"/>
  <c r="BG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G694" i="3"/>
  <c r="BG695" i="3"/>
  <c r="BG696" i="3"/>
  <c r="BG697" i="3"/>
  <c r="BG698" i="3"/>
  <c r="BG699" i="3"/>
  <c r="BG700" i="3"/>
  <c r="BG701" i="3"/>
  <c r="BG702" i="3"/>
  <c r="BG703" i="3"/>
  <c r="BG704" i="3"/>
  <c r="BG705" i="3"/>
  <c r="BG706" i="3"/>
  <c r="BG707" i="3"/>
  <c r="BG708" i="3"/>
  <c r="BG709" i="3"/>
  <c r="BG710" i="3"/>
  <c r="BG711" i="3"/>
  <c r="BG712" i="3"/>
  <c r="BG713" i="3"/>
  <c r="BG714"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E14" i="9"/>
  <c r="G14" i="9"/>
  <c r="B26" i="4"/>
  <c r="G12" i="4"/>
  <c r="F12" i="4"/>
  <c r="B27" i="15"/>
  <c r="D27" i="15"/>
  <c r="C27" i="15"/>
  <c r="T62" i="4"/>
  <c r="T96" i="4"/>
  <c r="E50" i="25"/>
  <c r="AM718" i="3"/>
  <c r="AM717" i="3"/>
  <c r="AM716" i="3"/>
  <c r="AM710" i="3"/>
  <c r="AM713" i="3"/>
  <c r="AM712" i="3"/>
  <c r="AM711" i="3"/>
  <c r="R951" i="3"/>
  <c r="R948" i="3"/>
  <c r="R947" i="3"/>
  <c r="AG438" i="3"/>
  <c r="T27" i="27"/>
  <c r="AB47" i="26"/>
  <c r="I61" i="18"/>
  <c r="I95" i="18"/>
  <c r="I103" i="18"/>
  <c r="I105" i="18"/>
  <c r="J61" i="18"/>
  <c r="J95" i="18"/>
  <c r="J103" i="18"/>
  <c r="J105" i="18"/>
  <c r="K12" i="4"/>
  <c r="J12" i="4"/>
  <c r="M62" i="4"/>
  <c r="M96" i="4"/>
  <c r="M104" i="4"/>
  <c r="O62" i="4"/>
  <c r="O96" i="4"/>
  <c r="O104" i="4"/>
  <c r="N62" i="4"/>
  <c r="N96" i="4"/>
  <c r="N104" i="4"/>
  <c r="R26" i="4"/>
  <c r="L62" i="4"/>
  <c r="L96" i="4"/>
  <c r="L104" i="4"/>
  <c r="H12" i="4"/>
  <c r="H11" i="18"/>
  <c r="Q62" i="4"/>
  <c r="Q96" i="4"/>
  <c r="Q104" i="4"/>
  <c r="K62" i="4"/>
  <c r="K96" i="4"/>
  <c r="K104" i="4"/>
  <c r="H61" i="18"/>
  <c r="M12" i="4"/>
  <c r="D12" i="18"/>
  <c r="P62" i="4"/>
  <c r="P96" i="4"/>
  <c r="P104" i="4"/>
  <c r="G61" i="18"/>
  <c r="G95" i="18"/>
  <c r="G103" i="18"/>
  <c r="G105" i="18"/>
  <c r="D61" i="18"/>
  <c r="D95" i="18"/>
  <c r="D103" i="18"/>
  <c r="AO654" i="6"/>
  <c r="AK671" i="6"/>
  <c r="T693" i="6"/>
  <c r="AF693" i="6"/>
  <c r="AK542" i="6"/>
  <c r="AP370" i="6"/>
  <c r="AQ370" i="6"/>
  <c r="Q588" i="6"/>
  <c r="W588" i="6"/>
  <c r="AC588" i="6"/>
  <c r="O27" i="9"/>
  <c r="U27" i="9"/>
  <c r="W27" i="9"/>
  <c r="Y27" i="9"/>
  <c r="I27" i="9"/>
  <c r="Q27" i="9"/>
  <c r="S27" i="9"/>
  <c r="AA27" i="9"/>
  <c r="AG27" i="9"/>
  <c r="AE27" i="9"/>
  <c r="K27" i="9"/>
  <c r="G27" i="9"/>
  <c r="CC634" i="3"/>
  <c r="BS634" i="3"/>
  <c r="CM646" i="3"/>
  <c r="BS646" i="3"/>
  <c r="BW647" i="3"/>
  <c r="CM634" i="3"/>
  <c r="AC861" i="3"/>
  <c r="AC863" i="3"/>
  <c r="BX634" i="3"/>
  <c r="BN634" i="3"/>
  <c r="CH646" i="3"/>
  <c r="CL647" i="3"/>
  <c r="BN646" i="3"/>
  <c r="CC646" i="3"/>
  <c r="CG647" i="3"/>
  <c r="AC862" i="3"/>
  <c r="BX646" i="3"/>
  <c r="CB647" i="3"/>
  <c r="CH634" i="3"/>
  <c r="AY932" i="3"/>
  <c r="AY924" i="3"/>
  <c r="AY928" i="3"/>
  <c r="AY930" i="3"/>
  <c r="B1011" i="3"/>
  <c r="Q591" i="6"/>
  <c r="W591" i="6"/>
  <c r="Q586" i="6"/>
  <c r="W586" i="6"/>
  <c r="AC586" i="6"/>
  <c r="AC27" i="9"/>
  <c r="Q585" i="6"/>
  <c r="W585" i="6"/>
  <c r="AC585" i="6"/>
  <c r="Q584" i="6"/>
  <c r="W584" i="6"/>
  <c r="AC584" i="6"/>
  <c r="AC592" i="6"/>
  <c r="BD526" i="6"/>
  <c r="Q583" i="6"/>
  <c r="W583" i="6"/>
  <c r="AC583" i="6"/>
  <c r="G18" i="9"/>
  <c r="I18" i="9"/>
  <c r="K18" i="9"/>
  <c r="M18" i="9"/>
  <c r="O18" i="9"/>
  <c r="Q18" i="9"/>
  <c r="S18" i="9"/>
  <c r="U18" i="9"/>
  <c r="W18" i="9"/>
  <c r="Y18" i="9"/>
  <c r="AA18" i="9"/>
  <c r="AC18" i="9"/>
  <c r="AE18" i="9"/>
  <c r="AG18" i="9"/>
  <c r="AD63" i="5"/>
  <c r="T7" i="5"/>
  <c r="Y7" i="5"/>
  <c r="E27" i="15"/>
  <c r="CS634" i="3"/>
  <c r="BR647" i="3"/>
  <c r="CQ648" i="3"/>
  <c r="CQ647" i="3"/>
  <c r="B1013" i="3"/>
  <c r="T24" i="27"/>
  <c r="T24" i="26"/>
  <c r="AD7" i="5"/>
  <c r="G28" i="9"/>
  <c r="Y28" i="9"/>
  <c r="AA28" i="9"/>
  <c r="E21" i="9"/>
  <c r="Q589" i="6"/>
  <c r="W589" i="6"/>
  <c r="AC589" i="6"/>
  <c r="O28" i="9"/>
  <c r="U28" i="9"/>
  <c r="Q28" i="9"/>
  <c r="Q587" i="6"/>
  <c r="W587" i="6"/>
  <c r="AC587" i="6"/>
  <c r="S28" i="9"/>
  <c r="AK66" i="6"/>
  <c r="AK285" i="6"/>
  <c r="T686" i="6"/>
  <c r="AO679" i="6"/>
  <c r="E34" i="9"/>
  <c r="W28" i="9"/>
  <c r="I28" i="9"/>
  <c r="K28" i="9"/>
  <c r="M28" i="9"/>
  <c r="AC28" i="9"/>
  <c r="G8" i="9"/>
  <c r="T27" i="5"/>
  <c r="AI27" i="5"/>
  <c r="AP383" i="6"/>
  <c r="AQ383" i="6"/>
  <c r="AS359" i="6"/>
  <c r="AK476" i="6"/>
  <c r="T687" i="6"/>
  <c r="AO680" i="6"/>
  <c r="AS357" i="6"/>
  <c r="AI27" i="26"/>
  <c r="Y27" i="27"/>
  <c r="Y27" i="26"/>
  <c r="Y27" i="5"/>
  <c r="T27" i="26"/>
  <c r="AD27" i="5"/>
  <c r="AD27" i="27"/>
  <c r="AI27" i="27"/>
  <c r="AD27" i="26"/>
  <c r="C67" i="25"/>
  <c r="DR628" i="3"/>
  <c r="T607" i="6"/>
  <c r="AZ573" i="6"/>
  <c r="T731" i="3"/>
  <c r="C30" i="10"/>
  <c r="BG746" i="3"/>
  <c r="DM628" i="3"/>
  <c r="T608" i="6"/>
  <c r="DC628" i="3"/>
  <c r="T610" i="6"/>
  <c r="BU530" i="6"/>
  <c r="BU533" i="6"/>
  <c r="L27" i="28"/>
  <c r="V27" i="28"/>
  <c r="L26" i="28"/>
  <c r="V26" i="28"/>
  <c r="CX628" i="3"/>
  <c r="T611" i="6"/>
  <c r="T684" i="6"/>
  <c r="AF684" i="6"/>
  <c r="T681" i="6"/>
  <c r="AF681" i="6"/>
  <c r="AZ260" i="3"/>
  <c r="BO245" i="3"/>
  <c r="T269" i="3"/>
  <c r="R949" i="3"/>
  <c r="AO678" i="6"/>
  <c r="T685" i="6"/>
  <c r="AF685" i="6"/>
  <c r="I8" i="9"/>
  <c r="CC532" i="6"/>
  <c r="CC533" i="6"/>
  <c r="Y778" i="3"/>
  <c r="BH725" i="3"/>
  <c r="BI725" i="3"/>
  <c r="BR628" i="3"/>
  <c r="O612" i="6"/>
  <c r="AU578" i="6"/>
  <c r="Y779" i="3"/>
  <c r="K8" i="9"/>
  <c r="E4" i="9"/>
  <c r="M8" i="9"/>
  <c r="O8" i="9"/>
  <c r="Q8" i="9"/>
  <c r="S8" i="9"/>
  <c r="U8" i="9"/>
  <c r="W8" i="9"/>
  <c r="Y8" i="9"/>
  <c r="AA8" i="9"/>
  <c r="AC8" i="9"/>
  <c r="AE8" i="9"/>
  <c r="AG8" i="9"/>
  <c r="B60" i="4"/>
  <c r="E60" i="4"/>
  <c r="R60" i="4"/>
  <c r="D14" i="15"/>
  <c r="F4" i="10"/>
  <c r="C14" i="15"/>
  <c r="E5" i="10"/>
  <c r="H5" i="10"/>
  <c r="I5" i="10"/>
  <c r="B59" i="18"/>
  <c r="C59" i="18"/>
  <c r="B88" i="18"/>
  <c r="C88" i="18"/>
  <c r="B14" i="15"/>
  <c r="D61" i="15"/>
  <c r="C90" i="15"/>
  <c r="C61" i="15"/>
  <c r="H12" i="10"/>
  <c r="I12" i="10"/>
  <c r="T690" i="6"/>
  <c r="AK618" i="6"/>
  <c r="E64" i="18"/>
  <c r="R65" i="4"/>
  <c r="G21" i="9"/>
  <c r="G34" i="9"/>
  <c r="I14" i="9"/>
  <c r="BK628" i="3"/>
  <c r="DH628" i="3"/>
  <c r="T609" i="6"/>
  <c r="AZ575" i="6"/>
  <c r="BH692" i="3"/>
  <c r="BI692" i="3"/>
  <c r="BM528" i="6"/>
  <c r="BM533" i="6"/>
  <c r="BK567" i="6"/>
  <c r="AZ574" i="6"/>
  <c r="AP535" i="6"/>
  <c r="AX585" i="6"/>
  <c r="AX590" i="6"/>
  <c r="AX591" i="6"/>
  <c r="Y608" i="6"/>
  <c r="BG715" i="3"/>
  <c r="AZ577" i="6"/>
  <c r="Y611" i="6"/>
  <c r="AP538" i="6"/>
  <c r="BJ588" i="6"/>
  <c r="BJ590" i="6"/>
  <c r="BY531" i="6"/>
  <c r="BY533" i="6"/>
  <c r="BH734" i="3"/>
  <c r="BI734" i="3"/>
  <c r="BH723" i="3"/>
  <c r="BI723" i="3"/>
  <c r="BH735" i="3"/>
  <c r="BI735" i="3"/>
  <c r="BH726" i="3"/>
  <c r="BI726" i="3"/>
  <c r="BH738" i="3"/>
  <c r="BI738" i="3"/>
  <c r="BH737" i="3"/>
  <c r="BI737" i="3"/>
  <c r="BH736" i="3"/>
  <c r="BI736" i="3"/>
  <c r="BH745" i="3"/>
  <c r="BI745" i="3"/>
  <c r="BH730" i="3"/>
  <c r="BI730" i="3"/>
  <c r="BH721" i="3"/>
  <c r="BH741" i="3"/>
  <c r="BI741" i="3"/>
  <c r="BH742" i="3"/>
  <c r="BI742" i="3"/>
  <c r="BH731" i="3"/>
  <c r="BI731" i="3"/>
  <c r="BH743" i="3"/>
  <c r="BI743" i="3"/>
  <c r="BH729" i="3"/>
  <c r="BI729" i="3"/>
  <c r="BH728" i="3"/>
  <c r="BI728" i="3"/>
  <c r="BH732" i="3"/>
  <c r="BI732" i="3"/>
  <c r="BH739" i="3"/>
  <c r="BI739" i="3"/>
  <c r="BH724" i="3"/>
  <c r="BI724" i="3"/>
  <c r="BH740" i="3"/>
  <c r="BI740" i="3"/>
  <c r="BS652" i="3"/>
  <c r="AB948" i="3"/>
  <c r="AJ948" i="3"/>
  <c r="BW628" i="3"/>
  <c r="O611" i="6"/>
  <c r="AU577" i="6"/>
  <c r="O608" i="6"/>
  <c r="CH652" i="3"/>
  <c r="L30" i="28"/>
  <c r="V30" i="28"/>
  <c r="BG628" i="3"/>
  <c r="CQ628" i="3"/>
  <c r="CM652" i="3"/>
  <c r="O607" i="6"/>
  <c r="BH744" i="3"/>
  <c r="BI744" i="3"/>
  <c r="Y607" i="6"/>
  <c r="BE573" i="6"/>
  <c r="AP583" i="6"/>
  <c r="BJ573" i="6"/>
  <c r="BJ579" i="6"/>
  <c r="BX652" i="3"/>
  <c r="AB949" i="3"/>
  <c r="AJ949" i="3"/>
  <c r="O610" i="6"/>
  <c r="AU576" i="6"/>
  <c r="L28" i="28"/>
  <c r="V28" i="28"/>
  <c r="CB628" i="3"/>
  <c r="BH691" i="3"/>
  <c r="BI691" i="3"/>
  <c r="BH733" i="3"/>
  <c r="BI733" i="3"/>
  <c r="Y612" i="6"/>
  <c r="AZ578" i="6"/>
  <c r="Y609" i="6"/>
  <c r="AJ947" i="3"/>
  <c r="BH722" i="3"/>
  <c r="BI722" i="3"/>
  <c r="CL628" i="3"/>
  <c r="CC627" i="3"/>
  <c r="BH727" i="3"/>
  <c r="BI727" i="3"/>
  <c r="Y610" i="6"/>
  <c r="AZ576" i="6"/>
  <c r="G4" i="9"/>
  <c r="AP537" i="6"/>
  <c r="BL587" i="6"/>
  <c r="BH690" i="3"/>
  <c r="AO683" i="6"/>
  <c r="AF689" i="6"/>
  <c r="AF695" i="6"/>
  <c r="T689" i="6"/>
  <c r="K14" i="9"/>
  <c r="I21" i="9"/>
  <c r="I34" i="9"/>
  <c r="AP536" i="6"/>
  <c r="BH586" i="6"/>
  <c r="AP539" i="6"/>
  <c r="BN589" i="6"/>
  <c r="BN590" i="6"/>
  <c r="BH585" i="6"/>
  <c r="BH590" i="6"/>
  <c r="T613" i="6"/>
  <c r="BQ529" i="6"/>
  <c r="BQ533" i="6"/>
  <c r="AP550" i="6"/>
  <c r="I4" i="9"/>
  <c r="L29" i="28"/>
  <c r="CG628" i="3"/>
  <c r="CQ629" i="3"/>
  <c r="O609" i="6"/>
  <c r="AU575" i="6"/>
  <c r="CC652" i="3"/>
  <c r="AB950" i="3"/>
  <c r="AJ950" i="3"/>
  <c r="BQ534" i="6"/>
  <c r="BB586" i="6"/>
  <c r="BB590" i="6"/>
  <c r="BP586" i="6"/>
  <c r="AU536" i="6"/>
  <c r="BS529" i="6"/>
  <c r="BS533" i="6"/>
  <c r="BE575" i="6"/>
  <c r="AP585" i="6"/>
  <c r="CH549" i="6"/>
  <c r="CH550" i="6"/>
  <c r="AU537" i="6"/>
  <c r="BE576" i="6"/>
  <c r="AP586" i="6"/>
  <c r="BW530" i="6"/>
  <c r="BW533" i="6"/>
  <c r="BU534" i="6"/>
  <c r="CH548" i="6"/>
  <c r="BO528" i="6"/>
  <c r="BO533" i="6"/>
  <c r="BM534" i="6"/>
  <c r="AU535" i="6"/>
  <c r="BE574" i="6"/>
  <c r="BL585" i="6"/>
  <c r="BD585" i="6"/>
  <c r="BD590" i="6"/>
  <c r="BI690" i="3"/>
  <c r="BH746" i="3"/>
  <c r="BI721" i="3"/>
  <c r="BI746" i="3"/>
  <c r="AM731" i="3"/>
  <c r="BP585" i="6"/>
  <c r="BF587" i="6"/>
  <c r="BF590" i="6"/>
  <c r="BP587" i="6"/>
  <c r="AU539" i="6"/>
  <c r="CE532" i="6"/>
  <c r="CE533" i="6"/>
  <c r="CC534" i="6"/>
  <c r="BE578" i="6"/>
  <c r="AP588" i="6"/>
  <c r="CH552" i="6"/>
  <c r="AU573" i="6"/>
  <c r="O613" i="6"/>
  <c r="CH551" i="6"/>
  <c r="AU538" i="6"/>
  <c r="BE577" i="6"/>
  <c r="AP587" i="6"/>
  <c r="CA531" i="6"/>
  <c r="CA533" i="6"/>
  <c r="BY534" i="6"/>
  <c r="AB951" i="3"/>
  <c r="AJ951" i="3"/>
  <c r="AJ953" i="3"/>
  <c r="AU574" i="6"/>
  <c r="AY543" i="6"/>
  <c r="AS544" i="6"/>
  <c r="BF567" i="6"/>
  <c r="BK570" i="6"/>
  <c r="AU548" i="6"/>
  <c r="AX548" i="6"/>
  <c r="BP588" i="6"/>
  <c r="BH694" i="3"/>
  <c r="BI694" i="3"/>
  <c r="BH698" i="3"/>
  <c r="BI698" i="3"/>
  <c r="BH702" i="3"/>
  <c r="BI702" i="3"/>
  <c r="BH706" i="3"/>
  <c r="BI706" i="3"/>
  <c r="BH710" i="3"/>
  <c r="BI710" i="3"/>
  <c r="BH714" i="3"/>
  <c r="BI714" i="3"/>
  <c r="BH695" i="3"/>
  <c r="BI695" i="3"/>
  <c r="BH699" i="3"/>
  <c r="BI699" i="3"/>
  <c r="BH703" i="3"/>
  <c r="BI703" i="3"/>
  <c r="BH707" i="3"/>
  <c r="BI707" i="3"/>
  <c r="BH711" i="3"/>
  <c r="BI711" i="3"/>
  <c r="BH693" i="3"/>
  <c r="BI693" i="3"/>
  <c r="BH697" i="3"/>
  <c r="BI697" i="3"/>
  <c r="BH701" i="3"/>
  <c r="BI701" i="3"/>
  <c r="BH705" i="3"/>
  <c r="BI705" i="3"/>
  <c r="BH709" i="3"/>
  <c r="BI709" i="3"/>
  <c r="BH713" i="3"/>
  <c r="BI713" i="3"/>
  <c r="BH708" i="3"/>
  <c r="BI708" i="3"/>
  <c r="BH712" i="3"/>
  <c r="BI712" i="3"/>
  <c r="BH704" i="3"/>
  <c r="BI704" i="3"/>
  <c r="BH696" i="3"/>
  <c r="BI696" i="3"/>
  <c r="BH700" i="3"/>
  <c r="BI700" i="3"/>
  <c r="M14" i="9"/>
  <c r="K21" i="9"/>
  <c r="K34" i="9"/>
  <c r="BL586" i="6"/>
  <c r="BL590" i="6"/>
  <c r="BJ591" i="6"/>
  <c r="P414" i="3"/>
  <c r="CQ650" i="3"/>
  <c r="U372" i="6"/>
  <c r="O734" i="3"/>
  <c r="BY535" i="6"/>
  <c r="BY537" i="6"/>
  <c r="BY536" i="6"/>
  <c r="AJ973" i="3"/>
  <c r="AJ986" i="3"/>
  <c r="AJ955" i="3"/>
  <c r="CC537" i="6"/>
  <c r="CC538" i="6"/>
  <c r="CC535" i="6"/>
  <c r="AB952" i="3"/>
  <c r="AP584" i="6"/>
  <c r="BO574" i="6"/>
  <c r="V29" i="28"/>
  <c r="V31" i="28"/>
  <c r="L31" i="28"/>
  <c r="BH715" i="3"/>
  <c r="BB591" i="6"/>
  <c r="BI715" i="3"/>
  <c r="AH731" i="3"/>
  <c r="AU551" i="6"/>
  <c r="BF591" i="6"/>
  <c r="BE547" i="6"/>
  <c r="BE552" i="6"/>
  <c r="K4" i="9"/>
  <c r="BI548" i="6"/>
  <c r="BI552" i="6"/>
  <c r="BQ535" i="6"/>
  <c r="BQ539" i="6"/>
  <c r="BP590" i="6"/>
  <c r="BN591" i="6"/>
  <c r="BU536" i="6"/>
  <c r="BU535" i="6"/>
  <c r="O14" i="9"/>
  <c r="M21" i="9"/>
  <c r="M34" i="9"/>
  <c r="BU539" i="6"/>
  <c r="M4" i="9"/>
  <c r="K5" i="9"/>
  <c r="BM549" i="6"/>
  <c r="BY539" i="6"/>
  <c r="BJ592" i="6"/>
  <c r="AV556" i="6"/>
  <c r="BO579" i="6"/>
  <c r="BT575" i="6"/>
  <c r="CC536" i="6"/>
  <c r="CC539" i="6"/>
  <c r="Q14" i="9"/>
  <c r="O21" i="9"/>
  <c r="O34" i="9"/>
  <c r="CG539" i="6"/>
  <c r="BM552" i="6"/>
  <c r="BQ550" i="6"/>
  <c r="O4" i="9"/>
  <c r="BT579" i="6"/>
  <c r="BY576" i="6"/>
  <c r="S14" i="9"/>
  <c r="Q21" i="9"/>
  <c r="Q34" i="9"/>
  <c r="BY579" i="6"/>
  <c r="CI578" i="6"/>
  <c r="CI579" i="6"/>
  <c r="CD577" i="6"/>
  <c r="CD579" i="6"/>
  <c r="BQ552" i="6"/>
  <c r="BU551" i="6"/>
  <c r="BU552" i="6"/>
  <c r="CC552" i="6"/>
  <c r="Q4" i="9"/>
  <c r="S21" i="9"/>
  <c r="S34" i="9"/>
  <c r="U14" i="9"/>
  <c r="CN579" i="6"/>
  <c r="BD560" i="6"/>
  <c r="S4" i="9"/>
  <c r="U21" i="9"/>
  <c r="U34" i="9"/>
  <c r="W14" i="9"/>
  <c r="AW564" i="6"/>
  <c r="AT562" i="6"/>
  <c r="U4" i="9"/>
  <c r="W21" i="9"/>
  <c r="W34" i="9"/>
  <c r="Y14" i="9"/>
  <c r="U5" i="9"/>
  <c r="W4" i="9"/>
  <c r="AA14" i="9"/>
  <c r="Y21" i="9"/>
  <c r="Y34" i="9"/>
  <c r="Y4" i="9"/>
  <c r="W5" i="9"/>
  <c r="AC14" i="9"/>
  <c r="AA21" i="9"/>
  <c r="AA34" i="9"/>
  <c r="AA4" i="9"/>
  <c r="AE14" i="9"/>
  <c r="AC21" i="9"/>
  <c r="AC34" i="9"/>
  <c r="AC4" i="9"/>
  <c r="AG14" i="9"/>
  <c r="AG21" i="9"/>
  <c r="AG34" i="9"/>
  <c r="AE21" i="9"/>
  <c r="AE34" i="9"/>
  <c r="AE4" i="9"/>
  <c r="AE5" i="9"/>
  <c r="AG4" i="9"/>
  <c r="C64" i="4"/>
  <c r="C4" i="4"/>
  <c r="D4" i="4"/>
  <c r="C85" i="4"/>
  <c r="C86" i="15"/>
  <c r="C31" i="4"/>
  <c r="B30" i="18"/>
  <c r="C30" i="18"/>
  <c r="D31" i="4"/>
  <c r="B31" i="4"/>
  <c r="E31" i="4"/>
  <c r="R31" i="4"/>
  <c r="C10" i="4"/>
  <c r="C11" i="15"/>
  <c r="C12" i="15"/>
  <c r="C68" i="4"/>
  <c r="C29" i="4"/>
  <c r="B28" i="18"/>
  <c r="C28" i="18"/>
  <c r="S29" i="4"/>
  <c r="D64" i="4"/>
  <c r="D68" i="4"/>
  <c r="C78" i="4"/>
  <c r="C79" i="15"/>
  <c r="D78" i="4"/>
  <c r="D85" i="4"/>
  <c r="C35" i="4"/>
  <c r="C43" i="4"/>
  <c r="B42" i="18"/>
  <c r="C42" i="18"/>
  <c r="D10" i="4"/>
  <c r="D11" i="4"/>
  <c r="C83" i="4"/>
  <c r="C84" i="15"/>
  <c r="C91" i="4"/>
  <c r="C92" i="15"/>
  <c r="C84" i="4"/>
  <c r="B83" i="18"/>
  <c r="C83" i="18"/>
  <c r="C6" i="4"/>
  <c r="B6" i="18"/>
  <c r="C6" i="18"/>
  <c r="D6" i="4"/>
  <c r="C50" i="4"/>
  <c r="S50" i="4"/>
  <c r="E49" i="18"/>
  <c r="F49" i="18"/>
  <c r="C51" i="4"/>
  <c r="C49" i="4"/>
  <c r="B48" i="18"/>
  <c r="C48" i="18"/>
  <c r="D51" i="4"/>
  <c r="D91" i="4"/>
  <c r="D43" i="4"/>
  <c r="D50" i="4"/>
  <c r="D83" i="4"/>
  <c r="D35" i="4"/>
  <c r="D30" i="15"/>
  <c r="D33" i="4"/>
  <c r="D32" i="4"/>
  <c r="D92" i="15"/>
  <c r="S91" i="4"/>
  <c r="E90" i="18"/>
  <c r="F90" i="18"/>
  <c r="C30" i="4"/>
  <c r="B5" i="15"/>
  <c r="B85" i="15"/>
  <c r="D84" i="4"/>
  <c r="D30" i="4"/>
  <c r="S83" i="4"/>
  <c r="E82" i="18"/>
  <c r="F82" i="18"/>
  <c r="C40" i="4"/>
  <c r="S40" i="4"/>
  <c r="E39" i="18"/>
  <c r="F39" i="18"/>
  <c r="C41" i="4"/>
  <c r="B42" i="15"/>
  <c r="D41" i="4"/>
  <c r="D40" i="4"/>
  <c r="B40" i="4"/>
  <c r="E40" i="4"/>
  <c r="C52" i="15"/>
  <c r="C65" i="15"/>
  <c r="B64" i="4"/>
  <c r="E64" i="4"/>
  <c r="S64" i="4"/>
  <c r="E63" i="18"/>
  <c r="F63" i="18"/>
  <c r="B63" i="18"/>
  <c r="C63" i="18"/>
  <c r="S85" i="4"/>
  <c r="E84" i="18"/>
  <c r="F84" i="18"/>
  <c r="C33" i="4"/>
  <c r="D34" i="15"/>
  <c r="C32" i="4"/>
  <c r="B33" i="15"/>
  <c r="D49" i="4"/>
  <c r="B51" i="15"/>
  <c r="D44" i="15"/>
  <c r="B44" i="15"/>
  <c r="C44" i="15"/>
  <c r="E44" i="15"/>
  <c r="S43" i="4"/>
  <c r="E42" i="18"/>
  <c r="F42" i="18"/>
  <c r="S78" i="4"/>
  <c r="B40" i="18"/>
  <c r="C40" i="18"/>
  <c r="S41" i="4"/>
  <c r="E40" i="18"/>
  <c r="F40" i="18"/>
  <c r="D42" i="15"/>
  <c r="D41" i="15"/>
  <c r="B39" i="18"/>
  <c r="C39" i="18"/>
  <c r="B41" i="15"/>
  <c r="C41" i="15"/>
  <c r="C42" i="4"/>
  <c r="B43" i="15"/>
  <c r="C92" i="4"/>
  <c r="S92" i="4"/>
  <c r="E91" i="18"/>
  <c r="F91" i="18"/>
  <c r="D92" i="4"/>
  <c r="B29" i="18"/>
  <c r="C29" i="18"/>
  <c r="C34" i="15"/>
  <c r="B34" i="15"/>
  <c r="S33" i="4"/>
  <c r="E32" i="18"/>
  <c r="F32" i="18"/>
  <c r="B32" i="18"/>
  <c r="C32" i="18"/>
  <c r="B33" i="4"/>
  <c r="E33" i="4"/>
  <c r="R33" i="4"/>
  <c r="D29" i="4"/>
  <c r="B91" i="18"/>
  <c r="C91" i="18"/>
  <c r="B92" i="4"/>
  <c r="E92" i="4"/>
  <c r="R92" i="4"/>
  <c r="I57" i="9"/>
  <c r="K54" i="9"/>
  <c r="B36" i="18"/>
  <c r="C36" i="18"/>
  <c r="S37" i="4"/>
  <c r="E36" i="18"/>
  <c r="F36" i="18"/>
  <c r="B87" i="4"/>
  <c r="E87" i="4"/>
  <c r="R87" i="4"/>
  <c r="G30" i="4"/>
  <c r="G38" i="4"/>
  <c r="G62" i="4"/>
  <c r="G96" i="4"/>
  <c r="G104" i="4"/>
  <c r="B11" i="15"/>
  <c r="B12" i="15"/>
  <c r="E12" i="15"/>
  <c r="D7" i="15"/>
  <c r="B90" i="18"/>
  <c r="C90" i="18"/>
  <c r="AC5" i="9"/>
  <c r="AA5" i="9"/>
  <c r="I5" i="9"/>
  <c r="E41" i="15"/>
  <c r="C7" i="15"/>
  <c r="O5" i="9"/>
  <c r="M5" i="9"/>
  <c r="D33" i="15"/>
  <c r="D86" i="15"/>
  <c r="B41" i="4"/>
  <c r="E41" i="4"/>
  <c r="R41" i="4"/>
  <c r="S5" i="9"/>
  <c r="Q5" i="9"/>
  <c r="E5" i="9"/>
  <c r="B7" i="15"/>
  <c r="E7" i="15"/>
  <c r="B86" i="15"/>
  <c r="G5" i="9"/>
  <c r="S32" i="4"/>
  <c r="E31" i="18"/>
  <c r="F31" i="18"/>
  <c r="B84" i="18"/>
  <c r="C84" i="18"/>
  <c r="F41" i="18"/>
  <c r="B91" i="4"/>
  <c r="E91" i="4"/>
  <c r="R91" i="4"/>
  <c r="B35" i="4"/>
  <c r="E35" i="4"/>
  <c r="R35" i="4"/>
  <c r="C69" i="4"/>
  <c r="C70" i="15"/>
  <c r="AG5" i="9"/>
  <c r="Y5" i="9"/>
  <c r="B32" i="4"/>
  <c r="E32" i="4"/>
  <c r="R32" i="4"/>
  <c r="C42" i="15"/>
  <c r="E42" i="15"/>
  <c r="B92" i="15"/>
  <c r="C33" i="15"/>
  <c r="E33" i="15"/>
  <c r="B68" i="4"/>
  <c r="E68" i="4"/>
  <c r="R68" i="4"/>
  <c r="D11" i="15"/>
  <c r="D12" i="15"/>
  <c r="S10" i="4"/>
  <c r="B58" i="15"/>
  <c r="C41" i="18"/>
  <c r="C69" i="15"/>
  <c r="B67" i="18"/>
  <c r="C67" i="18"/>
  <c r="C68" i="18"/>
  <c r="B36" i="15"/>
  <c r="B43" i="4"/>
  <c r="E43" i="4"/>
  <c r="R43" i="4"/>
  <c r="B34" i="18"/>
  <c r="C34" i="18"/>
  <c r="C37" i="18"/>
  <c r="E86" i="15"/>
  <c r="S35" i="4"/>
  <c r="E34" i="18"/>
  <c r="F34" i="18"/>
  <c r="B49" i="18"/>
  <c r="C49" i="18"/>
  <c r="D38" i="4"/>
  <c r="D79" i="15"/>
  <c r="C8" i="4"/>
  <c r="B29" i="4"/>
  <c r="E29" i="4"/>
  <c r="R29" i="4"/>
  <c r="B93" i="15"/>
  <c r="B31" i="18"/>
  <c r="C31" i="18"/>
  <c r="D69" i="4"/>
  <c r="D89" i="15"/>
  <c r="B57" i="4"/>
  <c r="E57" i="4"/>
  <c r="R57" i="4"/>
  <c r="G52" i="25"/>
  <c r="D32" i="15"/>
  <c r="B79" i="15"/>
  <c r="E79" i="15"/>
  <c r="C32" i="15"/>
  <c r="F8" i="10"/>
  <c r="B89" i="4"/>
  <c r="E89" i="4"/>
  <c r="R89" i="4"/>
  <c r="D93" i="15"/>
  <c r="B78" i="4"/>
  <c r="E78" i="4"/>
  <c r="R78" i="4"/>
  <c r="B32" i="15"/>
  <c r="E92" i="15"/>
  <c r="E9" i="10"/>
  <c r="F9" i="10"/>
  <c r="C93" i="15"/>
  <c r="E34" i="15"/>
  <c r="B84" i="4"/>
  <c r="E84" i="4"/>
  <c r="R84" i="4"/>
  <c r="B77" i="18"/>
  <c r="C77" i="18"/>
  <c r="S84" i="4"/>
  <c r="S95" i="4"/>
  <c r="E94" i="18"/>
  <c r="S31" i="4"/>
  <c r="E30" i="18"/>
  <c r="F30" i="18"/>
  <c r="D95" i="4"/>
  <c r="B6" i="4"/>
  <c r="E6" i="4"/>
  <c r="R6" i="4"/>
  <c r="B85" i="4"/>
  <c r="E85" i="4"/>
  <c r="R85" i="4"/>
  <c r="H107" i="4"/>
  <c r="C85" i="15"/>
  <c r="E85" i="15"/>
  <c r="E58" i="15"/>
  <c r="G98" i="25"/>
  <c r="D100" i="25"/>
  <c r="D102" i="25"/>
  <c r="D104" i="25"/>
  <c r="D110" i="25"/>
  <c r="G38" i="25"/>
  <c r="H95" i="18"/>
  <c r="T104" i="4"/>
  <c r="M9" i="9"/>
  <c r="U9" i="9"/>
  <c r="AC9" i="9"/>
  <c r="E9" i="9"/>
  <c r="I9" i="9"/>
  <c r="O9" i="9"/>
  <c r="W9" i="9"/>
  <c r="AG9" i="9"/>
  <c r="Y9" i="9"/>
  <c r="AE9" i="9"/>
  <c r="Q9" i="9"/>
  <c r="G9" i="9"/>
  <c r="K9" i="9"/>
  <c r="S9" i="9"/>
  <c r="AA9" i="9"/>
  <c r="B84" i="15"/>
  <c r="E84" i="15"/>
  <c r="C88" i="15"/>
  <c r="B88" i="15"/>
  <c r="B10" i="18"/>
  <c r="C10" i="18"/>
  <c r="C11" i="18"/>
  <c r="B86" i="18"/>
  <c r="C86" i="18"/>
  <c r="E14" i="15"/>
  <c r="C11" i="4"/>
  <c r="B11" i="18"/>
  <c r="B83" i="4"/>
  <c r="E83" i="4"/>
  <c r="R83" i="4"/>
  <c r="F5" i="10"/>
  <c r="D8" i="4"/>
  <c r="S42" i="4"/>
  <c r="E41" i="18"/>
  <c r="E10" i="18"/>
  <c r="F10" i="18"/>
  <c r="B82" i="18"/>
  <c r="C82" i="18"/>
  <c r="D84" i="15"/>
  <c r="B51" i="4"/>
  <c r="E51" i="4"/>
  <c r="R51" i="4"/>
  <c r="R64" i="4"/>
  <c r="R69" i="4"/>
  <c r="E61" i="15"/>
  <c r="D42" i="4"/>
  <c r="B42" i="4"/>
  <c r="S49" i="4"/>
  <c r="E48" i="18"/>
  <c r="F48" i="18"/>
  <c r="D50" i="15"/>
  <c r="B50" i="15"/>
  <c r="C50" i="15"/>
  <c r="B49" i="4"/>
  <c r="E49" i="4"/>
  <c r="R49" i="4"/>
  <c r="R40" i="4"/>
  <c r="R42" i="4"/>
  <c r="B50" i="18"/>
  <c r="C50" i="18"/>
  <c r="S51" i="4"/>
  <c r="E50" i="18"/>
  <c r="F50" i="18"/>
  <c r="D52" i="15"/>
  <c r="B52" i="15"/>
  <c r="E52" i="15"/>
  <c r="E28" i="18"/>
  <c r="F28" i="18"/>
  <c r="C5" i="15"/>
  <c r="B4" i="18"/>
  <c r="C4" i="18"/>
  <c r="C8" i="18"/>
  <c r="B4" i="4"/>
  <c r="D61" i="4"/>
  <c r="D5" i="15"/>
  <c r="D9" i="15"/>
  <c r="C43" i="15"/>
  <c r="E43" i="15"/>
  <c r="B41" i="18"/>
  <c r="D43" i="15"/>
  <c r="E77" i="18"/>
  <c r="F77" i="18"/>
  <c r="B31" i="15"/>
  <c r="S30" i="4"/>
  <c r="E29" i="18"/>
  <c r="F29" i="18"/>
  <c r="C38" i="4"/>
  <c r="C31" i="15"/>
  <c r="D31" i="15"/>
  <c r="B30" i="4"/>
  <c r="D51" i="15"/>
  <c r="B50" i="4"/>
  <c r="E50" i="4"/>
  <c r="R50" i="4"/>
  <c r="C51" i="15"/>
  <c r="E51" i="15"/>
  <c r="B30" i="15"/>
  <c r="C30" i="15"/>
  <c r="D65" i="15"/>
  <c r="B65" i="15"/>
  <c r="E65" i="15"/>
  <c r="C36" i="15"/>
  <c r="D36" i="15"/>
  <c r="S68" i="4"/>
  <c r="E67" i="18"/>
  <c r="F67" i="18"/>
  <c r="F68" i="18"/>
  <c r="B69" i="15"/>
  <c r="D69" i="15"/>
  <c r="B38" i="15"/>
  <c r="E38" i="15"/>
  <c r="D38" i="15"/>
  <c r="B37" i="4"/>
  <c r="E37" i="4"/>
  <c r="R37" i="4"/>
  <c r="B10" i="4"/>
  <c r="E10" i="4"/>
  <c r="D85" i="15"/>
  <c r="D90" i="15"/>
  <c r="J107" i="4"/>
  <c r="B90" i="15"/>
  <c r="E90" i="15"/>
  <c r="C89" i="15"/>
  <c r="E89" i="15"/>
  <c r="K57" i="9"/>
  <c r="M54" i="9"/>
  <c r="H9" i="10"/>
  <c r="I9" i="10"/>
  <c r="I30" i="10"/>
  <c r="Z787" i="3"/>
  <c r="Z796" i="3"/>
  <c r="E11" i="15"/>
  <c r="E69" i="15"/>
  <c r="E42" i="4"/>
  <c r="D70" i="15"/>
  <c r="B8" i="4"/>
  <c r="E32" i="15"/>
  <c r="G53" i="25"/>
  <c r="B70" i="15"/>
  <c r="E70" i="15"/>
  <c r="C12" i="4"/>
  <c r="B12" i="18"/>
  <c r="D13" i="15"/>
  <c r="B9" i="15"/>
  <c r="B11" i="4"/>
  <c r="B69" i="4"/>
  <c r="B68" i="18"/>
  <c r="B12" i="4"/>
  <c r="B8" i="18"/>
  <c r="E36" i="15"/>
  <c r="D12" i="4"/>
  <c r="F37" i="18"/>
  <c r="E69" i="4"/>
  <c r="S38" i="4"/>
  <c r="E37" i="18"/>
  <c r="E50" i="15"/>
  <c r="AF984" i="3"/>
  <c r="AJ982" i="3"/>
  <c r="AJ1002" i="3"/>
  <c r="T24" i="5"/>
  <c r="E83" i="18"/>
  <c r="F83" i="18"/>
  <c r="F94" i="18"/>
  <c r="F30" i="10"/>
  <c r="E93" i="15"/>
  <c r="B13" i="15"/>
  <c r="H103" i="18"/>
  <c r="T106" i="4"/>
  <c r="H105" i="18"/>
  <c r="E88" i="15"/>
  <c r="E31" i="15"/>
  <c r="E30" i="15"/>
  <c r="C39" i="15"/>
  <c r="B37" i="18"/>
  <c r="B39" i="15"/>
  <c r="B38" i="4"/>
  <c r="D39" i="15"/>
  <c r="I4" i="4"/>
  <c r="I8" i="4"/>
  <c r="E11" i="4"/>
  <c r="R10" i="4"/>
  <c r="R11" i="4"/>
  <c r="S69" i="4"/>
  <c r="E68" i="18"/>
  <c r="C12" i="18"/>
  <c r="C9" i="15"/>
  <c r="E5" i="15"/>
  <c r="O54" i="9"/>
  <c r="M57" i="9"/>
  <c r="E6" i="9"/>
  <c r="G6" i="9"/>
  <c r="AO632" i="3"/>
  <c r="AF632" i="3"/>
  <c r="E39" i="9"/>
  <c r="AI11" i="27"/>
  <c r="AI23" i="27"/>
  <c r="AI26" i="27"/>
  <c r="AI28" i="27"/>
  <c r="AD63" i="27"/>
  <c r="AI11" i="26"/>
  <c r="AD11" i="27"/>
  <c r="AD23" i="27"/>
  <c r="AD26" i="27"/>
  <c r="AD28" i="27"/>
  <c r="AD11" i="5"/>
  <c r="AD23" i="5"/>
  <c r="AD26" i="5"/>
  <c r="AD28" i="5"/>
  <c r="AD11" i="26"/>
  <c r="AD23" i="26"/>
  <c r="AD26" i="26"/>
  <c r="AD28" i="26"/>
  <c r="AI11" i="5"/>
  <c r="AI23" i="5"/>
  <c r="AI26" i="5"/>
  <c r="AI28" i="5"/>
  <c r="I12" i="4"/>
  <c r="I62" i="4"/>
  <c r="I96" i="4"/>
  <c r="I104" i="4"/>
  <c r="E4" i="4"/>
  <c r="E39" i="15"/>
  <c r="E9" i="15"/>
  <c r="C13" i="15"/>
  <c r="E13" i="15"/>
  <c r="Q54" i="9"/>
  <c r="O57" i="9"/>
  <c r="E7" i="9"/>
  <c r="E10" i="9"/>
  <c r="E36" i="9"/>
  <c r="U39" i="9"/>
  <c r="U42" i="9"/>
  <c r="O39" i="9"/>
  <c r="O42" i="9"/>
  <c r="AG39" i="9"/>
  <c r="AG42" i="9"/>
  <c r="AE39" i="9"/>
  <c r="AE42" i="9"/>
  <c r="AC39" i="9"/>
  <c r="AC42" i="9"/>
  <c r="M39" i="9"/>
  <c r="M42" i="9"/>
  <c r="I39" i="9"/>
  <c r="I42" i="9"/>
  <c r="W39" i="9"/>
  <c r="W42" i="9"/>
  <c r="E42" i="9"/>
  <c r="E44" i="9"/>
  <c r="K39" i="9"/>
  <c r="K42" i="9"/>
  <c r="G39" i="9"/>
  <c r="G42" i="9"/>
  <c r="Y39" i="9"/>
  <c r="Y42" i="9"/>
  <c r="AA39" i="9"/>
  <c r="AA42" i="9"/>
  <c r="S39" i="9"/>
  <c r="S42" i="9"/>
  <c r="Q39" i="9"/>
  <c r="Q42" i="9"/>
  <c r="F30" i="4"/>
  <c r="AO644" i="3"/>
  <c r="AB47" i="5"/>
  <c r="F107" i="4"/>
  <c r="G7" i="9"/>
  <c r="G10" i="9"/>
  <c r="G36" i="9"/>
  <c r="I6" i="9"/>
  <c r="R4" i="4"/>
  <c r="R8" i="4"/>
  <c r="E8" i="4"/>
  <c r="S54" i="9"/>
  <c r="Q57" i="9"/>
  <c r="F38" i="4"/>
  <c r="F62" i="4"/>
  <c r="F96" i="4"/>
  <c r="F104" i="4"/>
  <c r="E30" i="4"/>
  <c r="E12" i="4"/>
  <c r="R12" i="4"/>
  <c r="G48" i="9"/>
  <c r="G44" i="9"/>
  <c r="I7" i="9"/>
  <c r="I10" i="9"/>
  <c r="I36" i="9"/>
  <c r="K6" i="9"/>
  <c r="E46" i="9"/>
  <c r="E47" i="9"/>
  <c r="E59" i="9"/>
  <c r="U54" i="9"/>
  <c r="S57" i="9"/>
  <c r="C74" i="4"/>
  <c r="C75" i="15"/>
  <c r="C55" i="4"/>
  <c r="C56" i="15"/>
  <c r="R30" i="4"/>
  <c r="R38" i="4"/>
  <c r="E38" i="4"/>
  <c r="I44" i="9"/>
  <c r="I48" i="9"/>
  <c r="M6" i="9"/>
  <c r="K7" i="9"/>
  <c r="K10" i="9"/>
  <c r="K36" i="9"/>
  <c r="E66" i="9"/>
  <c r="E65" i="9"/>
  <c r="G46" i="9"/>
  <c r="G47" i="9"/>
  <c r="G59" i="9"/>
  <c r="W54" i="9"/>
  <c r="U57" i="9"/>
  <c r="B73" i="18"/>
  <c r="C73" i="18"/>
  <c r="C75" i="18"/>
  <c r="B75" i="15"/>
  <c r="E75" i="15"/>
  <c r="B74" i="4"/>
  <c r="E74" i="4"/>
  <c r="R74" i="4"/>
  <c r="R76" i="4"/>
  <c r="C76" i="4"/>
  <c r="D77" i="15"/>
  <c r="D75" i="15"/>
  <c r="C61" i="4"/>
  <c r="B60" i="18"/>
  <c r="B56" i="15"/>
  <c r="E56" i="15"/>
  <c r="B55" i="4"/>
  <c r="E55" i="4"/>
  <c r="E61" i="4"/>
  <c r="D56" i="15"/>
  <c r="B54" i="18"/>
  <c r="C54" i="18"/>
  <c r="C60" i="18"/>
  <c r="E69" i="9"/>
  <c r="E71" i="9"/>
  <c r="K44" i="9"/>
  <c r="K48" i="9"/>
  <c r="O6" i="9"/>
  <c r="M7" i="9"/>
  <c r="M10" i="9"/>
  <c r="M36" i="9"/>
  <c r="G68" i="9"/>
  <c r="G67" i="9"/>
  <c r="G65" i="9"/>
  <c r="G61" i="9"/>
  <c r="G66" i="9"/>
  <c r="I47" i="9"/>
  <c r="I59" i="9"/>
  <c r="I46" i="9"/>
  <c r="W57" i="9"/>
  <c r="Y54" i="9"/>
  <c r="B77" i="15"/>
  <c r="B76" i="4"/>
  <c r="B75" i="18"/>
  <c r="C77" i="15"/>
  <c r="R55" i="4"/>
  <c r="R61" i="4"/>
  <c r="E76" i="4"/>
  <c r="B62" i="15"/>
  <c r="D62" i="15"/>
  <c r="B61" i="4"/>
  <c r="C62" i="15"/>
  <c r="E77" i="15"/>
  <c r="I68" i="9"/>
  <c r="I67" i="9"/>
  <c r="I65" i="9"/>
  <c r="I66" i="9"/>
  <c r="I61" i="9"/>
  <c r="O7" i="9"/>
  <c r="O10" i="9"/>
  <c r="O36" i="9"/>
  <c r="Q6" i="9"/>
  <c r="M44" i="9"/>
  <c r="M48" i="9"/>
  <c r="G69" i="9"/>
  <c r="G71" i="9"/>
  <c r="K46" i="9"/>
  <c r="K59" i="9"/>
  <c r="K47" i="9"/>
  <c r="Y57" i="9"/>
  <c r="AA54" i="9"/>
  <c r="E62" i="15"/>
  <c r="O48" i="9"/>
  <c r="O44" i="9"/>
  <c r="Q7" i="9"/>
  <c r="Q10" i="9"/>
  <c r="Q36" i="9"/>
  <c r="S6" i="9"/>
  <c r="K68" i="9"/>
  <c r="K61" i="9"/>
  <c r="K67" i="9"/>
  <c r="K66" i="9"/>
  <c r="K65" i="9"/>
  <c r="I69" i="9"/>
  <c r="I71" i="9"/>
  <c r="M46" i="9"/>
  <c r="M59" i="9"/>
  <c r="M47" i="9"/>
  <c r="AA57" i="9"/>
  <c r="AC54" i="9"/>
  <c r="Q44" i="9"/>
  <c r="Q48" i="9"/>
  <c r="M67" i="9"/>
  <c r="M68" i="9"/>
  <c r="M61" i="9"/>
  <c r="M66" i="9"/>
  <c r="M65" i="9"/>
  <c r="O47" i="9"/>
  <c r="O59" i="9"/>
  <c r="O46" i="9"/>
  <c r="S7" i="9"/>
  <c r="S10" i="9"/>
  <c r="S36" i="9"/>
  <c r="U6" i="9"/>
  <c r="K69" i="9"/>
  <c r="K71" i="9"/>
  <c r="AC57" i="9"/>
  <c r="AE54" i="9"/>
  <c r="M69" i="9"/>
  <c r="M71" i="9"/>
  <c r="S44" i="9"/>
  <c r="S48" i="9"/>
  <c r="U7" i="9"/>
  <c r="U10" i="9"/>
  <c r="U36" i="9"/>
  <c r="W6" i="9"/>
  <c r="O67" i="9"/>
  <c r="O65" i="9"/>
  <c r="O66" i="9"/>
  <c r="O61" i="9"/>
  <c r="O68" i="9"/>
  <c r="Q47" i="9"/>
  <c r="Q46" i="9"/>
  <c r="Q59" i="9"/>
  <c r="AG54" i="9"/>
  <c r="AG57" i="9"/>
  <c r="AE57" i="9"/>
  <c r="O69" i="9"/>
  <c r="O71" i="9"/>
  <c r="Q65" i="9"/>
  <c r="Q67" i="9"/>
  <c r="Q68" i="9"/>
  <c r="Q66" i="9"/>
  <c r="Q61" i="9"/>
  <c r="U44" i="9"/>
  <c r="U48" i="9"/>
  <c r="Y6" i="9"/>
  <c r="W7" i="9"/>
  <c r="W10" i="9"/>
  <c r="W36" i="9"/>
  <c r="S47" i="9"/>
  <c r="S59" i="9"/>
  <c r="S46" i="9"/>
  <c r="S67" i="9"/>
  <c r="S65" i="9"/>
  <c r="S68" i="9"/>
  <c r="S61" i="9"/>
  <c r="S66" i="9"/>
  <c r="U59" i="9"/>
  <c r="U46" i="9"/>
  <c r="U47" i="9"/>
  <c r="W48" i="9"/>
  <c r="W44" i="9"/>
  <c r="AA6" i="9"/>
  <c r="Y7" i="9"/>
  <c r="Y10" i="9"/>
  <c r="Y36" i="9"/>
  <c r="Q69" i="9"/>
  <c r="Q71" i="9"/>
  <c r="Y48" i="9"/>
  <c r="Y44" i="9"/>
  <c r="S69" i="9"/>
  <c r="S71" i="9"/>
  <c r="U67" i="9"/>
  <c r="U68" i="9"/>
  <c r="U65" i="9"/>
  <c r="U66" i="9"/>
  <c r="U61" i="9"/>
  <c r="AA7" i="9"/>
  <c r="AA10" i="9"/>
  <c r="AA36" i="9"/>
  <c r="AC6" i="9"/>
  <c r="W59" i="9"/>
  <c r="W47" i="9"/>
  <c r="W46" i="9"/>
  <c r="U69" i="9"/>
  <c r="U71" i="9"/>
  <c r="W66" i="9"/>
  <c r="W67" i="9"/>
  <c r="W68" i="9"/>
  <c r="W61" i="9"/>
  <c r="W65" i="9"/>
  <c r="AC7" i="9"/>
  <c r="AC10" i="9"/>
  <c r="AC36" i="9"/>
  <c r="AE6" i="9"/>
  <c r="AA44" i="9"/>
  <c r="AA48" i="9"/>
  <c r="Y47" i="9"/>
  <c r="Y59" i="9"/>
  <c r="Y46" i="9"/>
  <c r="W69" i="9"/>
  <c r="W71" i="9"/>
  <c r="AC44" i="9"/>
  <c r="AC48" i="9"/>
  <c r="AA46" i="9"/>
  <c r="AA47" i="9"/>
  <c r="AA59" i="9"/>
  <c r="Y67" i="9"/>
  <c r="Y66" i="9"/>
  <c r="Y68" i="9"/>
  <c r="Y65" i="9"/>
  <c r="Y61" i="9"/>
  <c r="AG6" i="9"/>
  <c r="AE7" i="9"/>
  <c r="AE10" i="9"/>
  <c r="AE36" i="9"/>
  <c r="AA67" i="9"/>
  <c r="AA66" i="9"/>
  <c r="AA68" i="9"/>
  <c r="AA61" i="9"/>
  <c r="AA65" i="9"/>
  <c r="Y69" i="9"/>
  <c r="Y71" i="9"/>
  <c r="AE48" i="9"/>
  <c r="AE44" i="9"/>
  <c r="AG7" i="9"/>
  <c r="AG10" i="9"/>
  <c r="AG36" i="9"/>
  <c r="AC46" i="9"/>
  <c r="AC59" i="9"/>
  <c r="AC47" i="9"/>
  <c r="AA69" i="9"/>
  <c r="AA71" i="9"/>
  <c r="AG44" i="9"/>
  <c r="AG48" i="9"/>
  <c r="AC66" i="9"/>
  <c r="AC68" i="9"/>
  <c r="AC61" i="9"/>
  <c r="AC65" i="9"/>
  <c r="AC67" i="9"/>
  <c r="AE59" i="9"/>
  <c r="AE46" i="9"/>
  <c r="AE47" i="9"/>
  <c r="AC69" i="9"/>
  <c r="AC71" i="9"/>
  <c r="AE67" i="9"/>
  <c r="AE61" i="9"/>
  <c r="AE66" i="9"/>
  <c r="AE65" i="9"/>
  <c r="AE68" i="9"/>
  <c r="AG47" i="9"/>
  <c r="AG59" i="9"/>
  <c r="AG46" i="9"/>
  <c r="AE69" i="9"/>
  <c r="AE71" i="9"/>
  <c r="AG68" i="9"/>
  <c r="AG61" i="9"/>
  <c r="AG66" i="9"/>
  <c r="AG65" i="9"/>
  <c r="AG67" i="9"/>
  <c r="AG69" i="9"/>
  <c r="AG71" i="9"/>
  <c r="AM560" i="3"/>
  <c r="AM572" i="3"/>
  <c r="AM565" i="3"/>
  <c r="AO645" i="3"/>
  <c r="AO646" i="3"/>
  <c r="T21" i="5"/>
  <c r="T22" i="5"/>
  <c r="AB49" i="5"/>
  <c r="T21" i="27"/>
  <c r="T22" i="27"/>
  <c r="C46" i="15"/>
  <c r="C80" i="15"/>
  <c r="C83" i="15"/>
  <c r="AI21" i="26"/>
  <c r="AI22" i="26"/>
  <c r="AI23" i="26"/>
  <c r="AI26" i="26"/>
  <c r="AI28" i="26"/>
  <c r="AD63" i="26"/>
  <c r="B45" i="4"/>
  <c r="E45" i="4"/>
  <c r="C45" i="4"/>
  <c r="D46" i="15"/>
  <c r="D45" i="4"/>
  <c r="D53" i="4"/>
  <c r="D62" i="4"/>
  <c r="D96" i="4"/>
  <c r="D104" i="4"/>
  <c r="S45" i="4"/>
  <c r="E44" i="18"/>
  <c r="F44" i="18"/>
  <c r="C46" i="4"/>
  <c r="B47" i="15"/>
  <c r="D46" i="4"/>
  <c r="B79" i="4"/>
  <c r="E79" i="4"/>
  <c r="C79" i="4"/>
  <c r="D80" i="15"/>
  <c r="D79" i="4"/>
  <c r="S79" i="4"/>
  <c r="S80" i="4"/>
  <c r="E79" i="18"/>
  <c r="C80" i="4"/>
  <c r="B81" i="15"/>
  <c r="D80" i="4"/>
  <c r="C82" i="4"/>
  <c r="D83" i="15"/>
  <c r="C98" i="4"/>
  <c r="B97" i="18"/>
  <c r="C97" i="18"/>
  <c r="C102" i="18"/>
  <c r="C103" i="4"/>
  <c r="D104" i="15"/>
  <c r="E107" i="4"/>
  <c r="E80" i="4"/>
  <c r="R79" i="4"/>
  <c r="R80" i="4"/>
  <c r="E83" i="15"/>
  <c r="E46" i="15"/>
  <c r="R45" i="4"/>
  <c r="B103" i="4"/>
  <c r="B104" i="15"/>
  <c r="B83" i="15"/>
  <c r="B80" i="15"/>
  <c r="E80" i="15"/>
  <c r="B46" i="15"/>
  <c r="B80" i="4"/>
  <c r="B46" i="4"/>
  <c r="E46" i="4"/>
  <c r="R46" i="4"/>
  <c r="B102" i="18"/>
  <c r="B79" i="18"/>
  <c r="B45" i="18"/>
  <c r="C45" i="18"/>
  <c r="C53" i="4"/>
  <c r="D99" i="15"/>
  <c r="D81" i="15"/>
  <c r="D47" i="15"/>
  <c r="B82" i="4"/>
  <c r="E82" i="4"/>
  <c r="E78" i="18"/>
  <c r="F78" i="18"/>
  <c r="F79" i="18"/>
  <c r="C99" i="15"/>
  <c r="C81" i="15"/>
  <c r="E81" i="15"/>
  <c r="C47" i="15"/>
  <c r="E47" i="15"/>
  <c r="S46" i="4"/>
  <c r="B99" i="15"/>
  <c r="B98" i="4"/>
  <c r="E98" i="4"/>
  <c r="B81" i="18"/>
  <c r="C81" i="18"/>
  <c r="C94" i="18"/>
  <c r="B78" i="18"/>
  <c r="C78" i="18"/>
  <c r="C79" i="18"/>
  <c r="B44" i="18"/>
  <c r="C44" i="18"/>
  <c r="C104" i="15"/>
  <c r="E104" i="15"/>
  <c r="C95" i="4"/>
  <c r="E53" i="4"/>
  <c r="E62" i="4"/>
  <c r="E103" i="4"/>
  <c r="R98" i="4"/>
  <c r="D54" i="15"/>
  <c r="B52" i="18"/>
  <c r="C62" i="4"/>
  <c r="B53" i="4"/>
  <c r="C54" i="15"/>
  <c r="E54" i="15"/>
  <c r="B54" i="15"/>
  <c r="S53" i="4"/>
  <c r="E45" i="18"/>
  <c r="F45" i="18"/>
  <c r="F52" i="18"/>
  <c r="F61" i="18"/>
  <c r="F95" i="18"/>
  <c r="B96" i="15"/>
  <c r="C96" i="15"/>
  <c r="E96" i="15"/>
  <c r="B94" i="18"/>
  <c r="D96" i="15"/>
  <c r="B95" i="4"/>
  <c r="C52" i="18"/>
  <c r="C61" i="18"/>
  <c r="C95" i="18"/>
  <c r="C103" i="18"/>
  <c r="E99" i="15"/>
  <c r="E95" i="4"/>
  <c r="R82" i="4"/>
  <c r="R95" i="4"/>
  <c r="R53" i="4"/>
  <c r="R62" i="4"/>
  <c r="R96" i="4"/>
  <c r="R103" i="4"/>
  <c r="R104" i="4"/>
  <c r="S98" i="4"/>
  <c r="B62" i="4"/>
  <c r="B63" i="15"/>
  <c r="C63" i="15"/>
  <c r="E63" i="15"/>
  <c r="C96" i="4"/>
  <c r="D63" i="15"/>
  <c r="B61" i="18"/>
  <c r="E52" i="18"/>
  <c r="S62" i="4"/>
  <c r="E96" i="4"/>
  <c r="E104" i="4"/>
  <c r="S96" i="4"/>
  <c r="E61" i="18"/>
  <c r="D97" i="15"/>
  <c r="C104" i="4"/>
  <c r="B96" i="4"/>
  <c r="B95" i="18"/>
  <c r="B97" i="15"/>
  <c r="C97" i="15"/>
  <c r="E97" i="15"/>
  <c r="S103" i="4"/>
  <c r="E102" i="18"/>
  <c r="E97" i="18"/>
  <c r="F97" i="18"/>
  <c r="F102" i="18"/>
  <c r="F103" i="18"/>
  <c r="F105" i="18"/>
  <c r="B103" i="18"/>
  <c r="B105" i="15"/>
  <c r="C105" i="15"/>
  <c r="E105" i="15"/>
  <c r="B104" i="4"/>
  <c r="D105" i="15"/>
  <c r="AC448" i="3"/>
  <c r="T11" i="5"/>
  <c r="T11" i="27"/>
  <c r="T23" i="27"/>
  <c r="T11" i="26"/>
  <c r="T23" i="26"/>
  <c r="S104" i="4"/>
  <c r="E95" i="18"/>
  <c r="AB46" i="5"/>
  <c r="AB48" i="5"/>
  <c r="AB46" i="26"/>
  <c r="AB48" i="26"/>
  <c r="AC447" i="3"/>
  <c r="AB46" i="27"/>
  <c r="AB48" i="27"/>
  <c r="J58" i="25"/>
  <c r="S106" i="4"/>
  <c r="E103" i="18"/>
  <c r="T26" i="27"/>
  <c r="T28" i="27"/>
  <c r="T26" i="26"/>
  <c r="T28" i="26"/>
  <c r="BE16" i="28"/>
  <c r="T23" i="5"/>
  <c r="G71" i="25"/>
  <c r="G72" i="25"/>
  <c r="B75" i="25"/>
  <c r="B76" i="25"/>
  <c r="O76" i="25"/>
  <c r="AB53" i="27"/>
  <c r="AB54" i="27"/>
  <c r="AB53" i="26"/>
  <c r="AB54" i="26"/>
  <c r="T26" i="5"/>
  <c r="T28" i="5"/>
  <c r="X1006" i="3"/>
  <c r="X1007" i="3"/>
  <c r="D1008" i="3"/>
  <c r="E105" i="18"/>
  <c r="AC449" i="3"/>
  <c r="AB53" i="5"/>
  <c r="AB54" i="5"/>
  <c r="Y11" i="26"/>
  <c r="Y23" i="26"/>
  <c r="Y11" i="27"/>
  <c r="Y23" i="27"/>
  <c r="Y11" i="5"/>
  <c r="Y23" i="5"/>
  <c r="Y26" i="5"/>
  <c r="Y28" i="5"/>
  <c r="Q71" i="25"/>
  <c r="O75" i="25"/>
  <c r="R75" i="25"/>
  <c r="AD38" i="5"/>
  <c r="AD40" i="5"/>
  <c r="Y38" i="5"/>
  <c r="Y40" i="5"/>
  <c r="Y26" i="27"/>
  <c r="Y28" i="27"/>
  <c r="AD38" i="27"/>
  <c r="AD40" i="27"/>
  <c r="Y38" i="27"/>
  <c r="Y40" i="27"/>
  <c r="Y26" i="26"/>
  <c r="Y28" i="26"/>
  <c r="AD38" i="26"/>
  <c r="AD40" i="26"/>
  <c r="Y38" i="26"/>
  <c r="Y40" i="26"/>
  <c r="Y41" i="26"/>
  <c r="AB55" i="26"/>
  <c r="AB56" i="26"/>
  <c r="Y63" i="27"/>
  <c r="Y67" i="27"/>
  <c r="T29" i="27"/>
  <c r="AR43" i="5"/>
  <c r="AR42" i="5"/>
  <c r="Y41" i="5"/>
  <c r="AB55" i="5"/>
  <c r="Y63" i="26"/>
  <c r="Y67" i="26"/>
  <c r="T29" i="26"/>
  <c r="AB58" i="26"/>
  <c r="Y41" i="27"/>
  <c r="AB55" i="27"/>
  <c r="AB56" i="27"/>
  <c r="Y63" i="5"/>
  <c r="Y67" i="5"/>
  <c r="T29" i="5"/>
  <c r="F59" i="26"/>
  <c r="AB75" i="26"/>
  <c r="BE15" i="28"/>
  <c r="M25" i="3"/>
  <c r="Q22" i="28"/>
  <c r="V33" i="28"/>
  <c r="V35" i="28"/>
  <c r="AB56" i="5"/>
  <c r="AB76" i="26"/>
  <c r="AB77" i="26"/>
  <c r="AB79" i="26"/>
  <c r="J80" i="26"/>
  <c r="AB58" i="27"/>
  <c r="P203" i="3"/>
  <c r="AB75" i="27"/>
  <c r="AB76" i="27"/>
  <c r="AB77" i="27"/>
  <c r="AB79" i="27"/>
  <c r="J80" i="27"/>
  <c r="F59" i="27"/>
  <c r="AB58" i="5"/>
  <c r="F59" i="5"/>
  <c r="AB75" i="5"/>
  <c r="AB76" i="5"/>
  <c r="M27" i="3"/>
  <c r="AB77" i="5"/>
  <c r="AB79" i="5"/>
  <c r="J80" i="5"/>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<sst xmlns="http://schemas.openxmlformats.org/spreadsheetml/2006/main" count="4695" uniqueCount="2503">
  <si>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</si>
  <si>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</si>
  <si>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</si>
  <si>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</si>
  <si>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</si>
  <si>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</si>
  <si>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</si>
  <si>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</si>
  <si>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</si>
  <si>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</si>
  <si>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</si>
  <si>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</si>
  <si>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</si>
  <si>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</si>
  <si>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</si>
  <si>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</si>
  <si>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</si>
  <si>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</si>
  <si>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</si>
  <si>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</si>
  <si>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</si>
  <si>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</si>
  <si>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</si>
  <si>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</si>
  <si>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</si>
  <si>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</si>
  <si>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</si>
  <si>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</si>
  <si>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</si>
  <si>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</si>
  <si>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</si>
  <si>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</si>
  <si>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</si>
  <si>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</si>
  <si>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</si>
  <si>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</si>
  <si>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</si>
  <si>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</si>
  <si>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</si>
  <si>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</si>
  <si>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</si>
  <si>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</si>
  <si>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</si>
  <si>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</si>
  <si>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</si>
  <si>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</si>
  <si>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</si>
  <si>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</si>
  <si>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</si>
  <si>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</si>
  <si>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</si>
  <si>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</si>
  <si>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</si>
  <si>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</si>
  <si>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</si>
  <si>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</si>
  <si>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</si>
  <si>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</si>
  <si>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</si>
  <si>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</si>
  <si>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</si>
  <si>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</si>
  <si>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</si>
  <si>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</si>
  <si>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</si>
  <si>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</si>
  <si>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</si>
  <si>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</si>
  <si>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</si>
  <si>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</si>
  <si>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</si>
  <si>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</si>
  <si>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</si>
  <si>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</si>
  <si>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</si>
  <si>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</si>
  <si>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</si>
  <si>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</si>
  <si>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</si>
  <si>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</si>
  <si>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</si>
  <si>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</si>
  <si>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</si>
  <si>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</si>
  <si>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</si>
  <si>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</si>
  <si>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</si>
  <si>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</si>
  <si>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</si>
  <si>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</si>
  <si>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</si>
  <si>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</si>
  <si>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</si>
  <si>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</si>
  <si>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</si>
  <si>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</si>
  <si>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</si>
  <si>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</si>
  <si>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</si>
  <si>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</si>
  <si>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</si>
  <si>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</si>
  <si>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</si>
  <si>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</si>
  <si>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</si>
  <si>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</si>
  <si>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</si>
  <si>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</si>
  <si>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</si>
  <si>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</si>
  <si>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</si>
  <si>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</si>
  <si>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</si>
  <si>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</si>
  <si>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</si>
  <si>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</si>
  <si>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</si>
  <si>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</si>
  <si>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</si>
  <si>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</si>
  <si>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</si>
  <si>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</si>
  <si>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</si>
  <si>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</si>
  <si>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</si>
  <si>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</si>
  <si>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</si>
  <si>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</si>
  <si>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</si>
  <si>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</si>
  <si>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</si>
  <si>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</si>
  <si>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</si>
  <si>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</si>
  <si>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</si>
  <si>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</si>
  <si>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</si>
  <si>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</si>
  <si>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</si>
  <si>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</si>
  <si>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</si>
  <si>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</si>
  <si>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</si>
  <si>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</si>
  <si>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</si>
  <si>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</si>
  <si>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</si>
  <si>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</si>
  <si>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</si>
  <si>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</si>
  <si>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</si>
  <si>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</si>
  <si>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</si>
  <si>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</si>
  <si>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</si>
  <si>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</si>
  <si>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</si>
  <si>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</si>
  <si>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</si>
  <si>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</si>
  <si>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</si>
  <si>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</si>
  <si>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</si>
  <si>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</si>
  <si>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</si>
  <si>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</si>
  <si>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</si>
  <si>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</si>
  <si>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</si>
  <si>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</si>
  <si>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</si>
  <si>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</si>
  <si>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</si>
  <si>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</si>
  <si>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</si>
  <si>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</si>
  <si>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</si>
  <si>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</si>
  <si>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</si>
  <si>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</si>
  <si>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</si>
  <si>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</si>
  <si>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</si>
  <si>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</si>
  <si>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</si>
  <si>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</si>
  <si>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</si>
  <si>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</si>
  <si>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</si>
  <si>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</si>
  <si>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</si>
  <si>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</si>
  <si>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</si>
  <si>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</si>
  <si>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</si>
  <si>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</si>
  <si>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</si>
  <si>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</si>
  <si>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</si>
  <si>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</si>
  <si>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</si>
  <si>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</si>
  <si>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</si>
  <si>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</si>
  <si>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</si>
  <si>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</si>
  <si>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</si>
  <si>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</si>
  <si>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</si>
  <si>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</si>
  <si>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</si>
  <si>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</si>
  <si>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</si>
  <si>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</si>
  <si>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</si>
  <si>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</si>
  <si>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</si>
  <si>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</si>
  <si>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</si>
  <si>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</si>
  <si>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</si>
  <si>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</si>
  <si>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</si>
  <si>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</si>
  <si>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</si>
  <si>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</si>
  <si>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</si>
  <si>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</si>
  <si>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</si>
  <si>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</si>
  <si>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</si>
  <si>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</si>
  <si>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</si>
  <si>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</si>
  <si>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</si>
  <si>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</si>
  <si>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</si>
  <si>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</si>
  <si>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</si>
  <si>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</si>
  <si>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</si>
  <si>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</si>
  <si>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</si>
  <si>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</si>
  <si>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</si>
  <si>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</si>
  <si>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</si>
  <si>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</si>
  <si>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</si>
  <si>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</si>
  <si>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</si>
  <si>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</si>
  <si>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</si>
  <si>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</si>
  <si>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</si>
  <si>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</si>
  <si>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</si>
  <si>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</si>
  <si>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</si>
  <si>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</si>
  <si>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</si>
  <si>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</si>
  <si>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</si>
  <si>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</si>
  <si>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</si>
  <si>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</si>
  <si>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</si>
  <si>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</si>
  <si>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</si>
  <si>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</si>
  <si>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</si>
  <si>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</si>
  <si>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</si>
  <si>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</si>
  <si>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</si>
  <si>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</si>
  <si>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</si>
  <si>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</si>
  <si>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</si>
  <si>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</si>
  <si>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</si>
  <si>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</si>
  <si>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</si>
  <si>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</si>
  <si>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</si>
  <si>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</si>
  <si>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</si>
  <si>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</si>
  <si>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</si>
  <si>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</si>
  <si>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</si>
  <si>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</si>
  <si>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</si>
  <si>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</si>
  <si>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</si>
  <si>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</si>
  <si>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</si>
  <si>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</si>
  <si>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</si>
  <si>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</si>
  <si>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</si>
  <si>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</si>
  <si>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</si>
  <si>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</si>
  <si>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</si>
  <si>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</si>
  <si>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</si>
  <si>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</si>
  <si>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</si>
  <si>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</si>
  <si>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</si>
  <si>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</si>
  <si>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</si>
  <si>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</si>
  <si>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</si>
  <si>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</si>
  <si>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</si>
  <si>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</si>
  <si>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</si>
  <si>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</si>
  <si>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</si>
  <si>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</si>
  <si>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</si>
  <si>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</si>
  <si>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</si>
  <si>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</si>
  <si>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</si>
  <si>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</si>
  <si>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</si>
  <si>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</si>
  <si>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</si>
  <si>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</si>
  <si>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</si>
  <si>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</si>
  <si>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</si>
  <si>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</si>
  <si>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</si>
  <si>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</si>
  <si>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</si>
  <si>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</si>
  <si>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</si>
  <si>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</si>
  <si>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</si>
  <si>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</si>
  <si>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</si>
  <si>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</si>
  <si>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</si>
  <si>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</si>
  <si>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</si>
  <si>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</si>
  <si>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</si>
  <si>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</si>
  <si>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</si>
  <si>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</si>
  <si>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</si>
  <si>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</si>
  <si>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</si>
  <si>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</si>
  <si>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</si>
  <si>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</si>
  <si>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</si>
  <si>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</si>
  <si>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</si>
  <si>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</si>
  <si>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</si>
  <si>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</si>
  <si>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</si>
  <si>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</si>
  <si>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</si>
  <si>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</si>
  <si>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</si>
  <si>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</si>
  <si>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</si>
  <si>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</si>
  <si>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</si>
  <si>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</si>
  <si>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</si>
  <si>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</si>
  <si>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</si>
  <si>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</si>
  <si>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</si>
  <si>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</si>
  <si>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</si>
  <si>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</si>
  <si>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</si>
  <si>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</si>
  <si>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</si>
  <si>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</si>
  <si>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</si>
  <si>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</si>
  <si>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</si>
  <si>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</si>
  <si>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</si>
  <si>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</si>
  <si>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</si>
  <si>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</si>
  <si>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</si>
  <si>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</si>
  <si>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</si>
  <si>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</si>
  <si>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</si>
  <si>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</si>
  <si>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</si>
  <si>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</si>
  <si>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</si>
  <si>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</si>
  <si>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</si>
  <si>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</si>
  <si>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</si>
  <si>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</si>
  <si>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</si>
  <si>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</si>
  <si>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</si>
  <si>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</si>
  <si>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</si>
  <si>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</si>
  <si>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</si>
  <si>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</si>
  <si>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</si>
  <si>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</si>
  <si>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</si>
  <si>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</si>
  <si>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</si>
  <si>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</si>
  <si>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</si>
  <si>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</si>
  <si>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</si>
  <si>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</si>
  <si>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</si>
  <si>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</si>
  <si>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</si>
  <si>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</si>
  <si>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</si>
  <si>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</si>
  <si>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</si>
  <si>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</si>
  <si>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</si>
  <si>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</si>
  <si>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</si>
  <si>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</si>
  <si>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</si>
  <si>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</si>
  <si>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</si>
  <si>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</si>
  <si>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</si>
  <si>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</si>
  <si>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</si>
  <si>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</si>
  <si>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</si>
  <si>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</si>
  <si>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</si>
  <si>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</si>
  <si>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</si>
  <si>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</si>
  <si>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</si>
  <si>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</si>
  <si>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</si>
  <si>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</si>
  <si>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</si>
  <si>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</si>
  <si>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</si>
  <si>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</si>
  <si>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</si>
  <si>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</si>
  <si>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</si>
  <si>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</si>
  <si>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</si>
  <si>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</si>
  <si>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</si>
  <si>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</si>
  <si>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</si>
  <si>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</si>
  <si>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</si>
  <si>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</si>
  <si>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</si>
  <si>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</si>
  <si>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</si>
  <si>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</si>
  <si>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</si>
  <si>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</si>
  <si>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</si>
  <si>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</si>
  <si>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</si>
  <si>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</si>
  <si>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</si>
  <si>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</si>
  <si>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</si>
  <si>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</si>
  <si>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</si>
  <si>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</si>
  <si>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</si>
  <si>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</si>
  <si>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</si>
  <si>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</si>
  <si>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</si>
  <si>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</si>
  <si>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</si>
  <si>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</si>
  <si>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</si>
  <si>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</si>
  <si>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</si>
  <si>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</si>
  <si>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</si>
  <si>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</si>
  <si>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</si>
  <si>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</si>
  <si>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</si>
  <si>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</si>
  <si>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</si>
  <si>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</si>
  <si>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</si>
  <si>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</si>
  <si>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</si>
  <si>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</si>
  <si>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</si>
  <si>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</si>
  <si>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</si>
  <si>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</si>
  <si>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</si>
  <si>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</si>
  <si>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</si>
  <si>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</si>
  <si>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</si>
  <si>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</si>
  <si>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</si>
  <si>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</si>
  <si>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</si>
  <si>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</si>
  <si>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</si>
  <si>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</si>
  <si>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</si>
  <si>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</si>
  <si>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</si>
  <si>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</si>
  <si>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</si>
  <si>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</si>
  <si>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</si>
  <si>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</si>
  <si>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</si>
  <si>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</si>
  <si>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</si>
  <si>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</si>
  <si>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</si>
  <si>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</si>
  <si>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</si>
  <si>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</si>
  <si>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</si>
  <si>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</si>
  <si>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</si>
  <si>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</si>
  <si>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</si>
  <si>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</si>
  <si>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</si>
  <si>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</si>
  <si>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</si>
  <si>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</si>
  <si>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</si>
  <si>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</si>
  <si>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</si>
  <si>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</si>
  <si>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</si>
  <si>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</si>
  <si>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</si>
  <si>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</si>
  <si>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</si>
  <si>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</si>
  <si>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</si>
  <si>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</si>
  <si>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</si>
  <si>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</si>
  <si>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</si>
  <si>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</si>
  <si>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</si>
  <si>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</si>
  <si>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</si>
  <si>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</si>
  <si>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</si>
  <si>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</si>
  <si>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</si>
  <si>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</si>
  <si>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</si>
  <si>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</si>
  <si>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</si>
  <si>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</si>
  <si>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</si>
  <si>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</si>
  <si>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</si>
  <si>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</si>
  <si>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</si>
  <si>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</si>
  <si>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</si>
  <si>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</si>
  <si>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</si>
  <si>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</si>
  <si>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</si>
  <si>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</si>
  <si>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</si>
  <si>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</si>
  <si>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</si>
  <si>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</si>
  <si>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</si>
  <si>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</si>
  <si>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</si>
  <si>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</si>
  <si>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</si>
  <si>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</si>
  <si>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</si>
  <si>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</si>
  <si>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</si>
  <si>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</si>
  <si>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</si>
  <si>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</si>
  <si>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</si>
  <si>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</si>
  <si>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</si>
  <si>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</si>
  <si>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</si>
  <si>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</si>
  <si>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</si>
  <si>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</si>
  <si>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</si>
  <si>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</si>
  <si>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</si>
  <si>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</si>
  <si>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</si>
  <si>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</si>
  <si>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</si>
  <si>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</si>
  <si>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</si>
  <si>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</si>
  <si>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</si>
  <si>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</si>
  <si>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</si>
  <si>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</si>
  <si>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</si>
  <si>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</si>
  <si>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</si>
  <si>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</si>
  <si>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</si>
  <si>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</si>
  <si>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</si>
  <si>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</si>
  <si>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</si>
  <si>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</si>
  <si>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</si>
  <si>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</si>
  <si>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</si>
  <si>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</si>
  <si>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</si>
  <si>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</si>
  <si>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</si>
  <si>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</si>
  <si>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</si>
  <si>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</si>
  <si>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</si>
  <si>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</si>
  <si>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</si>
  <si>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</si>
  <si>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</si>
  <si>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</si>
  <si>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</si>
  <si>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</si>
  <si>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</si>
  <si>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</si>
  <si>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</si>
  <si>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</si>
  <si>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</si>
  <si>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</si>
  <si>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</si>
  <si>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</si>
  <si>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</si>
  <si>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</si>
  <si>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</si>
  <si>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</si>
  <si>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</si>
  <si>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</si>
  <si>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</si>
  <si>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</si>
  <si>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</si>
  <si>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</si>
  <si>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</si>
  <si>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</si>
  <si>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</si>
  <si>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</si>
  <si>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</si>
  <si>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</si>
  <si>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</si>
  <si>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</si>
  <si>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</si>
  <si>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</si>
  <si>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</si>
  <si>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</si>
  <si>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</si>
  <si>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</si>
  <si>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</si>
  <si>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</si>
  <si>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</si>
  <si>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</si>
  <si>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</si>
  <si>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</si>
  <si>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</si>
  <si>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</si>
  <si>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</si>
  <si>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</si>
  <si>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</si>
  <si>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</si>
  <si>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</si>
  <si>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</si>
  <si>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</si>
  <si>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</si>
  <si>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</si>
  <si>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</si>
  <si>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</si>
  <si>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</si>
  <si>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</si>
  <si>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</si>
  <si>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</si>
  <si>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</si>
  <si>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</si>
  <si>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</si>
  <si>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</si>
  <si>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</si>
  <si>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</si>
  <si>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</si>
  <si>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</si>
  <si>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</si>
  <si>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</si>
  <si>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</si>
  <si>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</si>
  <si>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</si>
  <si>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</si>
  <si>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</si>
  <si>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</si>
  <si>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</si>
  <si>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</si>
  <si>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</si>
  <si>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</si>
  <si>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</si>
  <si>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</si>
  <si>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</si>
  <si>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</si>
  <si>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</si>
  <si>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</si>
  <si>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</si>
  <si>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</si>
  <si>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</si>
  <si>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</si>
  <si>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</si>
  <si>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</si>
  <si>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</si>
  <si>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</si>
  <si>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</si>
  <si>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</si>
  <si>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</si>
  <si>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</si>
  <si>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</si>
  <si>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</si>
  <si>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</si>
  <si>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</si>
  <si>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</si>
  <si>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</si>
  <si>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</si>
  <si>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</si>
  <si>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</si>
  <si>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</si>
  <si>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</si>
  <si>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</si>
  <si>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</si>
  <si>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</si>
  <si>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</si>
  <si>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</si>
  <si>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</si>
  <si>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</si>
  <si>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</si>
  <si>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</si>
  <si>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</si>
  <si>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</si>
  <si>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</si>
  <si>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</si>
  <si>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</si>
  <si>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</si>
  <si>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</si>
  <si>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</si>
  <si>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</si>
  <si>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</si>
  <si>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</si>
  <si>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</si>
  <si>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</si>
  <si>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</si>
  <si>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</si>
  <si>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</si>
  <si>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</si>
  <si>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</si>
  <si>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</si>
  <si>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</si>
  <si>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</si>
  <si>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</si>
  <si>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</si>
  <si>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</si>
  <si>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</si>
  <si>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</si>
  <si>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</si>
  <si>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</si>
  <si>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</si>
  <si>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</si>
  <si>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</si>
  <si>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</si>
  <si>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</si>
  <si>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</si>
  <si>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</si>
  <si>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</si>
  <si>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</si>
  <si>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</si>
  <si>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</si>
  <si>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</si>
  <si>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</si>
  <si>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</si>
  <si>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</si>
  <si>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</si>
  <si>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</si>
  <si>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</si>
  <si>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</si>
  <si>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</si>
  <si>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</si>
  <si>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</si>
  <si>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</si>
  <si>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</si>
  <si>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</si>
  <si>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</si>
  <si>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</si>
  <si>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</si>
  <si>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</si>
  <si>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</si>
  <si>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</si>
  <si>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</si>
  <si>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</si>
  <si>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</si>
  <si>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</si>
  <si>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</si>
  <si>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</si>
  <si>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</si>
  <si>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</si>
  <si>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</si>
  <si>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</si>
  <si>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</si>
  <si>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</si>
  <si>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</si>
  <si>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</si>
  <si>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</si>
  <si>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</si>
  <si>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</si>
  <si>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</si>
  <si>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</si>
  <si>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</si>
  <si>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</si>
  <si>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</si>
  <si>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</si>
  <si>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</si>
  <si>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</si>
  <si>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</si>
  <si>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</si>
  <si>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</si>
  <si>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</si>
  <si>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</si>
  <si>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</si>
  <si>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</si>
  <si>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</si>
  <si>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</si>
  <si>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</si>
  <si>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</si>
  <si>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</si>
  <si>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</si>
  <si>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</si>
  <si>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</si>
  <si>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</si>
  <si>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</si>
  <si>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</si>
  <si>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</si>
  <si>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</si>
  <si>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</si>
  <si>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</si>
  <si>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</si>
  <si>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</si>
  <si>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</si>
  <si>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</si>
  <si>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</si>
  <si>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</si>
  <si>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</si>
  <si>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</si>
  <si>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</si>
  <si>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</si>
  <si>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</si>
  <si>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</si>
  <si>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</si>
  <si>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</si>
  <si>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</si>
  <si>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</si>
  <si>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</si>
  <si>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</si>
  <si>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</si>
  <si>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</si>
  <si>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</si>
  <si>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</si>
  <si>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</si>
  <si>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</si>
  <si>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</si>
  <si>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</si>
  <si>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</si>
  <si>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</si>
  <si>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</si>
  <si>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</si>
  <si>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</si>
  <si>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</si>
  <si>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</si>
  <si>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</si>
  <si>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</si>
  <si>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</si>
  <si>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</si>
  <si>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</si>
  <si>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</si>
  <si>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</si>
  <si>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</si>
  <si>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</si>
  <si>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</si>
  <si>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</si>
  <si>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</si>
  <si>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</si>
  <si>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</si>
  <si>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</si>
  <si>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</si>
  <si>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</si>
  <si>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</si>
  <si>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</si>
  <si>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</si>
  <si>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</si>
  <si>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</si>
  <si>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</si>
  <si>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</si>
  <si>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</si>
  <si>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</si>
  <si>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</si>
  <si>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</si>
  <si>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</si>
  <si>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</si>
  <si>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</si>
  <si>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</si>
  <si>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</si>
  <si>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</si>
  <si>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</si>
  <si>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</si>
  <si>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</si>
  <si>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</si>
  <si>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</si>
  <si>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</si>
  <si>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</si>
  <si>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</si>
  <si>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</si>
  <si>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</si>
  <si>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</si>
  <si>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</si>
  <si>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</si>
  <si>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</si>
  <si>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</si>
  <si>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</si>
  <si>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</si>
  <si>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</si>
  <si>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</si>
  <si>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</si>
  <si>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</si>
  <si>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</si>
  <si>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</si>
  <si>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</si>
  <si>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</si>
  <si>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</si>
  <si>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</si>
  <si>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</si>
  <si>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</si>
  <si>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</si>
  <si>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</si>
  <si>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</si>
  <si>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</si>
  <si>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</si>
  <si>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</si>
  <si>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</si>
  <si>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</si>
  <si>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</si>
  <si>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</si>
  <si>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</si>
  <si>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</si>
  <si>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</si>
  <si>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</si>
  <si>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</si>
  <si>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</si>
  <si>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</si>
  <si>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</si>
  <si>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</si>
  <si>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</si>
  <si>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</si>
  <si>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</si>
  <si>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</si>
  <si>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</si>
  <si>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</si>
  <si>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</si>
  <si>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</si>
  <si>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</si>
  <si>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</si>
  <si>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</si>
  <si>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</si>
  <si>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</si>
  <si>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</si>
  <si>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</si>
  <si>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</si>
  <si>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</si>
  <si>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</si>
  <si>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</si>
  <si>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</si>
  <si>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</si>
  <si>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</si>
  <si>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</si>
  <si>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</si>
  <si>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</si>
  <si>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</si>
  <si>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</si>
  <si>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</si>
  <si>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</si>
  <si>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</si>
  <si>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</si>
  <si>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</si>
  <si>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</si>
  <si>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</si>
  <si>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</si>
  <si>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</si>
  <si>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</si>
  <si>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</si>
  <si>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</si>
  <si>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</si>
  <si>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</si>
  <si>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</si>
  <si>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</si>
  <si>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</si>
  <si>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</si>
  <si>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</si>
  <si>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</si>
  <si>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</si>
  <si>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</si>
  <si>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</si>
  <si>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</si>
  <si>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</si>
  <si>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</si>
  <si>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</si>
  <si>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</si>
  <si>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</si>
  <si>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</si>
  <si>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</si>
  <si>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</si>
  <si>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</si>
  <si>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</si>
  <si>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</si>
  <si>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</si>
  <si>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</si>
  <si>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</si>
  <si>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</si>
  <si>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</si>
  <si>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</si>
  <si>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</si>
  <si>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</si>
  <si>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</si>
  <si>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</si>
  <si>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</si>
  <si>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</si>
  <si>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</si>
  <si>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</si>
  <si>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</si>
  <si>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</si>
  <si>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</si>
  <si>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</si>
  <si>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</si>
  <si>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</si>
  <si>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</si>
  <si>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</si>
  <si>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</si>
  <si>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</si>
  <si>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</si>
  <si>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</si>
  <si>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</si>
  <si>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</si>
  <si>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</si>
  <si>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</si>
  <si>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</si>
  <si>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</si>
  <si>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</si>
  <si>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</si>
  <si>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</si>
  <si>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</si>
  <si>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</si>
  <si>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</si>
  <si>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</si>
  <si>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</si>
  <si>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</si>
  <si>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</si>
  <si>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</si>
  <si>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</si>
  <si>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</si>
  <si>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</si>
  <si>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</si>
  <si>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</si>
  <si>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</si>
  <si>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</si>
  <si>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</si>
  <si>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</si>
  <si>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</si>
  <si>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</si>
  <si>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</si>
  <si>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</si>
  <si>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</si>
  <si>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</si>
  <si>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</si>
  <si>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</si>
  <si>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</si>
  <si>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</si>
  <si>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</si>
  <si>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</si>
  <si>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</si>
  <si>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</si>
  <si>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</si>
  <si>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</si>
  <si>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</si>
  <si>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</si>
  <si>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</si>
  <si>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</si>
  <si>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</si>
  <si>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</si>
  <si>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</si>
  <si>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</si>
  <si>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</si>
  <si>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</si>
  <si>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</si>
  <si>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</si>
  <si>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</si>
  <si>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</si>
  <si>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</si>
  <si>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</si>
  <si>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</si>
  <si>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</si>
  <si>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</si>
  <si>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</si>
  <si>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</si>
  <si>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</si>
  <si>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</si>
  <si>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</si>
  <si>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</si>
  <si>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</si>
  <si>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</si>
  <si>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</si>
  <si>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</si>
  <si>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</si>
  <si>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</si>
  <si>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</si>
  <si>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</si>
  <si>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</si>
  <si>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</si>
  <si>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</si>
  <si>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</si>
  <si>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</si>
  <si>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</si>
  <si>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</si>
  <si>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</si>
  <si>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</si>
  <si>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</si>
  <si>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</si>
  <si>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</si>
  <si>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</si>
  <si>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</si>
  <si>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</si>
  <si>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</si>
  <si>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</si>
  <si>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</si>
  <si>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</si>
  <si>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</si>
  <si>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</si>
  <si>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</si>
  <si>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</si>
  <si>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</si>
  <si>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</si>
  <si>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</si>
  <si>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</si>
  <si>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</si>
  <si>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</si>
  <si>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</si>
  <si>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</si>
  <si>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</si>
  <si>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</si>
  <si>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</si>
  <si>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</si>
  <si>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</si>
  <si>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</si>
  <si>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</si>
  <si>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</si>
  <si>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</si>
  <si>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</si>
  <si>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</si>
  <si>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</si>
  <si>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</si>
  <si>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</si>
  <si>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</si>
  <si>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</si>
  <si>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</si>
  <si>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</si>
  <si>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</si>
  <si>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</si>
  <si>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</si>
  <si>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</si>
  <si>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</si>
  <si>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</si>
  <si>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</si>
  <si>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</si>
  <si>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</si>
  <si>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</si>
  <si>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</si>
  <si>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</si>
  <si>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</si>
  <si>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</si>
  <si>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</si>
  <si>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</si>
  <si>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</si>
  <si>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</si>
  <si>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</si>
  <si>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</si>
  <si>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</si>
  <si>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</si>
  <si>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</si>
  <si>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</si>
  <si>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</si>
  <si>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</si>
  <si>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</si>
  <si>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</si>
  <si>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</si>
  <si>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</si>
  <si>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</si>
  <si>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</si>
  <si>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</si>
  <si>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</si>
  <si>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</si>
  <si>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</si>
  <si>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</si>
  <si>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</si>
  <si>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</si>
  <si>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</si>
  <si>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</si>
  <si>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</si>
  <si>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</si>
  <si>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</si>
  <si>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</si>
  <si>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</si>
  <si>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</si>
  <si>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</si>
  <si>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</si>
  <si>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</si>
  <si>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</si>
  <si>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</si>
  <si>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</si>
  <si>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</si>
  <si>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</si>
  <si>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</si>
  <si>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</si>
  <si>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</si>
  <si>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</si>
  <si>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</si>
  <si>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</si>
  <si>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</si>
  <si>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</si>
  <si>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</si>
  <si>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</si>
  <si>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</si>
  <si>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</si>
  <si>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</si>
  <si>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</si>
  <si>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</si>
  <si>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</si>
  <si>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</si>
  <si>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</si>
  <si>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</si>
  <si>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</si>
  <si>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</si>
  <si>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</si>
  <si>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</si>
  <si>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</si>
  <si>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</si>
  <si>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</si>
  <si>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</si>
  <si>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</si>
  <si>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</si>
  <si>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</si>
  <si>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</si>
  <si>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</si>
  <si>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</si>
  <si>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</si>
  <si>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</si>
  <si>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</si>
  <si>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</si>
  <si>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</si>
  <si>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</si>
  <si>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</si>
  <si>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</si>
  <si>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</si>
  <si>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</si>
  <si>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</si>
  <si>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</si>
  <si>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</si>
  <si>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</si>
  <si>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</si>
  <si>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</si>
  <si>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</si>
  <si>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</si>
  <si>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</si>
  <si>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</si>
  <si>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</si>
  <si>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</si>
  <si>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</si>
  <si>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</si>
  <si>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</si>
  <si>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</si>
  <si>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</si>
  <si>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</si>
  <si>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</si>
  <si>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</si>
  <si>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</si>
  <si>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</si>
  <si>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</si>
  <si>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</si>
  <si>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</si>
  <si>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</si>
  <si>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</si>
  <si>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</si>
  <si>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</si>
  <si>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</si>
  <si>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</si>
  <si>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</si>
  <si>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</si>
  <si>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</si>
  <si>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</si>
  <si>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</si>
  <si>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</si>
  <si>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</si>
  <si>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</si>
  <si>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</si>
  <si>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</si>
  <si>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</si>
  <si>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</si>
  <si>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</si>
  <si>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</si>
  <si>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</si>
  <si>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</si>
  <si>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</si>
  <si>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</si>
  <si>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</si>
  <si>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</si>
  <si>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</si>
  <si>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</si>
  <si>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</si>
  <si>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</si>
  <si>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</si>
  <si>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</si>
  <si>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</si>
  <si>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</si>
  <si>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</si>
  <si>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</si>
  <si>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</si>
  <si>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</si>
  <si>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</si>
  <si>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</si>
  <si>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</si>
  <si>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</si>
  <si>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</si>
  <si>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</si>
  <si>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</si>
  <si>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</si>
  <si>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</si>
  <si>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</si>
  <si>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</si>
  <si>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</si>
  <si>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</si>
  <si>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</si>
  <si>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</si>
  <si>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</si>
  <si>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</si>
  <si>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</si>
  <si>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</si>
  <si>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</si>
  <si>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</si>
  <si>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</si>
  <si>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</si>
  <si>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</si>
  <si>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</si>
  <si>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</si>
  <si>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</si>
  <si>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</si>
  <si>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</si>
  <si>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</si>
  <si>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</si>
  <si>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</si>
  <si>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</si>
  <si>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</si>
  <si>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</si>
  <si>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</si>
  <si>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</si>
  <si>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</si>
  <si>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</si>
  <si>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</si>
  <si>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</si>
  <si>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</si>
  <si>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</si>
  <si>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</si>
  <si>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</si>
  <si>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</si>
  <si>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</si>
  <si>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</si>
  <si>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</si>
  <si>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</si>
  <si>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</si>
  <si>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</si>
  <si>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</si>
  <si>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</si>
  <si>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</si>
  <si>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</si>
  <si>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</si>
  <si>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</si>
  <si>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</si>
  <si>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</si>
  <si>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</si>
  <si>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</si>
  <si>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</si>
  <si>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</si>
  <si>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</si>
  <si>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</si>
  <si>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</si>
  <si>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</si>
  <si>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</si>
  <si>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</si>
  <si>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</si>
  <si>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</si>
  <si>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</si>
  <si>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</si>
  <si>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</si>
  <si>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</si>
  <si>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</si>
  <si>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</si>
  <si>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</si>
  <si>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</si>
  <si>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</si>
  <si>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</si>
  <si>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</si>
  <si>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</si>
  <si>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</si>
  <si>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</si>
  <si>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</si>
  <si>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</si>
  <si>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</si>
  <si>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</si>
  <si>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</si>
  <si>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</si>
  <si>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</si>
  <si>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</si>
  <si>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</si>
  <si>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</si>
  <si>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</si>
  <si>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</si>
  <si>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</si>
  <si>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</si>
  <si>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</si>
  <si>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</si>
  <si>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</si>
  <si>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</si>
  <si>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</si>
  <si>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</si>
  <si>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</si>
  <si>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</si>
  <si>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</si>
  <si>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</si>
  <si>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</si>
  <si>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</si>
  <si>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</si>
  <si>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</si>
  <si>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</si>
  <si>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</si>
  <si>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</si>
  <si>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</si>
  <si>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</si>
  <si>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</si>
  <si>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</si>
  <si>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</si>
  <si>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</si>
  <si>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</si>
  <si>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</si>
  <si>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</si>
  <si>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</si>
  <si>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</si>
  <si>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</si>
  <si>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</si>
  <si>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</si>
  <si>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</si>
  <si>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</si>
  <si>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</si>
  <si>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</si>
  <si>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</si>
  <si>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</si>
  <si>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</si>
  <si>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</si>
  <si>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</si>
  <si>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</si>
  <si>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</si>
  <si>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</si>
  <si>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</si>
  <si>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</si>
  <si>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</si>
  <si>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</si>
  <si>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</si>
  <si>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</si>
  <si>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</si>
  <si>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</si>
  <si>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</si>
  <si>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</si>
  <si>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</si>
  <si>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</si>
  <si>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</si>
  <si>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</si>
  <si>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</si>
  <si>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</si>
  <si>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</si>
  <si>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</si>
  <si>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</si>
  <si>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</si>
  <si>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</si>
  <si>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</si>
  <si>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</si>
  <si>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</si>
  <si>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</si>
  <si>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</si>
  <si>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</si>
  <si>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</si>
  <si>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</si>
  <si>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</si>
  <si>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</si>
  <si>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</si>
  <si>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</si>
  <si>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</si>
  <si>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</si>
  <si>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</si>
  <si>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</si>
  <si>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</si>
  <si>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</si>
  <si>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</si>
  <si>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</si>
  <si>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</si>
  <si>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</si>
  <si>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</si>
  <si>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</si>
  <si>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</si>
  <si>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</si>
  <si>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</si>
  <si>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</si>
  <si>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</si>
  <si>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</si>
  <si>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</si>
  <si>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</si>
  <si>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</si>
  <si>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</si>
  <si>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</si>
  <si>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</si>
  <si>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</si>
  <si>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</si>
  <si>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</si>
  <si>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</si>
  <si>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</si>
  <si>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</si>
  <si>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</si>
  <si>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</si>
  <si>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</si>
  <si>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</si>
  <si>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</si>
  <si>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</si>
  <si>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</si>
  <si>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</si>
  <si>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</si>
  <si>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</si>
  <si>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</si>
  <si>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</si>
  <si>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</si>
  <si>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</si>
  <si>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</si>
  <si>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</si>
  <si>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</si>
  <si>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</si>
  <si>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</si>
  <si>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</si>
  <si>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</si>
  <si>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</si>
  <si>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</si>
  <si>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</si>
  <si>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</si>
  <si>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</si>
  <si>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</si>
  <si>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</si>
  <si>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</si>
  <si>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</si>
  <si>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</si>
  <si>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</si>
  <si>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</si>
  <si>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</si>
  <si>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</si>
  <si>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</si>
  <si>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</si>
  <si>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</si>
  <si>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</si>
  <si>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</si>
  <si>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</si>
  <si>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</si>
  <si>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</si>
  <si>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</si>
  <si>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</si>
  <si>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</si>
  <si>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</si>
  <si>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</si>
  <si>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</si>
  <si>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</si>
  <si>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</si>
  <si>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</si>
  <si>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</si>
  <si>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</si>
  <si>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</si>
  <si>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</si>
  <si>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</si>
  <si>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</si>
  <si>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</si>
  <si>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</si>
  <si>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</si>
  <si>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</si>
  <si>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</si>
  <si>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</si>
  <si>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</si>
  <si>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</si>
  <si>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</si>
  <si>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</si>
  <si>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</si>
  <si>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</si>
  <si>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</si>
  <si>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</si>
  <si>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</si>
  <si>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</si>
  <si>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</si>
  <si>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</si>
  <si>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</si>
  <si>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</si>
  <si>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</si>
  <si>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</si>
  <si>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</si>
  <si>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</si>
  <si>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</si>
  <si>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</si>
  <si>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</si>
  <si>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</si>
  <si>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</si>
  <si>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</si>
  <si>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</si>
  <si>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</si>
  <si>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</si>
  <si>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</si>
  <si>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</si>
  <si>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</si>
  <si>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</si>
  <si>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</si>
  <si>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</si>
  <si>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</si>
  <si>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</si>
  <si>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</si>
  <si>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</si>
  <si>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</si>
  <si>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</si>
  <si>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</si>
  <si>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</si>
  <si>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</si>
  <si>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</si>
  <si>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</si>
  <si>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</si>
  <si>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</si>
  <si>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</si>
  <si>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</si>
  <si>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</si>
  <si>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</si>
  <si>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</si>
  <si>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</si>
  <si>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</si>
  <si>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</si>
  <si>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</si>
  <si>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</si>
  <si>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</si>
  <si>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</si>
  <si>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</si>
  <si>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</si>
  <si>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</si>
  <si>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</si>
  <si>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</si>
  <si>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</si>
  <si>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</si>
  <si>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</si>
  <si>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</si>
  <si>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</si>
  <si>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</si>
  <si>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</si>
  <si>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</si>
  <si>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</si>
  <si>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</si>
  <si>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</si>
  <si>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</si>
  <si>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</si>
  <si>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</si>
  <si>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</si>
  <si>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</si>
  <si>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</si>
  <si>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</si>
  <si>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</si>
  <si>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</si>
  <si>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</si>
  <si>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</si>
  <si>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</si>
  <si>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</si>
  <si>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</si>
  <si>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</si>
  <si>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</si>
  <si>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</si>
  <si>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</si>
  <si>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</si>
  <si>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</si>
  <si>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</si>
  <si>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</si>
  <si>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</si>
  <si>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</si>
  <si>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</si>
  <si>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</si>
  <si>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</si>
  <si>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</si>
  <si>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</si>
  <si>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</si>
  <si>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</si>
  <si>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</si>
  <si>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</si>
  <si>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</si>
  <si>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</si>
  <si>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</si>
  <si>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</si>
  <si>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</si>
  <si>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</si>
  <si>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</si>
  <si>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</si>
  <si>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</si>
  <si>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</si>
  <si>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</si>
  <si>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</si>
  <si>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</si>
  <si>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</si>
  <si>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</si>
  <si>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</si>
  <si>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</si>
  <si>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</si>
  <si>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</si>
  <si>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</si>
  <si>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</si>
  <si>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</si>
  <si>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</si>
  <si>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</si>
  <si>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</si>
  <si>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</si>
  <si>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</si>
  <si>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</si>
  <si>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</si>
  <si>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</si>
  <si>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</si>
  <si>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</si>
  <si>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</si>
  <si>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</si>
  <si>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</si>
  <si>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</si>
  <si>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</si>
  <si>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</si>
  <si>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</si>
  <si>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</si>
  <si>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</si>
  <si>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</si>
  <si>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</si>
  <si>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</si>
  <si>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</si>
  <si>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</si>
  <si>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</si>
  <si>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</si>
  <si>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</si>
  <si>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</si>
  <si>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</si>
  <si>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</si>
  <si>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</si>
  <si>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</si>
  <si>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</si>
  <si>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</si>
  <si>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</si>
  <si>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</si>
  <si>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</si>
  <si>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</si>
  <si>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</si>
  <si>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</si>
  <si>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</si>
  <si>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</si>
  <si>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</si>
  <si>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</si>
  <si>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</si>
  <si>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</si>
  <si>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</si>
  <si>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</si>
  <si>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</si>
  <si>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</si>
  <si>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</si>
  <si>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</si>
  <si>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</si>
  <si>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</si>
  <si>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</si>
  <si>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</si>
  <si>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</si>
  <si>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</si>
  <si>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</si>
  <si>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</si>
  <si>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</si>
  <si>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</si>
  <si>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</si>
  <si>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</si>
  <si>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</si>
  <si>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</si>
  <si>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</si>
  <si>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</si>
  <si>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</si>
  <si>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</si>
  <si>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</si>
  <si>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</si>
  <si>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</si>
  <si>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</si>
  <si>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</si>
  <si>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</si>
  <si>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</si>
  <si>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</si>
  <si>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</si>
  <si>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</si>
  <si>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</si>
  <si>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</si>
  <si>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</si>
  <si>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</si>
  <si>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</si>
  <si>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</si>
  <si>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</si>
  <si>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</si>
  <si>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</si>
  <si>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</si>
  <si>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</si>
  <si>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</si>
  <si>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</si>
  <si>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</si>
  <si>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</si>
  <si>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</si>
  <si>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</si>
  <si>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</si>
  <si>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</si>
  <si>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</si>
  <si>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</si>
  <si>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</si>
  <si>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</si>
  <si>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</si>
  <si>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</si>
  <si>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</si>
  <si>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</si>
  <si>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</si>
  <si>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</si>
  <si>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</si>
  <si>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</si>
  <si>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</si>
  <si>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</si>
  <si>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</si>
  <si>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</si>
  <si>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</si>
  <si>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</si>
  <si>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</si>
  <si>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</si>
  <si>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</si>
  <si>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</si>
  <si>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</si>
  <si>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</si>
  <si>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</si>
  <si>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</si>
  <si>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</si>
  <si>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</si>
  <si>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</si>
  <si>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</si>
  <si>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</si>
  <si>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</si>
  <si>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</si>
  <si>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</si>
  <si>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</si>
  <si>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</si>
  <si>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</si>
  <si>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</si>
  <si>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</si>
  <si>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</si>
  <si>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</si>
  <si>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</si>
  <si>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</si>
  <si>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</si>
  <si>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</si>
  <si>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</si>
  <si>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</si>
  <si>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</si>
  <si>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</si>
  <si>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</si>
  <si>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</si>
  <si>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</si>
  <si>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</si>
  <si>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</si>
  <si>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</si>
  <si>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</si>
  <si>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</si>
  <si>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</si>
  <si>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</si>
  <si>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</si>
  <si>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</si>
  <si>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</si>
  <si>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</si>
  <si>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</si>
  <si>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</si>
  <si>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</si>
  <si>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</si>
  <si>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</si>
  <si>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</si>
  <si>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</si>
  <si>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</si>
  <si>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</si>
  <si>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</si>
  <si>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</si>
  <si>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</si>
  <si>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</si>
  <si>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</si>
  <si>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</si>
  <si>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</si>
  <si>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</si>
  <si>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</si>
  <si>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</si>
  <si>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</si>
  <si>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</si>
  <si>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</si>
  <si>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</si>
  <si>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</si>
  <si>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</si>
  <si>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</si>
  <si>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</si>
  <si>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</si>
  <si>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</si>
  <si>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</si>
  <si>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</si>
  <si>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</si>
  <si>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</si>
  <si>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</si>
  <si>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</si>
  <si>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</si>
  <si>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</si>
  <si>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</si>
  <si>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</si>
  <si>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</si>
  <si>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</si>
  <si>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</si>
  <si>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</si>
  <si>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</si>
  <si>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</si>
  <si>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</si>
  <si>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</si>
  <si>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</si>
  <si>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</si>
  <si>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</si>
  <si>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</si>
  <si>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</si>
  <si>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</si>
  <si>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</si>
  <si>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</si>
  <si>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</si>
  <si>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</si>
  <si>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</si>
  <si>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</si>
  <si>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</si>
  <si>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</si>
  <si>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</si>
  <si>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</si>
  <si>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</si>
  <si>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</si>
  <si>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</si>
  <si>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</si>
  <si>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</si>
  <si>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</si>
  <si>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</si>
  <si>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</si>
  <si>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</si>
  <si>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</si>
  <si>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</si>
  <si>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</si>
  <si>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</si>
  <si>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</si>
  <si>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</si>
  <si>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</si>
  <si>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</si>
  <si>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</si>
  <si>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</si>
  <si>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</si>
  <si>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</si>
  <si>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</si>
  <si>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</si>
  <si>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</si>
  <si>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</si>
  <si>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</si>
  <si>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</si>
  <si>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</si>
  <si>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</si>
  <si>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</si>
  <si>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</si>
  <si>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</si>
  <si>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</si>
  <si>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</si>
  <si>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</si>
  <si>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</si>
  <si>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</si>
  <si>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</si>
  <si>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</si>
  <si>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</si>
  <si>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</si>
  <si>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</si>
  <si>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</si>
  <si>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</si>
  <si>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</si>
  <si>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</si>
  <si>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</si>
  <si>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</si>
  <si>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</si>
  <si>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</si>
  <si>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</si>
  <si>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</si>
  <si>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</si>
  <si>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</si>
  <si>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</si>
  <si>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</si>
  <si>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</si>
  <si>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</si>
  <si>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</si>
  <si>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</si>
  <si>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</si>
  <si>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</si>
  <si>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</si>
  <si>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</si>
  <si>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</si>
  <si>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</si>
  <si>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</si>
  <si>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</si>
  <si>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</si>
  <si>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</si>
  <si>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</si>
  <si>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</si>
  <si>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</si>
  <si>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</si>
  <si>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</si>
  <si>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</si>
  <si>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</si>
  <si>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</si>
  <si>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</si>
  <si>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</si>
  <si>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</si>
  <si>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</si>
  <si>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</si>
  <si>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</si>
  <si>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</si>
  <si>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</si>
  <si>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</si>
  <si>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</si>
  <si>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</si>
  <si>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</si>
  <si>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</si>
  <si>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</si>
  <si>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</si>
  <si>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</si>
  <si>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</si>
  <si>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</si>
  <si>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</si>
  <si>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</si>
  <si>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</si>
  <si>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</si>
  <si>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</si>
  <si>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</si>
  <si>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</si>
  <si>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</si>
  <si>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</si>
  <si>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</si>
  <si>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</si>
  <si>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</si>
  <si>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</si>
  <si>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</si>
  <si>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</si>
  <si>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</si>
  <si>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</si>
  <si>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</si>
  <si>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</si>
  <si>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</si>
  <si>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</si>
  <si>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</si>
  <si>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</si>
  <si>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</si>
  <si>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</si>
  <si>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</si>
  <si>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</si>
  <si>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</si>
  <si>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</si>
  <si>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</si>
  <si>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</si>
  <si>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</si>
  <si>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</si>
  <si>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</si>
  <si>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</si>
  <si>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</si>
  <si>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</si>
  <si>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</si>
  <si>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</si>
  <si>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</si>
  <si>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</si>
  <si>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</si>
  <si>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</si>
  <si>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</si>
  <si>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</si>
  <si>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</si>
  <si>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</si>
  <si>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</si>
  <si>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</si>
  <si>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</si>
  <si>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</si>
  <si>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</si>
  <si>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</si>
  <si>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</si>
  <si>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</si>
  <si>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</si>
  <si>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</si>
  <si>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</si>
  <si>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</si>
  <si>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</si>
  <si>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</si>
  <si>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</si>
  <si>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</si>
  <si>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</si>
  <si>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</si>
  <si>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</si>
  <si>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</si>
  <si>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</si>
  <si>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</si>
  <si>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</si>
  <si>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</si>
  <si>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</si>
  <si>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</si>
  <si>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</si>
  <si>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</si>
  <si>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</si>
  <si>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</si>
  <si>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</si>
  <si>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</si>
  <si>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</si>
  <si>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</si>
  <si>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</si>
  <si>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</si>
  <si>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</si>
  <si>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</si>
  <si>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</si>
  <si>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</si>
  <si>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</si>
  <si>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</si>
  <si>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</si>
  <si>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</si>
  <si>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</si>
  <si>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</si>
  <si>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</si>
  <si>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</si>
  <si>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</si>
  <si>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</si>
  <si>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</si>
  <si>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</si>
  <si>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</si>
  <si>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</si>
  <si>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</si>
  <si>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</si>
  <si>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</si>
  <si>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</si>
  <si>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</si>
  <si>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</si>
  <si>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</si>
  <si>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</si>
  <si>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</si>
  <si>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</si>
  <si>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</si>
  <si>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</si>
  <si>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</si>
  <si>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</si>
  <si>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</si>
  <si>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</si>
  <si>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</si>
  <si>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</si>
  <si>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</si>
  <si>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</si>
  <si>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</si>
  <si>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</si>
  <si>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</si>
  <si>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</si>
  <si>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</si>
  <si>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</si>
  <si>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</si>
  <si>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</si>
  <si>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</si>
  <si>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</si>
  <si>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</si>
  <si>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</si>
  <si>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</si>
  <si>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</si>
  <si>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</si>
  <si>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</si>
  <si>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</si>
  <si>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</si>
  <si>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</si>
  <si>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</si>
  <si>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</si>
  <si>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</si>
  <si>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</si>
  <si>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</si>
  <si>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</si>
  <si>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</si>
  <si>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</si>
  <si>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</si>
  <si>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</si>
  <si>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</si>
  <si>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</si>
  <si>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</si>
  <si>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</si>
  <si>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</si>
  <si>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</si>
  <si>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</si>
  <si>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</si>
  <si>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</si>
  <si>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</si>
  <si>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</si>
  <si>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</si>
  <si>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</si>
  <si>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</si>
  <si>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</si>
  <si>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</si>
  <si>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</si>
  <si>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</si>
  <si>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</si>
  <si>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</si>
  <si>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</si>
  <si>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</si>
  <si>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</si>
  <si>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</si>
  <si>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</si>
  <si>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</si>
  <si>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</si>
  <si>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</si>
  <si>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</si>
  <si>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</si>
  <si>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</si>
  <si>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</si>
  <si>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</si>
  <si>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</si>
  <si>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</si>
  <si>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</si>
  <si>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</si>
  <si>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</si>
  <si>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</si>
  <si>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</si>
  <si>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</si>
  <si>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</si>
  <si>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</si>
  <si>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</si>
  <si>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</si>
  <si>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</si>
  <si>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</si>
  <si>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</si>
  <si>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</si>
  <si>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</si>
  <si>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</si>
  <si>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</si>
  <si>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</si>
  <si>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</si>
  <si>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</si>
  <si>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</si>
  <si>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</si>
  <si>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</si>
  <si>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</si>
  <si>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</si>
  <si>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</si>
  <si>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</si>
  <si>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</si>
  <si>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</si>
  <si>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</si>
  <si>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</si>
  <si>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</si>
  <si>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</si>
  <si>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</si>
  <si>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</si>
  <si>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</si>
  <si>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</si>
  <si>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</si>
  <si>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</si>
  <si>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</si>
  <si>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</si>
  <si>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</si>
  <si>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</si>
  <si>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</si>
  <si>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</si>
  <si>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</si>
  <si>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</si>
  <si>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</si>
  <si>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</si>
  <si>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</si>
  <si>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</si>
  <si>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</si>
  <si>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</si>
  <si>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</si>
  <si>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</si>
  <si>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</si>
  <si>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</si>
  <si>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</si>
  <si>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</si>
  <si>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</si>
  <si>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</si>
  <si>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</si>
  <si>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</si>
  <si>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Eden Housing, Inc.</t>
  </si>
  <si>
    <t>Mitchell Park Place</t>
  </si>
  <si>
    <t>City of Palo Alto</t>
  </si>
  <si>
    <t>Ed Shikada</t>
  </si>
  <si>
    <t>250 Hamilton Avenue, 7th Floor</t>
  </si>
  <si>
    <t>Palo Alto</t>
  </si>
  <si>
    <t>650-329-2392</t>
  </si>
  <si>
    <t>CityMgr@cityofpaloalto.org</t>
  </si>
  <si>
    <t>525 E Charleston Road</t>
  </si>
  <si>
    <t>40%/60%</t>
  </si>
  <si>
    <t>132-06-039</t>
  </si>
  <si>
    <t>22645 Grand Street</t>
  </si>
  <si>
    <t>Hayward</t>
  </si>
  <si>
    <t>CA</t>
  </si>
  <si>
    <t>Managing GP</t>
  </si>
  <si>
    <t>Kate Blessing-Kawamura</t>
  </si>
  <si>
    <t>510-329-5102</t>
  </si>
  <si>
    <t>kate.blessing-kawamura@edenhousing.org</t>
  </si>
  <si>
    <t>Santa Clara County Housing Authority</t>
  </si>
  <si>
    <t>n/a</t>
  </si>
  <si>
    <t>2,514 net square feet of nonprofit office space on the first floor of the building</t>
  </si>
  <si>
    <t>Architects FORA</t>
  </si>
  <si>
    <t>Eden Housing Management, Inc.</t>
  </si>
  <si>
    <t>650-329-2154</t>
  </si>
  <si>
    <t>Andrea Osgood</t>
  </si>
  <si>
    <t>510-247-8103</t>
  </si>
  <si>
    <t>aosgood@edenhousing.org</t>
  </si>
  <si>
    <t>Project Developer</t>
  </si>
  <si>
    <t>22645 Grand. St.</t>
  </si>
  <si>
    <t>Hayward, CA, 94541</t>
  </si>
  <si>
    <t>510-582-0122</t>
  </si>
  <si>
    <t>Gubb &amp; Barshay LLP</t>
  </si>
  <si>
    <t>505 14th St Ste 450</t>
  </si>
  <si>
    <t>Oakland, CA 94612</t>
  </si>
  <si>
    <t>Evan Gross</t>
  </si>
  <si>
    <t>415-672-4053</t>
  </si>
  <si>
    <t>415-781-6967</t>
  </si>
  <si>
    <t>egross@gubbandbarshay.com</t>
  </si>
  <si>
    <t>650 Castro Street, Suite 120 PMB 490</t>
  </si>
  <si>
    <t>Mountain View, CA 94041</t>
  </si>
  <si>
    <t>Kate Conley</t>
  </si>
  <si>
    <t>408-295-2210</t>
  </si>
  <si>
    <t>kate@architectsfora.com</t>
  </si>
  <si>
    <t>L&amp;D Construction Co., Inc.</t>
  </si>
  <si>
    <t>255 W. Julian St., Suite 200</t>
  </si>
  <si>
    <t>San Jose, CA 95110-2406</t>
  </si>
  <si>
    <t>Michael Lodoen</t>
  </si>
  <si>
    <t>408-292-0128</t>
  </si>
  <si>
    <t>408-993-1511</t>
  </si>
  <si>
    <t>michael_lodoen@landd.com</t>
  </si>
  <si>
    <t>CohnReznick LLP</t>
  </si>
  <si>
    <t>400 Capitol Mall, Suite #1200</t>
  </si>
  <si>
    <t>Sacramento, CA 95814</t>
  </si>
  <si>
    <t>Laura Wilder</t>
  </si>
  <si>
    <t>916-930-5732</t>
  </si>
  <si>
    <t>laura.wilder@cohnreznick.com</t>
  </si>
  <si>
    <t>TBD</t>
  </si>
  <si>
    <t>Community Economics, Inc.</t>
  </si>
  <si>
    <t>538 9th Street, Suite 200</t>
  </si>
  <si>
    <t>Oakland, CA 94607</t>
  </si>
  <si>
    <t>Diana Downton</t>
  </si>
  <si>
    <t>510-832-8300</t>
  </si>
  <si>
    <t>diana@communityeconomics.org</t>
  </si>
  <si>
    <t>Kinetic Valuation Group (KVG)</t>
  </si>
  <si>
    <t>3901 S 147th Street, Suite 144</t>
  </si>
  <si>
    <t>Omaha, NE 68144</t>
  </si>
  <si>
    <t>Jay Wortmann</t>
  </si>
  <si>
    <t>402-202-0771</t>
  </si>
  <si>
    <t>Jay@kvgteam.com</t>
  </si>
  <si>
    <t>Hayward, CA 94541</t>
  </si>
  <si>
    <t>Kasey Archey</t>
  </si>
  <si>
    <t>510-582-1460</t>
  </si>
  <si>
    <t>kasey.archey@edenhousing.org</t>
  </si>
  <si>
    <t>Consuelo Hernandez</t>
  </si>
  <si>
    <t>Director, Office of Supportive Housing</t>
  </si>
  <si>
    <t>2310 N. 1st Street, Suite # 201, San Jose, CA 95131</t>
  </si>
  <si>
    <t>Secured by Leasehold Interest</t>
  </si>
  <si>
    <t>The County of Santa Clara</t>
  </si>
  <si>
    <t>408-510-8595</t>
  </si>
  <si>
    <t>N/A - Public Entity</t>
  </si>
  <si>
    <t>Other (Specify below)</t>
  </si>
  <si>
    <t>4-story elevator-service residential building</t>
  </si>
  <si>
    <t>0 spaces for residential</t>
  </si>
  <si>
    <t>PF (Public Facilities), no maximum controls on density</t>
  </si>
  <si>
    <t>Density Bonus Agrmt with City of Palo Alto will be recorded
at closing (same affordability as TCAC).</t>
  </si>
  <si>
    <t>County of Santa Clara</t>
  </si>
  <si>
    <t>Value of Donated Land</t>
  </si>
  <si>
    <t>For commercial space (AbilityPath office)</t>
  </si>
  <si>
    <t>Project-based vouchers (PBVs)</t>
  </si>
  <si>
    <t>JP Morgan Chase Construction Loan</t>
  </si>
  <si>
    <t>GP Equity (Eden Housing)</t>
  </si>
  <si>
    <t>JP Morgan Chase Permanent Loan</t>
  </si>
  <si>
    <t>County of Santa Clara DDA</t>
  </si>
  <si>
    <t>Investor Equity</t>
  </si>
  <si>
    <t>Interest Only</t>
  </si>
  <si>
    <t>Variable</t>
  </si>
  <si>
    <t>Fixed</t>
  </si>
  <si>
    <t>(City &amp; County)</t>
  </si>
  <si>
    <t>Other: (Solar)</t>
  </si>
  <si>
    <t>Other: (Per Legal)</t>
  </si>
  <si>
    <t>Other: (Owner)</t>
  </si>
  <si>
    <t>Other: (Construction Management)</t>
  </si>
  <si>
    <t>City Fund</t>
  </si>
  <si>
    <t>County Fund</t>
  </si>
  <si>
    <t>1 bedroom</t>
  </si>
  <si>
    <t>2 bedroom</t>
  </si>
  <si>
    <t>Value of Donated Land (GP equity or deferred fee or sponsor loan TBD based on investor negotiations)</t>
  </si>
  <si>
    <t>560 Mission Street, 3rd Floor</t>
  </si>
  <si>
    <t>James Vossoughi</t>
  </si>
  <si>
    <t>415-315-6708</t>
  </si>
  <si>
    <t>Construction Loan</t>
  </si>
  <si>
    <t>250 Hamilton Avenue</t>
  </si>
  <si>
    <t>Tim Wong</t>
  </si>
  <si>
    <t>650-329-2441</t>
  </si>
  <si>
    <t>Residual loan</t>
  </si>
  <si>
    <t>2310 N First Street, Suite 201</t>
  </si>
  <si>
    <t>San Jose</t>
  </si>
  <si>
    <t>Natalie Monk</t>
  </si>
  <si>
    <t>408-273-6400</t>
  </si>
  <si>
    <t>Value of donated land</t>
  </si>
  <si>
    <t>22645 Grand St.</t>
  </si>
  <si>
    <t>510-32-5102</t>
  </si>
  <si>
    <t>Equity</t>
  </si>
  <si>
    <t>Permanent loan</t>
  </si>
  <si>
    <t>Benefits</t>
  </si>
  <si>
    <t>Other maintenance expenses</t>
  </si>
  <si>
    <t>Payroll taxes</t>
  </si>
  <si>
    <t>Other taxes</t>
  </si>
  <si>
    <t>Ground lease rent</t>
  </si>
  <si>
    <t>50’ high or 35' if within 150' of a residential zone</t>
  </si>
  <si>
    <t>Major Institutions and Special Facilities</t>
  </si>
  <si>
    <t>Middlefield Road and Charleston Road (Bus Station)</t>
  </si>
  <si>
    <t>Palo Alto, 94306</t>
  </si>
  <si>
    <t>Carolyn Gonot</t>
  </si>
  <si>
    <t>408-321-5559</t>
  </si>
  <si>
    <t>https://www.vta.org/go/routes/21</t>
  </si>
  <si>
    <t>600 N. Meadow Drive</t>
  </si>
  <si>
    <t>Palo Alto, 94303</t>
  </si>
  <si>
    <t>Daren Anderson</t>
  </si>
  <si>
    <t>650-496-6950</t>
  </si>
  <si>
    <t>Mitchell Park</t>
  </si>
  <si>
    <t>Mitchell Park Library</t>
  </si>
  <si>
    <t>https://www.cityofpaloalto.org/Departments/Community-Services/Open-Space-Parks/Neighborhood-Parks/Mitchell-Park</t>
  </si>
  <si>
    <t>3700 Middlefield Road</t>
  </si>
  <si>
    <t>Ruthann Garcia</t>
  </si>
  <si>
    <t>650-329-2562</t>
  </si>
  <si>
    <t>https://library.cityofpaloalto.org/locations/m/</t>
  </si>
  <si>
    <t>3922 Middlefield Road</t>
  </si>
  <si>
    <t>Piazza's Fine Foods</t>
  </si>
  <si>
    <t>David Paolinelli</t>
  </si>
  <si>
    <t>https://piazzaslovesfood.com/</t>
  </si>
  <si>
    <t>650-494-1649</t>
  </si>
  <si>
    <t>Walgreens Pharmacy</t>
  </si>
  <si>
    <t>4170 El Camino Real</t>
  </si>
  <si>
    <t>Tram-Anh L.</t>
  </si>
  <si>
    <t>650-858-2007</t>
  </si>
  <si>
    <t>https://www.walgreens.com/locator/walgreens-4170+el+camino+real-palo+alto-ca-94306/id=3344</t>
  </si>
  <si>
    <t>(Value of donated land)</t>
  </si>
  <si>
    <t>VTA Bus Route 21 (Bus Stop ID 61586)</t>
  </si>
  <si>
    <t>Alter Consulting Engineers</t>
  </si>
  <si>
    <t>Stefan Gracik, PE, CPHC</t>
  </si>
  <si>
    <t xml:space="preserve">510-474-0379 </t>
  </si>
  <si>
    <t>stefan@alterengineers.com</t>
  </si>
  <si>
    <t>1624 Franklin St #1300</t>
  </si>
  <si>
    <t>Eden Mitchell Park LLC (an affiliate of Eden Housing, Inc.)</t>
  </si>
  <si>
    <t>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</si>
</sst>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0.000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8"/>
      <color theme="3"/>
      <name val="Cambri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996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4"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4" fillId="0" borderId="0"/>
    <xf numFmtId="0" fontId="64" fillId="0" borderId="0">
      <alignment vertical="top"/>
    </xf>
    <xf numFmtId="0" fontId="88" fillId="0" borderId="0"/>
    <xf numFmtId="0" fontId="88" fillId="0" borderId="0"/>
    <xf numFmtId="0" fontId="88" fillId="0" borderId="0"/>
    <xf numFmtId="0" fontId="88" fillId="0" borderId="0"/>
    <xf numFmtId="0" fontId="74" fillId="0" borderId="0"/>
    <xf numFmtId="0" fontId="14" fillId="0" borderId="0"/>
    <xf numFmtId="0" fontId="88" fillId="0" borderId="0"/>
    <xf numFmtId="0" fontId="14"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64" fillId="0" borderId="0">
      <alignment vertical="top"/>
    </xf>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10"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9" fontId="5"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5"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13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04"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4" fontId="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2" fillId="0" borderId="0" xfId="0" applyFont="1"/>
    <xf numFmtId="0" fontId="13" fillId="0" borderId="0" xfId="0" applyFont="1"/>
    <xf numFmtId="0" fontId="14"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4" fillId="0" borderId="0" xfId="0" applyFont="1" applyAlignment="1">
      <alignment horizontal="center"/>
    </xf>
    <xf numFmtId="0" fontId="5"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2" fillId="0" borderId="0" xfId="0" applyFont="1" applyAlignment="1">
      <alignment vertical="top" wrapText="1"/>
    </xf>
    <xf numFmtId="0" fontId="33" fillId="0" borderId="0" xfId="0" applyFont="1"/>
    <xf numFmtId="0" fontId="13" fillId="0" borderId="6" xfId="0" applyFont="1" applyFill="1" applyBorder="1" applyAlignment="1" applyProtection="1">
      <alignment horizontal="center"/>
    </xf>
    <xf numFmtId="0" fontId="14"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3" fillId="0" borderId="0" xfId="0" applyFont="1" applyFill="1" applyBorder="1" applyAlignment="1" applyProtection="1"/>
    <xf numFmtId="0" fontId="22" fillId="0" borderId="0" xfId="0" applyFont="1" applyFill="1" applyBorder="1" applyAlignment="1" applyProtection="1"/>
    <xf numFmtId="0" fontId="5" fillId="0" borderId="0" xfId="546" applyFont="1" applyAlignment="1" applyProtection="1"/>
    <xf numFmtId="0" fontId="32" fillId="0" borderId="0" xfId="0" applyFont="1" applyFill="1" applyBorder="1" applyAlignment="1" applyProtection="1"/>
    <xf numFmtId="0" fontId="11" fillId="0" borderId="0" xfId="0" applyFont="1" applyFill="1" applyBorder="1" applyAlignment="1">
      <alignment horizontal="center" vertical="center"/>
    </xf>
    <xf numFmtId="0" fontId="12" fillId="0" borderId="0" xfId="0" applyFont="1" applyAlignment="1" applyProtection="1">
      <alignment horizontal="center"/>
    </xf>
    <xf numFmtId="0" fontId="14"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3" fillId="0" borderId="0" xfId="0" applyFont="1" applyAlignment="1" applyProtection="1">
      <alignment vertical="top"/>
    </xf>
    <xf numFmtId="0" fontId="13" fillId="0" borderId="0" xfId="0" applyFont="1" applyAlignment="1" applyProtection="1">
      <alignment vertical="top" wrapText="1"/>
    </xf>
    <xf numFmtId="0" fontId="14" fillId="0" borderId="0" xfId="0" applyFont="1" applyAlignment="1" applyProtection="1">
      <alignment horizontal="left" indent="4"/>
    </xf>
    <xf numFmtId="0" fontId="14" fillId="0" borderId="0" xfId="0" applyFont="1" applyAlignment="1" applyProtection="1"/>
    <xf numFmtId="0" fontId="13" fillId="0" borderId="0" xfId="0" applyFont="1" applyAlignment="1" applyProtection="1">
      <alignment horizontal="left" vertical="top"/>
    </xf>
    <xf numFmtId="0" fontId="0" fillId="0" borderId="0" xfId="0" applyAlignment="1" applyProtection="1"/>
    <xf numFmtId="0" fontId="13" fillId="0" borderId="0" xfId="0" applyFont="1" applyAlignment="1" applyProtection="1">
      <alignment horizontal="left"/>
    </xf>
    <xf numFmtId="0" fontId="13" fillId="0" borderId="0" xfId="0" applyFont="1" applyAlignment="1" applyProtection="1"/>
    <xf numFmtId="0" fontId="13" fillId="0" borderId="0" xfId="0" applyNumberFormat="1" applyFont="1" applyProtection="1"/>
    <xf numFmtId="0" fontId="13" fillId="0" borderId="0" xfId="0" applyFont="1" applyProtection="1"/>
    <xf numFmtId="0" fontId="26" fillId="0" borderId="0" xfId="546" applyFont="1" applyFill="1" applyProtection="1"/>
    <xf numFmtId="0" fontId="12" fillId="0" borderId="0" xfId="0" applyFont="1" applyFill="1" applyBorder="1" applyProtection="1"/>
    <xf numFmtId="1" fontId="13" fillId="0" borderId="0" xfId="0" applyNumberFormat="1" applyFont="1" applyBorder="1" applyAlignment="1" applyProtection="1">
      <alignment horizontal="left"/>
    </xf>
    <xf numFmtId="0" fontId="0" fillId="0" borderId="0" xfId="0" applyFill="1" applyProtection="1"/>
    <xf numFmtId="0" fontId="15" fillId="0" borderId="0" xfId="0" applyFont="1" applyProtection="1"/>
    <xf numFmtId="1" fontId="13" fillId="0" borderId="0" xfId="0" applyNumberFormat="1" applyFont="1" applyBorder="1" applyAlignment="1" applyProtection="1">
      <alignment horizontal="right"/>
    </xf>
    <xf numFmtId="0" fontId="0" fillId="0" borderId="0" xfId="0" applyBorder="1" applyAlignment="1" applyProtection="1">
      <alignment horizontal="right"/>
    </xf>
    <xf numFmtId="1" fontId="13" fillId="0" borderId="0" xfId="0" applyNumberFormat="1" applyFont="1" applyFill="1" applyBorder="1" applyAlignment="1" applyProtection="1">
      <alignment horizontal="left"/>
    </xf>
    <xf numFmtId="0" fontId="0" fillId="0" borderId="0" xfId="0" applyBorder="1" applyAlignment="1" applyProtection="1">
      <alignment horizontal="left"/>
    </xf>
    <xf numFmtId="0" fontId="13" fillId="0" borderId="0" xfId="0" applyFont="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Border="1" applyAlignment="1" applyProtection="1">
      <alignment horizontal="left"/>
    </xf>
    <xf numFmtId="0" fontId="13" fillId="0" borderId="0" xfId="0" applyFont="1" applyFill="1" applyBorder="1" applyAlignment="1" applyProtection="1">
      <alignment horizontal="left"/>
    </xf>
    <xf numFmtId="0" fontId="25" fillId="0" borderId="0" xfId="0" applyFont="1" applyBorder="1" applyProtection="1"/>
    <xf numFmtId="0" fontId="17" fillId="0" borderId="0" xfId="0" applyFont="1" applyBorder="1" applyProtection="1"/>
    <xf numFmtId="0" fontId="12" fillId="0" borderId="0" xfId="0" applyFont="1" applyBorder="1" applyProtection="1"/>
    <xf numFmtId="0" fontId="12" fillId="0" borderId="0" xfId="0" applyFont="1" applyProtection="1"/>
    <xf numFmtId="0" fontId="13" fillId="0" borderId="0" xfId="0" applyFont="1" applyAlignment="1" applyProtection="1">
      <alignment horizontal="right"/>
    </xf>
    <xf numFmtId="0" fontId="5" fillId="0" borderId="0" xfId="546" applyFont="1" applyProtection="1"/>
    <xf numFmtId="173" fontId="5" fillId="0" borderId="0" xfId="546" applyNumberFormat="1" applyFont="1" applyAlignment="1" applyProtection="1"/>
    <xf numFmtId="9" fontId="5" fillId="0" borderId="0" xfId="546" applyNumberFormat="1" applyFont="1" applyAlignment="1" applyProtection="1">
      <alignment horizontal="left"/>
    </xf>
    <xf numFmtId="169" fontId="5" fillId="0" borderId="0" xfId="546" applyNumberFormat="1" applyFont="1" applyProtection="1"/>
    <xf numFmtId="169" fontId="5" fillId="0" borderId="0" xfId="546" applyNumberFormat="1" applyFont="1" applyFill="1" applyProtection="1"/>
    <xf numFmtId="0" fontId="5" fillId="0" borderId="0" xfId="546" applyFont="1" applyFill="1" applyProtection="1"/>
    <xf numFmtId="0" fontId="14" fillId="0" borderId="0" xfId="0" applyFont="1" applyBorder="1" applyProtection="1"/>
    <xf numFmtId="0" fontId="5" fillId="0" borderId="0" xfId="0" applyFont="1" applyProtection="1"/>
    <xf numFmtId="0" fontId="14" fillId="0" borderId="0" xfId="0" applyFont="1" applyBorder="1" applyAlignment="1" applyProtection="1">
      <alignment horizontal="right"/>
    </xf>
    <xf numFmtId="0" fontId="14" fillId="0" borderId="0" xfId="0" applyFont="1" applyFill="1" applyBorder="1" applyProtection="1"/>
    <xf numFmtId="0" fontId="34" fillId="0" borderId="0" xfId="0" applyFont="1" applyProtection="1"/>
    <xf numFmtId="0" fontId="14" fillId="0" borderId="0" xfId="0" applyFont="1" applyFill="1" applyBorder="1" applyAlignment="1" applyProtection="1">
      <alignment horizontal="left"/>
    </xf>
    <xf numFmtId="0" fontId="16" fillId="0" borderId="0" xfId="0" applyFont="1" applyFill="1" applyBorder="1" applyProtection="1"/>
    <xf numFmtId="0" fontId="18" fillId="0" borderId="0" xfId="0" applyFont="1" applyProtection="1"/>
    <xf numFmtId="0" fontId="12" fillId="0" borderId="5" xfId="0" applyFont="1" applyBorder="1" applyAlignment="1" applyProtection="1">
      <alignment horizontal="center"/>
    </xf>
    <xf numFmtId="0" fontId="15"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2" fillId="0" borderId="1" xfId="0" applyFont="1" applyBorder="1" applyAlignment="1" applyProtection="1">
      <alignment horizontal="center" wrapText="1"/>
    </xf>
    <xf numFmtId="0" fontId="12" fillId="0" borderId="7" xfId="0" applyFont="1" applyBorder="1" applyAlignment="1" applyProtection="1">
      <alignment horizontal="center" wrapText="1"/>
    </xf>
    <xf numFmtId="0" fontId="1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2"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2" fillId="0" borderId="4" xfId="0" applyFont="1" applyBorder="1" applyAlignment="1" applyProtection="1">
      <alignment horizontal="right"/>
    </xf>
    <xf numFmtId="0" fontId="12" fillId="0" borderId="8"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2" fillId="0" borderId="0" xfId="0" applyFont="1" applyBorder="1" applyAlignment="1" applyProtection="1">
      <alignment horizontal="right"/>
    </xf>
    <xf numFmtId="0" fontId="0" fillId="0" borderId="0" xfId="0" applyFill="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left"/>
    </xf>
    <xf numFmtId="0" fontId="12"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4" fillId="0" borderId="12" xfId="0" applyFont="1" applyBorder="1" applyAlignment="1" applyProtection="1">
      <alignment horizontal="left"/>
    </xf>
    <xf numFmtId="0" fontId="12"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2" fillId="0" borderId="0" xfId="0" applyFont="1" applyAlignment="1" applyProtection="1"/>
    <xf numFmtId="0" fontId="14" fillId="0" borderId="3" xfId="0" applyFont="1" applyBorder="1" applyProtection="1"/>
    <xf numFmtId="0" fontId="14" fillId="0" borderId="0" xfId="546" applyFont="1" applyProtection="1"/>
    <xf numFmtId="0" fontId="36" fillId="0" borderId="0" xfId="546" applyFont="1" applyAlignment="1" applyProtection="1"/>
    <xf numFmtId="49" fontId="5" fillId="0" borderId="0" xfId="546" applyNumberFormat="1" applyFont="1" applyProtection="1"/>
    <xf numFmtId="0" fontId="34" fillId="0" borderId="0" xfId="546" applyFont="1" applyProtection="1"/>
    <xf numFmtId="169" fontId="26" fillId="0" borderId="5" xfId="546" applyNumberFormat="1" applyFont="1" applyFill="1" applyBorder="1" applyAlignment="1" applyProtection="1">
      <alignment horizontal="left"/>
    </xf>
    <xf numFmtId="169" fontId="26" fillId="0" borderId="5" xfId="546" applyNumberFormat="1" applyFont="1" applyFill="1" applyBorder="1" applyAlignment="1" applyProtection="1">
      <alignment horizontal="center"/>
    </xf>
    <xf numFmtId="0" fontId="5" fillId="0" borderId="7" xfId="546" applyFont="1" applyBorder="1" applyProtection="1"/>
    <xf numFmtId="0" fontId="5" fillId="0" borderId="0" xfId="546" applyFont="1" applyBorder="1" applyProtection="1"/>
    <xf numFmtId="0" fontId="5" fillId="0" borderId="9" xfId="546" applyFont="1" applyBorder="1" applyProtection="1"/>
    <xf numFmtId="0" fontId="5" fillId="0" borderId="10" xfId="546" applyFont="1" applyBorder="1" applyProtection="1"/>
    <xf numFmtId="0" fontId="5" fillId="0" borderId="1" xfId="546" applyFont="1" applyBorder="1" applyProtection="1"/>
    <xf numFmtId="0" fontId="5" fillId="0" borderId="13" xfId="546" applyFont="1" applyBorder="1" applyProtection="1"/>
    <xf numFmtId="0" fontId="5" fillId="0" borderId="2" xfId="546" applyFont="1" applyBorder="1" applyProtection="1"/>
    <xf numFmtId="0" fontId="5" fillId="0" borderId="11" xfId="546" applyFont="1" applyBorder="1" applyProtection="1"/>
    <xf numFmtId="173" fontId="5" fillId="0" borderId="0" xfId="546" applyNumberFormat="1" applyFont="1" applyProtection="1"/>
    <xf numFmtId="173" fontId="5" fillId="0" borderId="0" xfId="546" applyNumberFormat="1" applyFont="1" applyBorder="1" applyAlignment="1" applyProtection="1"/>
    <xf numFmtId="0" fontId="25" fillId="0" borderId="0" xfId="546" applyFont="1" applyAlignment="1" applyProtection="1"/>
    <xf numFmtId="0" fontId="5" fillId="0" borderId="0" xfId="546" applyFont="1" applyFill="1" applyAlignment="1" applyProtection="1">
      <alignment horizontal="center"/>
    </xf>
    <xf numFmtId="0" fontId="14" fillId="0" borderId="0" xfId="0" applyFont="1" applyFill="1" applyProtection="1"/>
    <xf numFmtId="0" fontId="13" fillId="0" borderId="0" xfId="0" applyFont="1" applyFill="1" applyProtection="1"/>
    <xf numFmtId="0" fontId="12" fillId="0" borderId="4" xfId="0" applyFont="1" applyFill="1" applyBorder="1" applyAlignment="1" applyProtection="1">
      <alignment horizontal="right"/>
    </xf>
    <xf numFmtId="0" fontId="12" fillId="0" borderId="8" xfId="0" applyFont="1" applyFill="1" applyBorder="1" applyAlignment="1" applyProtection="1">
      <alignment horizontal="right"/>
    </xf>
    <xf numFmtId="0" fontId="14" fillId="0" borderId="0" xfId="0" applyFont="1" applyAlignment="1" applyProtection="1">
      <alignment horizontal="center"/>
    </xf>
    <xf numFmtId="0" fontId="13" fillId="0" borderId="5" xfId="546" applyFont="1" applyBorder="1" applyAlignment="1" applyProtection="1">
      <alignment vertical="top" wrapText="1"/>
    </xf>
    <xf numFmtId="0" fontId="12" fillId="0" borderId="0" xfId="0" applyFont="1" applyAlignment="1" applyProtection="1">
      <alignment horizontal="left"/>
    </xf>
    <xf numFmtId="0" fontId="14" fillId="0" borderId="0" xfId="0" applyFont="1" applyAlignment="1" applyProtection="1">
      <alignment horizontal="left"/>
    </xf>
    <xf numFmtId="0" fontId="13" fillId="0" borderId="0" xfId="0" applyFont="1" applyFill="1" applyBorder="1" applyAlignment="1" applyProtection="1">
      <alignment vertical="top"/>
    </xf>
    <xf numFmtId="0" fontId="14" fillId="0" borderId="3" xfId="0" applyFont="1" applyFill="1" applyBorder="1" applyProtection="1"/>
    <xf numFmtId="0" fontId="14" fillId="0" borderId="4" xfId="0" applyFont="1" applyFill="1" applyBorder="1" applyProtection="1"/>
    <xf numFmtId="0" fontId="12" fillId="0" borderId="0" xfId="0" applyFont="1" applyAlignment="1" applyProtection="1">
      <alignment horizontal="right"/>
    </xf>
    <xf numFmtId="0" fontId="14" fillId="0" borderId="0" xfId="0" applyFont="1" applyFill="1" applyBorder="1" applyAlignment="1" applyProtection="1">
      <alignment horizontal="right"/>
    </xf>
    <xf numFmtId="0" fontId="14" fillId="0" borderId="0" xfId="0" applyFont="1" applyAlignment="1" applyProtection="1">
      <alignment horizontal="right"/>
    </xf>
    <xf numFmtId="0" fontId="14" fillId="0" borderId="0" xfId="0" applyFont="1" applyFill="1" applyAlignment="1" applyProtection="1">
      <alignment horizontal="center"/>
    </xf>
    <xf numFmtId="0" fontId="13" fillId="0" borderId="0" xfId="0" applyNumberFormat="1" applyFont="1" applyAlignment="1" applyProtection="1">
      <alignment vertical="top" wrapText="1"/>
    </xf>
    <xf numFmtId="0" fontId="12" fillId="0" borderId="0" xfId="0" applyFont="1" applyFill="1" applyBorder="1" applyAlignment="1" applyProtection="1"/>
    <xf numFmtId="0" fontId="13" fillId="0" borderId="0" xfId="0" applyFont="1" applyFill="1" applyBorder="1" applyProtection="1"/>
    <xf numFmtId="0" fontId="28" fillId="0" borderId="0" xfId="0" applyFont="1" applyFill="1" applyBorder="1" applyAlignment="1" applyProtection="1"/>
    <xf numFmtId="0" fontId="29" fillId="0" borderId="0" xfId="0" applyFont="1" applyProtection="1"/>
    <xf numFmtId="0" fontId="13" fillId="0" borderId="3" xfId="0" applyFont="1" applyFill="1" applyBorder="1" applyProtection="1"/>
    <xf numFmtId="0" fontId="13" fillId="0" borderId="4" xfId="0" applyFont="1" applyFill="1" applyBorder="1" applyProtection="1"/>
    <xf numFmtId="164" fontId="0" fillId="0" borderId="4" xfId="0" applyNumberFormat="1" applyFill="1" applyBorder="1" applyAlignment="1" applyProtection="1">
      <alignment horizontal="right"/>
    </xf>
    <xf numFmtId="0" fontId="14" fillId="0" borderId="4" xfId="0" applyFont="1" applyFill="1" applyBorder="1" applyAlignment="1" applyProtection="1"/>
    <xf numFmtId="0" fontId="14" fillId="0" borderId="4" xfId="0" applyFont="1" applyFill="1" applyBorder="1" applyAlignment="1" applyProtection="1">
      <alignment horizontal="right"/>
    </xf>
    <xf numFmtId="0" fontId="14" fillId="0" borderId="0" xfId="0" applyFont="1" applyFill="1" applyBorder="1" applyAlignment="1" applyProtection="1"/>
    <xf numFmtId="0" fontId="13" fillId="0" borderId="0" xfId="0" applyFont="1" applyBorder="1" applyProtection="1"/>
    <xf numFmtId="0" fontId="13" fillId="0" borderId="0" xfId="0" applyFont="1" applyFill="1" applyBorder="1" applyAlignment="1" applyProtection="1">
      <alignment vertical="top" wrapText="1"/>
    </xf>
    <xf numFmtId="0" fontId="13" fillId="0" borderId="0" xfId="0" applyNumberFormat="1" applyFont="1" applyFill="1" applyBorder="1" applyAlignment="1" applyProtection="1">
      <alignment vertical="top"/>
    </xf>
    <xf numFmtId="0" fontId="13" fillId="0" borderId="3" xfId="0" applyFont="1" applyFill="1" applyBorder="1" applyAlignment="1" applyProtection="1">
      <alignment vertical="top" wrapText="1"/>
    </xf>
    <xf numFmtId="0" fontId="13" fillId="0" borderId="4" xfId="0" applyFont="1" applyFill="1" applyBorder="1" applyAlignment="1" applyProtection="1">
      <alignment vertical="top" wrapText="1"/>
    </xf>
    <xf numFmtId="0" fontId="13" fillId="0" borderId="4" xfId="0" applyFont="1" applyFill="1" applyBorder="1" applyAlignment="1" applyProtection="1"/>
    <xf numFmtId="0" fontId="14" fillId="0" borderId="6" xfId="0" applyFont="1" applyFill="1" applyBorder="1" applyAlignment="1" applyProtection="1"/>
    <xf numFmtId="0" fontId="14" fillId="0" borderId="6" xfId="0" applyFont="1" applyFill="1" applyBorder="1" applyAlignment="1" applyProtection="1">
      <alignment horizontal="left" vertical="top"/>
    </xf>
    <xf numFmtId="0" fontId="13" fillId="0" borderId="6" xfId="0" applyFont="1" applyFill="1" applyBorder="1" applyAlignment="1" applyProtection="1">
      <alignment horizontal="left" vertical="top" wrapText="1"/>
    </xf>
    <xf numFmtId="0" fontId="13" fillId="0" borderId="6" xfId="0" applyFont="1" applyBorder="1" applyProtection="1"/>
    <xf numFmtId="0" fontId="13" fillId="0" borderId="6" xfId="0" applyFont="1" applyFill="1" applyBorder="1" applyProtection="1"/>
    <xf numFmtId="0" fontId="14" fillId="0" borderId="0" xfId="0" applyFont="1" applyFill="1" applyBorder="1" applyAlignment="1" applyProtection="1">
      <alignment horizontal="left" vertical="top"/>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24" fillId="0" borderId="0" xfId="0" applyFont="1" applyFill="1" applyBorder="1" applyAlignment="1" applyProtection="1">
      <alignment vertical="top" wrapText="1"/>
    </xf>
    <xf numFmtId="0" fontId="12" fillId="0" borderId="0" xfId="0" applyFont="1" applyFill="1" applyBorder="1" applyAlignment="1" applyProtection="1">
      <alignment horizontal="left" vertical="top" wrapText="1"/>
    </xf>
    <xf numFmtId="0" fontId="24" fillId="0" borderId="0" xfId="0" applyFont="1" applyFill="1" applyBorder="1" applyAlignment="1" applyProtection="1">
      <alignment vertical="top"/>
    </xf>
    <xf numFmtId="0" fontId="12" fillId="0" borderId="0" xfId="0" applyFont="1" applyFill="1" applyBorder="1" applyAlignment="1" applyProtection="1">
      <alignment horizontal="center" vertical="top"/>
    </xf>
    <xf numFmtId="0" fontId="14" fillId="0" borderId="6" xfId="0" applyFont="1" applyFill="1" applyBorder="1" applyAlignment="1" applyProtection="1">
      <alignment horizontal="center"/>
    </xf>
    <xf numFmtId="0" fontId="22" fillId="0" borderId="6" xfId="0" applyFont="1" applyFill="1" applyBorder="1" applyAlignment="1" applyProtection="1"/>
    <xf numFmtId="0" fontId="13" fillId="0" borderId="6" xfId="0" applyFont="1" applyFill="1" applyBorder="1" applyAlignment="1" applyProtection="1"/>
    <xf numFmtId="0" fontId="22" fillId="0" borderId="0" xfId="0" applyFont="1" applyFill="1" applyBorder="1" applyAlignment="1" applyProtection="1">
      <alignment horizontal="right"/>
    </xf>
    <xf numFmtId="0" fontId="29" fillId="0" borderId="0" xfId="0" applyFont="1" applyFill="1" applyBorder="1" applyAlignment="1" applyProtection="1">
      <alignment horizontal="left" vertical="top" wrapText="1"/>
    </xf>
    <xf numFmtId="0" fontId="22" fillId="0" borderId="0" xfId="0" applyFont="1" applyFill="1" applyBorder="1" applyAlignment="1" applyProtection="1">
      <alignment horizontal="left" vertical="top"/>
    </xf>
    <xf numFmtId="0" fontId="13" fillId="0" borderId="0" xfId="0" applyFont="1" applyFill="1" applyBorder="1" applyAlignment="1" applyProtection="1">
      <alignment vertical="top" wrapText="1" shrinkToFit="1"/>
    </xf>
    <xf numFmtId="0" fontId="30" fillId="0" borderId="0" xfId="0" applyFont="1" applyFill="1" applyBorder="1" applyAlignment="1" applyProtection="1"/>
    <xf numFmtId="0" fontId="16" fillId="0" borderId="0" xfId="0" applyFont="1" applyFill="1" applyBorder="1" applyAlignment="1" applyProtection="1"/>
    <xf numFmtId="0" fontId="5" fillId="0" borderId="0" xfId="546" applyFont="1" applyFill="1" applyBorder="1" applyProtection="1"/>
    <xf numFmtId="0" fontId="13" fillId="0" borderId="0" xfId="0" applyFont="1" applyFill="1" applyBorder="1" applyAlignment="1" applyProtection="1">
      <alignment horizontal="left" vertical="top" wrapText="1" shrinkToFit="1"/>
    </xf>
    <xf numFmtId="0" fontId="13" fillId="0" borderId="3" xfId="0" applyFont="1" applyFill="1" applyBorder="1" applyAlignment="1" applyProtection="1"/>
    <xf numFmtId="0" fontId="30" fillId="0" borderId="4" xfId="0" applyFont="1" applyFill="1" applyBorder="1" applyAlignment="1" applyProtection="1"/>
    <xf numFmtId="0" fontId="13" fillId="0" borderId="4" xfId="0" applyFont="1" applyFill="1" applyBorder="1" applyAlignment="1" applyProtection="1">
      <alignment horizontal="left" vertical="top" wrapText="1" shrinkToFit="1"/>
    </xf>
    <xf numFmtId="0" fontId="13" fillId="0" borderId="3" xfId="0" applyFont="1" applyFill="1" applyBorder="1" applyAlignment="1" applyProtection="1">
      <alignment horizontal="center"/>
    </xf>
    <xf numFmtId="0" fontId="13" fillId="0" borderId="0" xfId="0" applyFont="1" applyFill="1" applyBorder="1" applyAlignment="1" applyProtection="1">
      <alignment horizontal="center"/>
    </xf>
    <xf numFmtId="0" fontId="16" fillId="0" borderId="0" xfId="0" applyFont="1" applyFill="1" applyBorder="1" applyAlignment="1" applyProtection="1">
      <alignment horizontal="left" vertical="top"/>
    </xf>
    <xf numFmtId="0" fontId="13" fillId="0" borderId="0" xfId="0" applyFont="1" applyFill="1" applyBorder="1" applyAlignment="1" applyProtection="1">
      <alignment horizontal="left" vertical="top" shrinkToFit="1"/>
    </xf>
    <xf numFmtId="0" fontId="16" fillId="0" borderId="4" xfId="0" applyFont="1" applyFill="1" applyBorder="1" applyProtection="1"/>
    <xf numFmtId="0" fontId="13" fillId="0" borderId="4" xfId="0" applyFont="1" applyFill="1" applyBorder="1" applyAlignment="1" applyProtection="1">
      <alignment horizontal="left" vertical="top" shrinkToFit="1"/>
    </xf>
    <xf numFmtId="0" fontId="22" fillId="0" borderId="0" xfId="0" applyFont="1" applyAlignment="1" applyProtection="1">
      <alignment horizontal="right"/>
    </xf>
    <xf numFmtId="0" fontId="13" fillId="0" borderId="4" xfId="0" applyFont="1" applyFill="1" applyBorder="1" applyAlignment="1" applyProtection="1">
      <alignment horizontal="left" vertical="top"/>
    </xf>
    <xf numFmtId="0" fontId="31" fillId="0" borderId="0" xfId="0" applyFont="1" applyFill="1" applyBorder="1" applyAlignment="1" applyProtection="1"/>
    <xf numFmtId="0" fontId="22" fillId="0" borderId="0" xfId="0" applyFont="1" applyFill="1" applyBorder="1" applyProtection="1"/>
    <xf numFmtId="0" fontId="16" fillId="0" borderId="0" xfId="0" applyFont="1" applyFill="1" applyProtection="1"/>
    <xf numFmtId="0" fontId="22" fillId="0" borderId="0" xfId="0" applyFont="1" applyProtection="1"/>
    <xf numFmtId="0" fontId="13" fillId="0" borderId="0" xfId="0" quotePrefix="1" applyFont="1" applyFill="1" applyProtection="1"/>
    <xf numFmtId="0" fontId="12" fillId="0" borderId="0" xfId="0" applyFont="1" applyFill="1" applyBorder="1" applyAlignment="1" applyProtection="1">
      <alignment horizontal="left" vertical="top"/>
    </xf>
    <xf numFmtId="0" fontId="35" fillId="0" borderId="0" xfId="0" applyFont="1" applyFill="1" applyBorder="1" applyAlignment="1" applyProtection="1"/>
    <xf numFmtId="0" fontId="16" fillId="0" borderId="0" xfId="0" applyFont="1" applyFill="1" applyBorder="1" applyAlignment="1" applyProtection="1">
      <alignment horizontal="center"/>
    </xf>
    <xf numFmtId="0" fontId="13" fillId="0" borderId="4" xfId="0" applyFont="1" applyFill="1" applyBorder="1" applyAlignment="1" applyProtection="1">
      <alignment horizontal="left" vertical="top" wrapText="1"/>
    </xf>
    <xf numFmtId="0" fontId="35" fillId="0" borderId="0" xfId="0" applyFont="1" applyProtection="1"/>
    <xf numFmtId="0" fontId="29" fillId="0" borderId="0" xfId="0" applyFont="1" applyFill="1" applyProtection="1"/>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Fill="1" applyBorder="1" applyAlignment="1" applyProtection="1">
      <alignment horizontal="left"/>
    </xf>
    <xf numFmtId="0" fontId="16" fillId="0" borderId="0" xfId="0" applyFont="1" applyFill="1" applyBorder="1" applyAlignment="1" applyProtection="1">
      <alignment horizontal="left"/>
    </xf>
    <xf numFmtId="0" fontId="12" fillId="0" borderId="4" xfId="0" applyFont="1" applyFill="1" applyBorder="1" applyAlignment="1" applyProtection="1">
      <alignment horizontal="center" vertical="top"/>
    </xf>
    <xf numFmtId="0" fontId="29" fillId="0" borderId="0" xfId="0" applyFont="1" applyFill="1" applyBorder="1" applyAlignment="1" applyProtection="1">
      <alignment horizontal="left" vertical="top"/>
    </xf>
    <xf numFmtId="0" fontId="14" fillId="0" borderId="4" xfId="0" applyFont="1" applyFill="1" applyBorder="1" applyAlignment="1" applyProtection="1">
      <alignment horizontal="left" vertical="top"/>
    </xf>
    <xf numFmtId="0" fontId="29" fillId="0" borderId="4" xfId="0" applyFont="1" applyFill="1" applyBorder="1" applyAlignment="1" applyProtection="1">
      <alignment horizontal="left" vertical="top"/>
    </xf>
    <xf numFmtId="0" fontId="13" fillId="0" borderId="6" xfId="0" applyFont="1" applyFill="1" applyBorder="1" applyAlignment="1" applyProtection="1">
      <alignment horizontal="left" vertical="top"/>
    </xf>
    <xf numFmtId="0" fontId="14" fillId="0" borderId="0" xfId="0" applyFont="1" applyAlignment="1" applyProtection="1">
      <alignment horizontal="left" vertical="top"/>
    </xf>
    <xf numFmtId="0" fontId="5" fillId="0" borderId="14" xfId="546" applyFont="1" applyBorder="1" applyProtection="1"/>
    <xf numFmtId="0" fontId="5" fillId="0" borderId="6" xfId="546" applyFont="1" applyBorder="1" applyProtection="1"/>
    <xf numFmtId="0" fontId="13"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8" fillId="0" borderId="0" xfId="0" applyFont="1" applyProtection="1"/>
    <xf numFmtId="0" fontId="22" fillId="0" borderId="12" xfId="0" applyNumberFormat="1" applyFont="1" applyFill="1" applyBorder="1" applyAlignment="1" applyProtection="1">
      <alignment horizontal="center"/>
    </xf>
    <xf numFmtId="166" fontId="13" fillId="2" borderId="12" xfId="0" applyNumberFormat="1" applyFont="1" applyFill="1" applyBorder="1" applyAlignment="1" applyProtection="1">
      <alignment horizontal="center"/>
    </xf>
    <xf numFmtId="1" fontId="13" fillId="2" borderId="12" xfId="0" applyNumberFormat="1" applyFont="1" applyFill="1" applyBorder="1" applyAlignment="1" applyProtection="1">
      <alignment horizontal="center"/>
    </xf>
    <xf numFmtId="164" fontId="13" fillId="0" borderId="0" xfId="0" applyNumberFormat="1" applyFont="1" applyFill="1" applyBorder="1" applyAlignment="1" applyProtection="1">
      <alignment horizontal="left" vertical="top"/>
    </xf>
    <xf numFmtId="164" fontId="13" fillId="0" borderId="0" xfId="0" applyNumberFormat="1" applyFont="1" applyFill="1" applyBorder="1" applyAlignment="1" applyProtection="1">
      <alignment vertical="top" wrapText="1"/>
    </xf>
    <xf numFmtId="164" fontId="13" fillId="0" borderId="0" xfId="0" applyNumberFormat="1" applyFont="1" applyFill="1" applyBorder="1" applyAlignment="1" applyProtection="1">
      <alignment horizontal="right"/>
    </xf>
    <xf numFmtId="164" fontId="13" fillId="0" borderId="0" xfId="0" applyNumberFormat="1" applyFont="1" applyFill="1" applyBorder="1" applyAlignment="1" applyProtection="1">
      <alignment vertical="top"/>
    </xf>
    <xf numFmtId="2" fontId="13" fillId="0" borderId="0" xfId="0" applyNumberFormat="1" applyFont="1" applyFill="1" applyBorder="1" applyAlignment="1" applyProtection="1">
      <alignment horizontal="right"/>
    </xf>
    <xf numFmtId="2" fontId="13" fillId="0" borderId="0" xfId="0" applyNumberFormat="1" applyFont="1" applyBorder="1" applyAlignment="1" applyProtection="1">
      <alignment horizontal="right"/>
    </xf>
    <xf numFmtId="0" fontId="14" fillId="0" borderId="0" xfId="0" applyFont="1" applyBorder="1" applyAlignment="1" applyProtection="1"/>
    <xf numFmtId="0" fontId="22" fillId="0" borderId="0" xfId="0" applyFont="1" applyFill="1" applyBorder="1" applyAlignment="1" applyProtection="1">
      <alignment horizontal="center"/>
    </xf>
    <xf numFmtId="0" fontId="13" fillId="0" borderId="3" xfId="0" applyFont="1" applyBorder="1" applyProtection="1"/>
    <xf numFmtId="0" fontId="13" fillId="0" borderId="4" xfId="0" applyFont="1" applyBorder="1" applyProtection="1"/>
    <xf numFmtId="0" fontId="12" fillId="0" borderId="4" xfId="0" applyFont="1" applyFill="1" applyBorder="1" applyAlignment="1" applyProtection="1"/>
    <xf numFmtId="0" fontId="13" fillId="0" borderId="8" xfId="0" applyFont="1" applyBorder="1" applyProtection="1"/>
    <xf numFmtId="0" fontId="13" fillId="0" borderId="5" xfId="0" applyFont="1" applyBorder="1" applyProtection="1"/>
    <xf numFmtId="0" fontId="12" fillId="0" borderId="5" xfId="0" applyFont="1" applyBorder="1" applyAlignment="1" applyProtection="1">
      <alignment horizontal="right"/>
    </xf>
    <xf numFmtId="0" fontId="13" fillId="0" borderId="10" xfId="0" applyFont="1" applyBorder="1" applyProtection="1"/>
    <xf numFmtId="0" fontId="14" fillId="0" borderId="4" xfId="0" applyFont="1" applyBorder="1" applyProtection="1"/>
    <xf numFmtId="1" fontId="13" fillId="0" borderId="0" xfId="0" applyNumberFormat="1" applyFont="1" applyFill="1" applyBorder="1" applyAlignment="1" applyProtection="1">
      <alignment horizontal="right"/>
    </xf>
    <xf numFmtId="0" fontId="13" fillId="4" borderId="0" xfId="0" applyFont="1" applyFill="1" applyBorder="1" applyAlignment="1" applyProtection="1">
      <alignment horizontal="center"/>
    </xf>
    <xf numFmtId="0" fontId="13" fillId="0" borderId="0" xfId="0" applyNumberFormat="1" applyFont="1" applyFill="1" applyBorder="1" applyAlignment="1" applyProtection="1"/>
    <xf numFmtId="164" fontId="12" fillId="0" borderId="0" xfId="0" applyNumberFormat="1" applyFont="1" applyFill="1" applyBorder="1" applyAlignment="1" applyProtection="1">
      <alignment horizontal="left"/>
    </xf>
    <xf numFmtId="164" fontId="13" fillId="0" borderId="0" xfId="0" applyNumberFormat="1" applyFont="1" applyFill="1" applyBorder="1" applyAlignment="1" applyProtection="1">
      <alignment horizontal="left" vertical="top" wrapText="1"/>
    </xf>
    <xf numFmtId="0" fontId="13" fillId="0" borderId="0" xfId="0" applyFont="1" applyFill="1" applyBorder="1" applyAlignment="1" applyProtection="1">
      <alignment wrapText="1"/>
    </xf>
    <xf numFmtId="0" fontId="5" fillId="0" borderId="3" xfId="546" applyFont="1" applyFill="1" applyBorder="1" applyProtection="1"/>
    <xf numFmtId="0" fontId="5" fillId="0" borderId="4" xfId="546" applyFont="1" applyFill="1" applyBorder="1" applyProtection="1"/>
    <xf numFmtId="0" fontId="11" fillId="0" borderId="0" xfId="0" applyFont="1" applyFill="1" applyBorder="1" applyAlignment="1" applyProtection="1">
      <alignment horizontal="center" vertical="center"/>
    </xf>
    <xf numFmtId="0" fontId="12"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4" fillId="0" borderId="0" xfId="0" applyFont="1" applyBorder="1" applyAlignment="1" applyProtection="1">
      <alignment horizontal="left"/>
    </xf>
    <xf numFmtId="0" fontId="0" fillId="0" borderId="4" xfId="0" applyFill="1" applyBorder="1" applyProtection="1"/>
    <xf numFmtId="0" fontId="13" fillId="0" borderId="0" xfId="0" applyFont="1" applyAlignment="1">
      <alignment horizontal="left" vertical="top" wrapText="1"/>
    </xf>
    <xf numFmtId="0" fontId="0" fillId="0" borderId="9" xfId="0" applyBorder="1"/>
    <xf numFmtId="0" fontId="0" fillId="0" borderId="5" xfId="0" applyBorder="1"/>
    <xf numFmtId="0" fontId="12" fillId="0" borderId="0" xfId="0" applyFont="1" applyBorder="1" applyAlignment="1">
      <alignment horizontal="right"/>
    </xf>
    <xf numFmtId="169" fontId="0" fillId="0" borderId="0" xfId="0" applyNumberFormat="1" applyFill="1" applyBorder="1" applyAlignment="1">
      <alignment horizontal="center"/>
    </xf>
    <xf numFmtId="0" fontId="25" fillId="0" borderId="0" xfId="0" applyFont="1" applyBorder="1"/>
    <xf numFmtId="0" fontId="14" fillId="0" borderId="0" xfId="0" applyFont="1"/>
    <xf numFmtId="0" fontId="14" fillId="0" borderId="0" xfId="0" applyFont="1" applyBorder="1"/>
    <xf numFmtId="0" fontId="14" fillId="0" borderId="0" xfId="0" applyFont="1" applyFill="1" applyBorder="1" applyAlignment="1">
      <alignment horizontal="left"/>
    </xf>
    <xf numFmtId="0" fontId="14" fillId="0" borderId="0" xfId="0" applyFont="1" applyFill="1" applyBorder="1" applyAlignment="1">
      <alignment horizontal="center"/>
    </xf>
    <xf numFmtId="0" fontId="14" fillId="0" borderId="0" xfId="0" applyFont="1" applyBorder="1" applyAlignment="1">
      <alignment horizontal="left"/>
    </xf>
    <xf numFmtId="0" fontId="14" fillId="0" borderId="0" xfId="0" applyFont="1" applyAlignment="1">
      <alignment horizontal="left"/>
    </xf>
    <xf numFmtId="0" fontId="14" fillId="0" borderId="0" xfId="0" applyFont="1" applyFill="1" applyBorder="1"/>
    <xf numFmtId="0" fontId="5" fillId="0" borderId="0" xfId="0" applyFont="1" applyBorder="1"/>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Fill="1" applyBorder="1" applyAlignment="1" applyProtection="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Fill="1" applyBorder="1" applyAlignment="1" applyProtection="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12" fillId="0" borderId="0" xfId="0" applyFont="1" applyAlignment="1">
      <alignment horizontal="left"/>
    </xf>
    <xf numFmtId="0" fontId="24" fillId="0" borderId="0" xfId="0" applyFont="1" applyAlignment="1">
      <alignment horizontal="left"/>
    </xf>
    <xf numFmtId="0" fontId="14" fillId="0" borderId="0" xfId="0" applyFont="1" applyBorder="1" applyAlignment="1">
      <alignment horizontal="center"/>
    </xf>
    <xf numFmtId="0" fontId="24" fillId="0" borderId="0" xfId="0" applyFont="1" applyBorder="1" applyAlignment="1">
      <alignment horizontal="center"/>
    </xf>
    <xf numFmtId="0" fontId="5" fillId="0" borderId="3" xfId="546" applyFont="1" applyBorder="1" applyProtection="1"/>
    <xf numFmtId="0" fontId="14" fillId="0" borderId="5" xfId="0" applyFont="1" applyBorder="1" applyProtection="1"/>
    <xf numFmtId="1" fontId="13" fillId="0" borderId="0" xfId="0" applyNumberFormat="1" applyFont="1" applyFill="1" applyBorder="1" applyAlignment="1" applyProtection="1">
      <alignment horizontal="center" vertical="top"/>
    </xf>
    <xf numFmtId="0" fontId="14" fillId="0" borderId="2" xfId="0" applyFont="1" applyBorder="1" applyProtection="1"/>
    <xf numFmtId="0" fontId="14" fillId="0" borderId="11" xfId="0" applyFont="1" applyBorder="1" applyProtection="1"/>
    <xf numFmtId="0" fontId="14" fillId="0" borderId="13" xfId="0" applyFont="1" applyBorder="1" applyProtection="1"/>
    <xf numFmtId="0" fontId="14" fillId="0" borderId="9" xfId="0" applyFont="1" applyBorder="1" applyProtection="1"/>
    <xf numFmtId="0" fontId="14" fillId="0" borderId="10" xfId="0" applyFont="1" applyBorder="1" applyProtection="1"/>
    <xf numFmtId="0" fontId="19" fillId="0" borderId="5" xfId="0" applyFont="1" applyBorder="1" applyAlignment="1" applyProtection="1">
      <alignment vertical="top" wrapText="1"/>
    </xf>
    <xf numFmtId="0" fontId="19" fillId="0" borderId="8" xfId="0" applyFont="1" applyBorder="1" applyAlignment="1" applyProtection="1">
      <alignment vertical="top" wrapText="1"/>
    </xf>
    <xf numFmtId="0" fontId="19" fillId="0" borderId="4" xfId="0" applyFont="1" applyBorder="1" applyAlignment="1" applyProtection="1">
      <alignment vertical="top" wrapText="1"/>
    </xf>
    <xf numFmtId="0" fontId="19"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2" fillId="0" borderId="2" xfId="0" applyFont="1" applyBorder="1" applyProtection="1"/>
    <xf numFmtId="1" fontId="5" fillId="0" borderId="0" xfId="546" applyNumberFormat="1" applyFont="1" applyAlignment="1" applyProtection="1"/>
    <xf numFmtId="0" fontId="12" fillId="0" borderId="0" xfId="0" applyFont="1" applyAlignment="1">
      <alignment horizontal="center"/>
    </xf>
    <xf numFmtId="0" fontId="14" fillId="0" borderId="0" xfId="0" applyFont="1" applyAlignment="1">
      <alignment horizontal="left" indent="4"/>
    </xf>
    <xf numFmtId="49" fontId="14" fillId="0" borderId="0" xfId="0" applyNumberFormat="1" applyFont="1" applyAlignment="1">
      <alignment horizontal="center"/>
    </xf>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NumberFormat="1" applyFont="1" applyAlignment="1" applyProtection="1">
      <alignment horizontal="left" vertical="top"/>
    </xf>
    <xf numFmtId="0" fontId="5" fillId="0" borderId="0" xfId="0" applyFont="1" applyBorder="1" applyProtection="1"/>
    <xf numFmtId="0" fontId="5" fillId="0" borderId="0" xfId="0" applyFont="1" applyAlignment="1" applyProtection="1"/>
    <xf numFmtId="0" fontId="5" fillId="0" borderId="0" xfId="0" applyFont="1" applyAlignment="1" applyProtection="1">
      <alignment horizontal="left" vertical="top" wrapText="1"/>
    </xf>
    <xf numFmtId="0" fontId="14" fillId="0" borderId="0" xfId="0" applyFont="1" applyFill="1"/>
    <xf numFmtId="0" fontId="12" fillId="0" borderId="0" xfId="0" applyFont="1" applyFill="1"/>
    <xf numFmtId="49" fontId="13" fillId="0" borderId="0" xfId="0" applyNumberFormat="1" applyFont="1" applyFill="1" applyBorder="1" applyAlignment="1" applyProtection="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applyProtection="1"/>
    <xf numFmtId="0" fontId="5"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3" fillId="0" borderId="1" xfId="0" applyNumberFormat="1" applyFont="1" applyFill="1" applyBorder="1" applyAlignment="1" applyProtection="1">
      <alignment vertical="top"/>
    </xf>
    <xf numFmtId="164" fontId="13" fillId="0" borderId="2" xfId="0" applyNumberFormat="1" applyFont="1" applyFill="1" applyBorder="1" applyAlignment="1" applyProtection="1">
      <alignment vertical="top"/>
    </xf>
    <xf numFmtId="0" fontId="13" fillId="0" borderId="2" xfId="0" applyFont="1" applyBorder="1" applyProtection="1"/>
    <xf numFmtId="0" fontId="13" fillId="0" borderId="2" xfId="0" applyFont="1" applyFill="1" applyBorder="1" applyProtection="1"/>
    <xf numFmtId="0" fontId="13" fillId="0" borderId="11" xfId="0" applyFont="1" applyFill="1" applyBorder="1" applyProtection="1"/>
    <xf numFmtId="164" fontId="13" fillId="0" borderId="7" xfId="0" applyNumberFormat="1" applyFont="1" applyFill="1" applyBorder="1" applyAlignment="1" applyProtection="1">
      <alignment horizontal="left" vertical="top"/>
    </xf>
    <xf numFmtId="0" fontId="12" fillId="0" borderId="13" xfId="0" applyFont="1" applyFill="1" applyBorder="1" applyAlignment="1" applyProtection="1">
      <alignment horizontal="center"/>
    </xf>
    <xf numFmtId="164" fontId="13" fillId="0" borderId="9" xfId="0" applyNumberFormat="1" applyFont="1" applyFill="1" applyBorder="1" applyAlignment="1" applyProtection="1">
      <alignment horizontal="left" vertical="top"/>
    </xf>
    <xf numFmtId="164" fontId="13" fillId="0" borderId="5" xfId="0" applyNumberFormat="1" applyFont="1" applyFill="1" applyBorder="1" applyAlignment="1" applyProtection="1">
      <alignment horizontal="left" vertical="top"/>
    </xf>
    <xf numFmtId="164" fontId="22" fillId="0" borderId="0" xfId="0" applyNumberFormat="1" applyFont="1" applyFill="1" applyBorder="1" applyAlignment="1" applyProtection="1">
      <alignment horizontal="left" vertical="top"/>
    </xf>
    <xf numFmtId="1" fontId="13"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9" fillId="5" borderId="4" xfId="0" applyFont="1" applyFill="1" applyBorder="1" applyAlignment="1" applyProtection="1">
      <alignment vertical="top" wrapText="1"/>
    </xf>
    <xf numFmtId="0" fontId="19" fillId="5" borderId="8" xfId="0" applyFont="1" applyFill="1" applyBorder="1" applyAlignment="1" applyProtection="1">
      <alignment vertical="top" wrapText="1"/>
    </xf>
    <xf numFmtId="0" fontId="12" fillId="0" borderId="9" xfId="0" applyFont="1" applyFill="1" applyBorder="1" applyAlignment="1" applyProtection="1">
      <alignment horizontal="left"/>
    </xf>
    <xf numFmtId="49" fontId="14" fillId="0" borderId="0" xfId="0" applyNumberFormat="1" applyFont="1" applyAlignment="1" applyProtection="1">
      <alignment horizontal="center"/>
    </xf>
    <xf numFmtId="0" fontId="14" fillId="0" borderId="4" xfId="0" applyFont="1" applyBorder="1"/>
    <xf numFmtId="0" fontId="12" fillId="0" borderId="4" xfId="0" applyFont="1" applyFill="1" applyBorder="1"/>
    <xf numFmtId="0" fontId="12" fillId="0" borderId="0" xfId="0" applyFont="1" applyBorder="1"/>
    <xf numFmtId="0" fontId="12" fillId="0" borderId="0" xfId="0" applyFont="1" applyFill="1" applyBorder="1"/>
    <xf numFmtId="0" fontId="12" fillId="0" borderId="2" xfId="0" applyFont="1" applyBorder="1" applyAlignment="1" applyProtection="1">
      <alignment horizontal="center"/>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8" fillId="6" borderId="12" xfId="0" applyFont="1" applyFill="1" applyBorder="1" applyAlignment="1" applyProtection="1">
      <alignment vertical="top" wrapText="1"/>
    </xf>
    <xf numFmtId="0" fontId="28" fillId="2" borderId="12" xfId="0" applyFont="1" applyFill="1" applyBorder="1" applyAlignment="1" applyProtection="1">
      <alignment vertical="top" wrapText="1"/>
    </xf>
    <xf numFmtId="0" fontId="28" fillId="0" borderId="12" xfId="0" applyFont="1" applyBorder="1" applyAlignment="1" applyProtection="1">
      <alignment vertical="top" wrapText="1"/>
    </xf>
    <xf numFmtId="0" fontId="28" fillId="0" borderId="12" xfId="0" applyFont="1" applyBorder="1" applyAlignment="1" applyProtection="1">
      <alignment horizontal="right" vertical="top" wrapText="1"/>
    </xf>
    <xf numFmtId="169" fontId="28" fillId="0" borderId="12" xfId="0" applyNumberFormat="1" applyFont="1" applyFill="1" applyBorder="1" applyAlignment="1" applyProtection="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8" fillId="6" borderId="12" xfId="0" applyNumberFormat="1" applyFont="1" applyFill="1" applyBorder="1" applyAlignment="1" applyProtection="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8" fillId="0" borderId="12" xfId="0" applyFont="1" applyBorder="1" applyAlignment="1" applyProtection="1">
      <alignment horizontal="right" vertical="top" wrapText="1"/>
    </xf>
    <xf numFmtId="0" fontId="28" fillId="0" borderId="12"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28" fillId="0" borderId="0" xfId="0" applyFont="1" applyBorder="1" applyAlignment="1" applyProtection="1">
      <alignment horizontal="left" vertical="top"/>
    </xf>
    <xf numFmtId="0" fontId="28" fillId="0" borderId="0" xfId="0" applyFont="1" applyBorder="1" applyAlignment="1" applyProtection="1">
      <alignment vertical="top" wrapText="1"/>
    </xf>
    <xf numFmtId="0" fontId="28" fillId="0" borderId="0" xfId="0" applyFont="1" applyBorder="1" applyAlignment="1" applyProtection="1">
      <alignment vertical="top"/>
    </xf>
    <xf numFmtId="0" fontId="49" fillId="0" borderId="0" xfId="0" applyFont="1" applyBorder="1" applyAlignment="1" applyProtection="1">
      <alignment horizontal="right" vertical="top"/>
    </xf>
    <xf numFmtId="0" fontId="28"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28" fillId="0" borderId="15" xfId="0" applyFont="1" applyBorder="1" applyAlignment="1" applyProtection="1">
      <alignment vertical="top" wrapText="1"/>
    </xf>
    <xf numFmtId="0" fontId="0" fillId="0" borderId="0" xfId="0" applyFill="1" applyBorder="1" applyAlignment="1" applyProtection="1">
      <alignment horizontal="center"/>
    </xf>
    <xf numFmtId="0" fontId="5" fillId="0" borderId="0" xfId="0" applyFont="1" applyFill="1" applyProtection="1"/>
    <xf numFmtId="167" fontId="14" fillId="0" borderId="0" xfId="0" applyNumberFormat="1" applyFont="1" applyFill="1" applyBorder="1" applyAlignment="1" applyProtection="1">
      <alignment horizontal="left"/>
    </xf>
    <xf numFmtId="0" fontId="51" fillId="0" borderId="0" xfId="0" applyFont="1" applyFill="1" applyBorder="1" applyProtection="1"/>
    <xf numFmtId="0" fontId="5" fillId="0" borderId="0" xfId="245" applyFont="1" applyFill="1" applyBorder="1" applyAlignment="1" applyProtection="1">
      <alignment horizontal="left"/>
    </xf>
    <xf numFmtId="0" fontId="0" fillId="0" borderId="0" xfId="0" applyFill="1" applyAlignment="1" applyProtection="1"/>
    <xf numFmtId="0" fontId="41" fillId="0" borderId="0" xfId="0" applyFont="1" applyFill="1" applyAlignment="1" applyProtection="1"/>
    <xf numFmtId="0" fontId="41" fillId="0" borderId="0" xfId="0" applyFont="1" applyFill="1" applyProtection="1"/>
    <xf numFmtId="0" fontId="41" fillId="0" borderId="0" xfId="245" applyFont="1" applyFill="1" applyBorder="1" applyAlignment="1" applyProtection="1">
      <alignment horizontal="left"/>
    </xf>
    <xf numFmtId="0" fontId="11" fillId="5" borderId="12" xfId="0" applyFont="1" applyFill="1" applyBorder="1" applyAlignment="1" applyProtection="1">
      <alignment vertical="top"/>
    </xf>
    <xf numFmtId="173" fontId="12" fillId="0" borderId="0" xfId="546" applyNumberFormat="1" applyFont="1" applyProtection="1"/>
    <xf numFmtId="0" fontId="12" fillId="0" borderId="0" xfId="546" applyFont="1" applyProtection="1"/>
    <xf numFmtId="0" fontId="14" fillId="0" borderId="0" xfId="0" applyFont="1" applyFill="1" applyAlignment="1">
      <alignment horizontal="center"/>
    </xf>
    <xf numFmtId="0" fontId="14" fillId="0" borderId="0" xfId="0" applyFont="1" applyFill="1" applyAlignment="1">
      <alignment horizontal="left"/>
    </xf>
    <xf numFmtId="49" fontId="0" fillId="0" borderId="0" xfId="0" applyNumberFormat="1" applyFill="1"/>
    <xf numFmtId="49" fontId="14" fillId="0" borderId="0" xfId="0" applyNumberFormat="1" applyFont="1" applyFill="1" applyAlignment="1">
      <alignment horizontal="center"/>
    </xf>
    <xf numFmtId="0" fontId="24" fillId="0" borderId="0" xfId="0" applyFont="1" applyFill="1" applyAlignment="1">
      <alignment horizontal="center"/>
    </xf>
    <xf numFmtId="49" fontId="40" fillId="0" borderId="0" xfId="0" applyNumberFormat="1" applyFont="1" applyFill="1" applyBorder="1" applyAlignment="1">
      <alignment horizontal="center"/>
    </xf>
    <xf numFmtId="0" fontId="40" fillId="0" borderId="0" xfId="0" applyFont="1" applyFill="1" applyBorder="1"/>
    <xf numFmtId="0" fontId="0" fillId="0" borderId="0" xfId="0" applyFill="1" applyAlignment="1">
      <alignment horizontal="right"/>
    </xf>
    <xf numFmtId="0" fontId="12" fillId="0" borderId="0" xfId="0" applyFont="1" applyFill="1" applyAlignment="1" applyProtection="1">
      <alignment horizontal="center"/>
    </xf>
    <xf numFmtId="0" fontId="24" fillId="0" borderId="0" xfId="0" applyFont="1" applyFill="1" applyAlignment="1">
      <alignment horizontal="left"/>
    </xf>
    <xf numFmtId="0" fontId="5" fillId="0" borderId="0" xfId="0" applyFont="1" applyFill="1" applyBorder="1" applyAlignment="1" applyProtection="1">
      <alignment horizontal="left"/>
    </xf>
    <xf numFmtId="0" fontId="46" fillId="0" borderId="0" xfId="0" applyFont="1" applyAlignment="1" applyProtection="1">
      <alignment horizontal="center"/>
    </xf>
    <xf numFmtId="0" fontId="24" fillId="0" borderId="0" xfId="0" applyFont="1" applyAlignment="1" applyProtection="1">
      <alignment horizontal="center"/>
    </xf>
    <xf numFmtId="49" fontId="12" fillId="0" borderId="0" xfId="0" applyNumberFormat="1" applyFont="1" applyAlignment="1" applyProtection="1">
      <alignment horizontal="center"/>
    </xf>
    <xf numFmtId="0" fontId="12" fillId="0" borderId="4" xfId="0" applyFont="1" applyBorder="1" applyAlignment="1" applyProtection="1">
      <alignment horizontal="left"/>
    </xf>
    <xf numFmtId="0" fontId="14" fillId="0" borderId="0" xfId="0" applyFont="1" applyBorder="1" applyAlignment="1" applyProtection="1">
      <alignment horizontal="center"/>
    </xf>
    <xf numFmtId="0" fontId="24" fillId="0" borderId="0" xfId="0" applyFont="1" applyBorder="1" applyAlignment="1" applyProtection="1">
      <alignment horizontal="center"/>
    </xf>
    <xf numFmtId="49" fontId="40" fillId="0" borderId="0" xfId="0" applyNumberFormat="1" applyFont="1" applyFill="1" applyBorder="1" applyAlignment="1" applyProtection="1">
      <alignment horizontal="center"/>
    </xf>
    <xf numFmtId="0" fontId="5" fillId="0" borderId="0" xfId="0" applyFont="1" applyFill="1" applyBorder="1" applyAlignment="1" applyProtection="1"/>
    <xf numFmtId="2" fontId="5"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3" fillId="0" borderId="0" xfId="0" applyFont="1" applyFill="1" applyAlignment="1" applyProtection="1"/>
    <xf numFmtId="2" fontId="5"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4" fillId="0" borderId="0" xfId="0" applyFont="1" applyFill="1" applyAlignment="1" applyProtection="1">
      <alignment horizontal="left" vertical="top"/>
    </xf>
    <xf numFmtId="0" fontId="13" fillId="0" borderId="0" xfId="0" applyFont="1" applyFill="1" applyAlignment="1" applyProtection="1">
      <alignment horizontal="left" vertical="top"/>
    </xf>
    <xf numFmtId="0" fontId="14" fillId="0" borderId="0" xfId="0" applyNumberFormat="1" applyFont="1" applyFill="1" applyAlignment="1" applyProtection="1">
      <alignment horizontal="left" vertical="top"/>
    </xf>
    <xf numFmtId="0" fontId="24" fillId="0" borderId="0" xfId="0" applyFont="1" applyFill="1" applyAlignment="1" applyProtection="1">
      <alignment horizontal="center"/>
    </xf>
    <xf numFmtId="0" fontId="35" fillId="0" borderId="0" xfId="0" applyFont="1" applyBorder="1"/>
    <xf numFmtId="0" fontId="49" fillId="0" borderId="15" xfId="0" applyFont="1" applyFill="1" applyBorder="1" applyAlignment="1" applyProtection="1">
      <alignment horizontal="center" wrapText="1"/>
    </xf>
    <xf numFmtId="0" fontId="55" fillId="0" borderId="0" xfId="0" applyFont="1" applyAlignment="1">
      <alignment wrapText="1"/>
    </xf>
    <xf numFmtId="0" fontId="55" fillId="0" borderId="0" xfId="0" applyFont="1" applyAlignment="1">
      <alignment horizontal="left" wrapText="1"/>
    </xf>
    <xf numFmtId="0" fontId="13" fillId="0" borderId="0" xfId="0" applyFont="1" applyAlignment="1"/>
    <xf numFmtId="0" fontId="0" fillId="0" borderId="0" xfId="0" applyAlignment="1">
      <alignment vertical="top" wrapText="1"/>
    </xf>
    <xf numFmtId="0" fontId="13" fillId="0" borderId="5" xfId="0" applyFont="1" applyFill="1" applyBorder="1" applyAlignment="1" applyProtection="1">
      <alignment horizontal="right"/>
    </xf>
    <xf numFmtId="0" fontId="13" fillId="0" borderId="1" xfId="0" applyFont="1" applyBorder="1" applyProtection="1"/>
    <xf numFmtId="0" fontId="13" fillId="0" borderId="7" xfId="0" applyFont="1" applyBorder="1" applyProtection="1"/>
    <xf numFmtId="0" fontId="13" fillId="0" borderId="16" xfId="0" applyFont="1" applyBorder="1" applyProtection="1"/>
    <xf numFmtId="0" fontId="12" fillId="0" borderId="16" xfId="0" applyFont="1" applyFill="1" applyBorder="1" applyProtection="1"/>
    <xf numFmtId="0" fontId="13" fillId="0" borderId="16" xfId="0" applyFont="1" applyFill="1" applyBorder="1" applyAlignment="1" applyProtection="1">
      <alignment horizontal="left" vertical="top"/>
    </xf>
    <xf numFmtId="0" fontId="14" fillId="0" borderId="16" xfId="0" applyFont="1" applyFill="1" applyBorder="1" applyAlignment="1" applyProtection="1">
      <alignment horizontal="left" vertical="top"/>
    </xf>
    <xf numFmtId="0" fontId="13" fillId="0" borderId="16" xfId="0" applyFont="1" applyFill="1" applyBorder="1" applyProtection="1"/>
    <xf numFmtId="0" fontId="12" fillId="0" borderId="16" xfId="0" applyFont="1" applyFill="1" applyBorder="1" applyAlignment="1" applyProtection="1">
      <alignment horizontal="right"/>
    </xf>
    <xf numFmtId="0" fontId="14" fillId="0" borderId="16" xfId="0" applyFont="1" applyFill="1" applyBorder="1" applyAlignment="1" applyProtection="1">
      <alignment horizontal="center"/>
    </xf>
    <xf numFmtId="0" fontId="10" fillId="0" borderId="0" xfId="0" applyFont="1" applyBorder="1" applyProtection="1">
      <protection locked="0"/>
    </xf>
    <xf numFmtId="4" fontId="46" fillId="0" borderId="0" xfId="0" applyNumberFormat="1" applyFont="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Alignment="1" applyProtection="1">
      <alignment horizontal="left"/>
    </xf>
    <xf numFmtId="4" fontId="14" fillId="0" borderId="0" xfId="0" applyNumberFormat="1" applyFont="1" applyProtection="1"/>
    <xf numFmtId="169" fontId="14" fillId="0" borderId="0" xfId="0" applyNumberFormat="1" applyFont="1" applyFill="1" applyBorder="1" applyAlignment="1" applyProtection="1">
      <alignment horizontal="center"/>
    </xf>
    <xf numFmtId="0" fontId="0" fillId="0" borderId="0" xfId="0" applyBorder="1" applyAlignment="1">
      <alignment horizontal="center"/>
    </xf>
    <xf numFmtId="0" fontId="28" fillId="2" borderId="10" xfId="0" applyFont="1" applyFill="1" applyBorder="1" applyAlignment="1" applyProtection="1">
      <alignment vertical="top" wrapText="1"/>
    </xf>
    <xf numFmtId="0" fontId="28" fillId="2" borderId="8" xfId="0" applyFont="1" applyFill="1" applyBorder="1" applyAlignment="1" applyProtection="1">
      <alignment vertical="top" wrapText="1"/>
    </xf>
    <xf numFmtId="0" fontId="52"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2" fillId="0" borderId="0" xfId="0" applyFont="1" applyBorder="1" applyProtection="1"/>
    <xf numFmtId="0" fontId="22" fillId="0" borderId="7" xfId="0" applyFont="1" applyBorder="1" applyProtection="1"/>
    <xf numFmtId="0" fontId="14" fillId="0" borderId="0" xfId="0" applyFont="1" applyFill="1" applyBorder="1" applyAlignment="1" applyProtection="1">
      <alignment horizontal="left" vertical="top" wrapText="1"/>
    </xf>
    <xf numFmtId="0" fontId="0" fillId="0" borderId="5" xfId="0" applyBorder="1" applyAlignment="1">
      <alignment vertical="top" wrapText="1"/>
    </xf>
    <xf numFmtId="0" fontId="40" fillId="0" borderId="0" xfId="0" applyFont="1" applyProtection="1"/>
    <xf numFmtId="0" fontId="14"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4" fillId="0" borderId="0" xfId="0" applyFont="1" applyAlignment="1"/>
    <xf numFmtId="0" fontId="46" fillId="0" borderId="0" xfId="0" applyFont="1" applyAlignment="1" applyProtection="1">
      <alignment horizontal="center" vertical="top"/>
    </xf>
    <xf numFmtId="0" fontId="26" fillId="0" borderId="0" xfId="0" applyFont="1" applyFill="1" applyAlignment="1">
      <alignment vertical="top" wrapText="1"/>
    </xf>
    <xf numFmtId="0" fontId="48" fillId="0" borderId="3" xfId="0" applyFont="1" applyBorder="1" applyProtection="1"/>
    <xf numFmtId="0" fontId="11" fillId="0" borderId="0" xfId="0" applyFont="1" applyFill="1" applyBorder="1" applyAlignment="1" applyProtection="1">
      <alignment horizontal="center" vertical="center" wrapText="1"/>
    </xf>
    <xf numFmtId="0" fontId="49" fillId="0" borderId="4" xfId="0" applyFont="1" applyBorder="1" applyAlignment="1" applyProtection="1">
      <alignment horizontal="right"/>
    </xf>
    <xf numFmtId="169" fontId="25" fillId="0" borderId="0" xfId="0" applyNumberFormat="1" applyFont="1" applyFill="1" applyBorder="1" applyAlignment="1" applyProtection="1">
      <alignment horizontal="left" vertical="top" wrapText="1"/>
    </xf>
    <xf numFmtId="0" fontId="64" fillId="0" borderId="0" xfId="0" applyFont="1"/>
    <xf numFmtId="0" fontId="5" fillId="0" borderId="0" xfId="546" applyNumberFormat="1" applyFont="1" applyProtection="1"/>
    <xf numFmtId="169" fontId="0" fillId="0" borderId="0" xfId="0" applyNumberFormat="1" applyFill="1" applyBorder="1" applyAlignment="1" applyProtection="1">
      <alignment horizontal="center"/>
    </xf>
    <xf numFmtId="0" fontId="5" fillId="0" borderId="0" xfId="0" applyFont="1" applyProtection="1">
      <protection locked="0"/>
    </xf>
    <xf numFmtId="169" fontId="5"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5" fillId="0" borderId="0" xfId="0" applyFont="1" applyFill="1" applyBorder="1" applyAlignment="1" applyProtection="1">
      <alignment horizontal="left" vertical="top"/>
    </xf>
    <xf numFmtId="169" fontId="14"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6" fillId="9" borderId="0" xfId="542" applyFont="1" applyFill="1" applyAlignment="1" applyProtection="1">
      <alignment horizontal="centerContinuous"/>
    </xf>
    <xf numFmtId="0" fontId="5" fillId="0" borderId="0" xfId="542" applyProtection="1"/>
    <xf numFmtId="0" fontId="41" fillId="0" borderId="0" xfId="0" applyFont="1" applyProtection="1"/>
    <xf numFmtId="0" fontId="5" fillId="0" borderId="0" xfId="542" applyAlignment="1" applyProtection="1"/>
    <xf numFmtId="0" fontId="14" fillId="0" borderId="0" xfId="0" applyFont="1" applyAlignment="1" applyProtection="1">
      <alignment horizontal="center" vertical="center"/>
    </xf>
    <xf numFmtId="0" fontId="14" fillId="0" borderId="0" xfId="0" applyFont="1" applyAlignment="1">
      <alignment horizontal="center" vertical="center"/>
    </xf>
    <xf numFmtId="169" fontId="26" fillId="0" borderId="0" xfId="546" applyNumberFormat="1" applyFont="1" applyFill="1" applyBorder="1" applyAlignment="1" applyProtection="1">
      <alignment horizontal="left"/>
    </xf>
    <xf numFmtId="169" fontId="26" fillId="0" borderId="0" xfId="546" applyNumberFormat="1" applyFont="1" applyFill="1" applyBorder="1" applyAlignment="1" applyProtection="1">
      <alignment horizontal="center"/>
    </xf>
    <xf numFmtId="0" fontId="10" fillId="0" borderId="0" xfId="0" applyFont="1" applyProtection="1">
      <protection locked="0"/>
    </xf>
    <xf numFmtId="0" fontId="0" fillId="0" borderId="0" xfId="0" applyFill="1" applyAlignment="1">
      <alignment wrapText="1"/>
    </xf>
    <xf numFmtId="1" fontId="14" fillId="0" borderId="0" xfId="0" applyNumberFormat="1" applyFont="1" applyBorder="1" applyAlignment="1" applyProtection="1">
      <alignment horizontal="center"/>
    </xf>
    <xf numFmtId="0" fontId="12" fillId="4" borderId="0" xfId="0" applyFont="1" applyFill="1" applyBorder="1" applyAlignment="1" applyProtection="1">
      <alignment horizontal="center" wrapText="1"/>
    </xf>
    <xf numFmtId="1" fontId="12" fillId="0" borderId="0" xfId="0" applyNumberFormat="1" applyFont="1" applyBorder="1" applyAlignment="1" applyProtection="1">
      <alignment horizontal="left"/>
    </xf>
    <xf numFmtId="0" fontId="12" fillId="0" borderId="9" xfId="0" applyFont="1" applyBorder="1" applyAlignment="1" applyProtection="1">
      <alignment horizontal="center" wrapText="1"/>
    </xf>
    <xf numFmtId="0" fontId="0" fillId="0" borderId="0" xfId="0" applyFill="1" applyAlignment="1">
      <alignment vertical="center"/>
    </xf>
    <xf numFmtId="0" fontId="24" fillId="0" borderId="0" xfId="0" applyFont="1" applyAlignment="1">
      <alignment vertical="top" wrapText="1"/>
    </xf>
    <xf numFmtId="0" fontId="0" fillId="0" borderId="0" xfId="0" applyBorder="1" applyAlignment="1">
      <alignment horizontal="left"/>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pplyProtection="1">
      <alignment horizontal="center" wrapText="1"/>
    </xf>
    <xf numFmtId="0" fontId="42" fillId="2" borderId="12" xfId="0" applyFont="1" applyFill="1" applyBorder="1" applyAlignment="1" applyProtection="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Fill="1" applyBorder="1" applyAlignment="1" applyProtection="1">
      <alignment vertical="top" wrapText="1"/>
    </xf>
    <xf numFmtId="0" fontId="12" fillId="0" borderId="12" xfId="0" applyFont="1" applyBorder="1" applyAlignment="1" applyProtection="1">
      <alignment horizontal="right" vertical="top" wrapText="1"/>
    </xf>
    <xf numFmtId="0" fontId="19" fillId="0" borderId="0" xfId="0" applyFont="1" applyBorder="1" applyAlignment="1" applyProtection="1">
      <alignment horizontal="right" vertical="top" wrapText="1"/>
      <protection locked="0"/>
    </xf>
    <xf numFmtId="0" fontId="19" fillId="0" borderId="0" xfId="0" applyFont="1" applyBorder="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pplyProtection="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0" fontId="13" fillId="0" borderId="0" xfId="0" applyFont="1" applyAlignment="1">
      <alignment vertical="top" wrapText="1"/>
    </xf>
    <xf numFmtId="1" fontId="14" fillId="0" borderId="0" xfId="0" applyNumberFormat="1" applyFont="1" applyProtection="1"/>
    <xf numFmtId="0" fontId="14" fillId="0" borderId="0" xfId="0" applyNumberFormat="1" applyFont="1" applyAlignment="1" applyProtection="1">
      <alignment horizontal="center"/>
    </xf>
    <xf numFmtId="0" fontId="12" fillId="0" borderId="0" xfId="0" applyFont="1" applyFill="1" applyAlignment="1" applyProtection="1">
      <alignment horizontal="left"/>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wrapText="1"/>
    </xf>
    <xf numFmtId="0" fontId="13" fillId="0" borderId="0" xfId="0" applyFont="1" applyFill="1" applyBorder="1" applyAlignment="1" applyProtection="1">
      <alignment horizontal="left" vertical="center"/>
    </xf>
    <xf numFmtId="0" fontId="13" fillId="0" borderId="0" xfId="0" applyFont="1" applyAlignment="1" applyProtection="1">
      <alignment vertical="center"/>
    </xf>
    <xf numFmtId="0" fontId="54" fillId="0" borderId="0" xfId="0" applyFont="1" applyProtection="1"/>
    <xf numFmtId="0" fontId="22" fillId="0" borderId="0" xfId="0" applyFont="1" applyAlignment="1">
      <alignment vertical="top"/>
    </xf>
    <xf numFmtId="0" fontId="13" fillId="0" borderId="0" xfId="0" applyFont="1" applyAlignment="1">
      <alignment vertical="center"/>
    </xf>
    <xf numFmtId="0" fontId="22" fillId="0" borderId="0" xfId="0" applyFont="1" applyAlignment="1">
      <alignment vertical="center"/>
    </xf>
    <xf numFmtId="0" fontId="13" fillId="0" borderId="0" xfId="0" applyNumberFormat="1" applyFont="1" applyAlignment="1">
      <alignment vertical="top" wrapText="1"/>
    </xf>
    <xf numFmtId="0" fontId="22" fillId="0" borderId="0" xfId="0" applyNumberFormat="1" applyFont="1" applyAlignment="1">
      <alignment vertical="top"/>
    </xf>
    <xf numFmtId="0" fontId="22" fillId="0" borderId="0" xfId="0" applyFont="1" applyAlignment="1" applyProtection="1">
      <alignment horizontal="center"/>
    </xf>
    <xf numFmtId="0" fontId="12" fillId="0" borderId="0" xfId="0" applyFont="1" applyFill="1" applyProtection="1"/>
    <xf numFmtId="0" fontId="24" fillId="0" borderId="0" xfId="0" applyFont="1" applyBorder="1" applyProtection="1"/>
    <xf numFmtId="9" fontId="13" fillId="0" borderId="0" xfId="0" applyNumberFormat="1" applyFont="1" applyAlignment="1" applyProtection="1">
      <alignment horizontal="left"/>
    </xf>
    <xf numFmtId="0" fontId="5" fillId="0" borderId="0" xfId="546" applyFont="1" applyFill="1" applyBorder="1" applyAlignment="1" applyProtection="1"/>
    <xf numFmtId="173" fontId="5" fillId="0" borderId="0" xfId="546" applyNumberFormat="1" applyFont="1" applyBorder="1" applyProtection="1"/>
    <xf numFmtId="0" fontId="24" fillId="0" borderId="0" xfId="0" applyFont="1" applyProtection="1"/>
    <xf numFmtId="9" fontId="5" fillId="0" borderId="0" xfId="546" applyNumberFormat="1" applyFont="1" applyFill="1" applyBorder="1" applyAlignment="1" applyProtection="1">
      <alignment vertical="center"/>
    </xf>
    <xf numFmtId="172" fontId="5" fillId="0" borderId="0" xfId="546" applyNumberFormat="1" applyFont="1" applyBorder="1" applyAlignment="1" applyProtection="1"/>
    <xf numFmtId="0" fontId="15" fillId="0" borderId="0" xfId="0" applyFont="1" applyFill="1" applyBorder="1" applyAlignment="1" applyProtection="1"/>
    <xf numFmtId="0" fontId="14" fillId="0" borderId="0" xfId="546" applyFont="1" applyAlignment="1" applyProtection="1">
      <alignment horizontal="left"/>
    </xf>
    <xf numFmtId="0" fontId="14" fillId="0" borderId="0" xfId="546" applyFont="1" applyFill="1" applyAlignment="1" applyProtection="1">
      <alignment horizontal="left"/>
    </xf>
    <xf numFmtId="0" fontId="14" fillId="0" borderId="18" xfId="0" applyFont="1" applyBorder="1" applyProtection="1"/>
    <xf numFmtId="0" fontId="14" fillId="0" borderId="12" xfId="0" applyFont="1" applyBorder="1" applyProtection="1"/>
    <xf numFmtId="2" fontId="34" fillId="0" borderId="12" xfId="0" applyNumberFormat="1" applyFont="1" applyBorder="1" applyProtection="1"/>
    <xf numFmtId="0" fontId="14" fillId="0" borderId="0" xfId="0" applyFont="1" applyFill="1" applyBorder="1" applyAlignment="1" applyProtection="1">
      <alignment vertical="top"/>
    </xf>
    <xf numFmtId="0" fontId="19" fillId="0" borderId="0" xfId="0" applyFont="1" applyBorder="1" applyAlignment="1" applyProtection="1">
      <alignment vertical="top" wrapText="1"/>
    </xf>
    <xf numFmtId="0" fontId="14" fillId="0" borderId="4" xfId="0" applyFont="1" applyBorder="1" applyAlignment="1" applyProtection="1">
      <alignment horizontal="left" vertical="top"/>
    </xf>
    <xf numFmtId="0" fontId="14" fillId="0" borderId="4" xfId="0" applyFont="1" applyBorder="1" applyAlignment="1" applyProtection="1">
      <alignment vertical="top" wrapText="1"/>
    </xf>
    <xf numFmtId="0" fontId="14" fillId="0" borderId="0" xfId="0" applyFont="1" applyAlignment="1">
      <alignment wrapText="1"/>
    </xf>
    <xf numFmtId="0" fontId="12" fillId="0" borderId="0" xfId="0" applyFont="1" applyBorder="1" applyAlignment="1" applyProtection="1">
      <alignment horizontal="left" vertical="top"/>
    </xf>
    <xf numFmtId="0" fontId="46" fillId="0" borderId="0" xfId="0" applyFont="1" applyFill="1" applyAlignment="1" applyProtection="1">
      <alignment horizontal="center"/>
    </xf>
    <xf numFmtId="49" fontId="12" fillId="0" borderId="0" xfId="0" applyNumberFormat="1" applyFont="1" applyFill="1" applyAlignment="1">
      <alignment horizontal="center"/>
    </xf>
    <xf numFmtId="49" fontId="14" fillId="0" borderId="0" xfId="0" applyNumberFormat="1" applyFont="1" applyFill="1"/>
    <xf numFmtId="49" fontId="12" fillId="0" borderId="0" xfId="0" applyNumberFormat="1" applyFont="1" applyFill="1" applyAlignment="1" applyProtection="1">
      <alignment horizontal="center"/>
    </xf>
    <xf numFmtId="0" fontId="46" fillId="0" borderId="0" xfId="0" applyFont="1" applyFill="1" applyAlignment="1" applyProtection="1">
      <alignment horizontal="center" vertical="center"/>
    </xf>
    <xf numFmtId="49" fontId="12" fillId="0" borderId="0" xfId="0" applyNumberFormat="1" applyFont="1" applyFill="1" applyAlignment="1">
      <alignment horizontal="center" vertical="center"/>
    </xf>
    <xf numFmtId="0" fontId="14" fillId="0" borderId="0" xfId="0" applyFont="1" applyFill="1" applyAlignment="1">
      <alignment vertical="center"/>
    </xf>
    <xf numFmtId="49" fontId="14" fillId="0" borderId="0" xfId="0" applyNumberFormat="1" applyFont="1" applyFill="1" applyAlignment="1">
      <alignment vertical="center"/>
    </xf>
    <xf numFmtId="49" fontId="0" fillId="0" borderId="0" xfId="0" applyNumberFormat="1" applyFill="1" applyAlignment="1">
      <alignment vertical="center"/>
    </xf>
    <xf numFmtId="49" fontId="14" fillId="0" borderId="0" xfId="0" applyNumberFormat="1" applyFont="1" applyFill="1" applyAlignment="1" applyProtection="1">
      <alignment horizontal="center"/>
    </xf>
    <xf numFmtId="0" fontId="6" fillId="0" borderId="0" xfId="245" applyFill="1" applyBorder="1" applyProtection="1">
      <protection locked="0"/>
    </xf>
    <xf numFmtId="0" fontId="0" fillId="0" borderId="8" xfId="0" applyFill="1" applyBorder="1" applyProtection="1"/>
    <xf numFmtId="0" fontId="14" fillId="0" borderId="0" xfId="273" applyFont="1"/>
    <xf numFmtId="3" fontId="14" fillId="0" borderId="0" xfId="0" applyNumberFormat="1" applyFont="1" applyFill="1" applyBorder="1" applyAlignment="1" applyProtection="1">
      <alignment horizontal="center"/>
    </xf>
    <xf numFmtId="0" fontId="27" fillId="0" borderId="0" xfId="546" applyNumberFormat="1" applyFont="1" applyBorder="1" applyAlignment="1" applyProtection="1">
      <alignment horizontal="right" vertical="top" wrapText="1"/>
    </xf>
    <xf numFmtId="0" fontId="26" fillId="0" borderId="0" xfId="546" applyNumberFormat="1" applyFont="1" applyBorder="1" applyAlignment="1" applyProtection="1">
      <alignment horizontal="right" vertical="top" wrapText="1"/>
    </xf>
    <xf numFmtId="169" fontId="12" fillId="0" borderId="0" xfId="546" applyNumberFormat="1" applyFont="1" applyFill="1" applyBorder="1" applyAlignment="1" applyProtection="1">
      <alignment horizontal="center" vertical="center"/>
    </xf>
    <xf numFmtId="0" fontId="24"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4" fillId="0" borderId="0" xfId="546" applyNumberFormat="1" applyFont="1" applyBorder="1" applyAlignment="1" applyProtection="1">
      <alignment horizontal="left" vertical="center"/>
    </xf>
    <xf numFmtId="0" fontId="14" fillId="0" borderId="0" xfId="546" applyNumberFormat="1" applyFont="1" applyBorder="1" applyAlignment="1" applyProtection="1">
      <alignment horizontal="right" vertical="top" wrapText="1"/>
    </xf>
    <xf numFmtId="0" fontId="14" fillId="0" borderId="0" xfId="273" applyFont="1" applyAlignment="1">
      <alignment horizontal="center"/>
    </xf>
    <xf numFmtId="0" fontId="14" fillId="0" borderId="0" xfId="273" applyFont="1" applyAlignment="1" applyProtection="1">
      <alignment horizontal="center"/>
    </xf>
    <xf numFmtId="4" fontId="14" fillId="0" borderId="0" xfId="273" applyNumberFormat="1" applyFont="1" applyAlignment="1" applyProtection="1">
      <alignment horizontal="left"/>
    </xf>
    <xf numFmtId="4" fontId="14" fillId="0" borderId="0" xfId="273" applyNumberFormat="1" applyFont="1" applyProtection="1"/>
    <xf numFmtId="0" fontId="12" fillId="0" borderId="0" xfId="273" applyFont="1" applyProtection="1"/>
    <xf numFmtId="0" fontId="14" fillId="0" borderId="0" xfId="273" applyFont="1" applyProtection="1"/>
    <xf numFmtId="0" fontId="14" fillId="0" borderId="0" xfId="273"/>
    <xf numFmtId="169" fontId="14" fillId="0" borderId="0" xfId="273" applyNumberFormat="1" applyFon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3" fontId="14" fillId="0" borderId="0" xfId="273" applyNumberFormat="1" applyFont="1"/>
    <xf numFmtId="3" fontId="14" fillId="0" borderId="0" xfId="273" applyNumberFormat="1" applyFon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Font="1" applyAlignment="1">
      <alignment horizontal="center"/>
    </xf>
    <xf numFmtId="169" fontId="14" fillId="0" borderId="0" xfId="273" applyNumberFormat="1" applyFont="1" applyAlignment="1">
      <alignment horizontal="center"/>
    </xf>
    <xf numFmtId="0" fontId="14" fillId="7" borderId="0" xfId="273" applyFont="1" applyFill="1"/>
    <xf numFmtId="169" fontId="14" fillId="7" borderId="0" xfId="273" applyNumberFormat="1" applyFont="1" applyFill="1"/>
    <xf numFmtId="3" fontId="14" fillId="7" borderId="0" xfId="273" applyNumberFormat="1" applyFont="1" applyFill="1"/>
    <xf numFmtId="3" fontId="14" fillId="0" borderId="0" xfId="273" applyNumberFormat="1" applyFont="1" applyAlignment="1">
      <alignment vertical="top"/>
    </xf>
    <xf numFmtId="10" fontId="12" fillId="0" borderId="0" xfId="273" applyNumberFormat="1" applyFont="1" applyFill="1" applyAlignment="1">
      <alignment horizontal="center"/>
    </xf>
    <xf numFmtId="0" fontId="20" fillId="0" borderId="5" xfId="273" applyFont="1" applyBorder="1" applyAlignment="1">
      <alignment horizontal="center"/>
    </xf>
    <xf numFmtId="3" fontId="71" fillId="0" borderId="5" xfId="273" applyNumberFormat="1" applyFont="1" applyBorder="1"/>
    <xf numFmtId="3" fontId="14" fillId="7" borderId="5" xfId="273" applyNumberFormat="1" applyFont="1" applyFill="1" applyBorder="1"/>
    <xf numFmtId="173" fontId="14" fillId="0" borderId="0" xfId="273" applyNumberFormat="1" applyFont="1" applyAlignment="1">
      <alignment horizontal="center"/>
    </xf>
    <xf numFmtId="10" fontId="72" fillId="0" borderId="0" xfId="273" applyNumberFormat="1" applyFont="1" applyAlignment="1">
      <alignment horizontal="center"/>
    </xf>
    <xf numFmtId="173" fontId="14" fillId="0" borderId="0" xfId="273" applyNumberFormat="1" applyFont="1" applyFill="1" applyAlignment="1">
      <alignment horizontal="center"/>
    </xf>
    <xf numFmtId="2" fontId="14" fillId="0" borderId="0" xfId="273" applyNumberFormat="1" applyFont="1" applyFill="1" applyAlignment="1">
      <alignment horizontal="center"/>
    </xf>
    <xf numFmtId="0" fontId="12" fillId="0" borderId="0" xfId="273" applyFont="1" applyFill="1"/>
    <xf numFmtId="0" fontId="13"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5" fillId="0" borderId="5" xfId="0" applyFont="1" applyBorder="1" applyProtection="1"/>
    <xf numFmtId="0" fontId="5" fillId="0" borderId="4" xfId="0" applyFont="1" applyBorder="1" applyProtection="1"/>
    <xf numFmtId="0" fontId="14" fillId="10" borderId="5" xfId="0" applyFont="1" applyFill="1" applyBorder="1" applyAlignment="1" applyProtection="1"/>
    <xf numFmtId="0" fontId="5" fillId="0" borderId="0" xfId="0" applyNumberFormat="1" applyFont="1" applyFill="1" applyBorder="1" applyAlignment="1" applyProtection="1">
      <alignment horizontal="right" vertical="top"/>
    </xf>
    <xf numFmtId="0" fontId="5" fillId="0" borderId="13" xfId="0" applyNumberFormat="1" applyFont="1" applyFill="1" applyBorder="1" applyAlignment="1" applyProtection="1">
      <alignment horizontal="right" vertical="top"/>
    </xf>
    <xf numFmtId="0" fontId="34" fillId="0" borderId="0" xfId="0" applyFont="1" applyFill="1" applyBorder="1" applyProtection="1"/>
    <xf numFmtId="0" fontId="14" fillId="0" borderId="0" xfId="0" applyFont="1" applyFill="1" applyAlignment="1" applyProtection="1"/>
    <xf numFmtId="169" fontId="28" fillId="0" borderId="0" xfId="0" applyNumberFormat="1" applyFont="1" applyBorder="1" applyAlignment="1" applyProtection="1">
      <alignment vertical="top" wrapText="1"/>
    </xf>
    <xf numFmtId="169" fontId="28" fillId="0" borderId="12" xfId="0" applyNumberFormat="1" applyFont="1" applyBorder="1" applyAlignment="1" applyProtection="1">
      <alignment vertical="top" wrapText="1"/>
    </xf>
    <xf numFmtId="0" fontId="14" fillId="0" borderId="1" xfId="0" applyFont="1" applyBorder="1" applyProtection="1"/>
    <xf numFmtId="169" fontId="14" fillId="0" borderId="3" xfId="0" applyNumberFormat="1" applyFont="1" applyFill="1" applyBorder="1" applyAlignment="1" applyProtection="1">
      <alignment vertical="top"/>
    </xf>
    <xf numFmtId="169" fontId="5" fillId="0" borderId="4" xfId="0" applyNumberFormat="1" applyFont="1" applyFill="1" applyBorder="1" applyAlignment="1" applyProtection="1">
      <alignment vertical="top"/>
    </xf>
    <xf numFmtId="169" fontId="5" fillId="0" borderId="8" xfId="0" applyNumberFormat="1" applyFont="1" applyFill="1" applyBorder="1" applyAlignment="1" applyProtection="1">
      <alignment vertical="top"/>
    </xf>
    <xf numFmtId="169" fontId="5"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5" fillId="7" borderId="4" xfId="0" applyNumberFormat="1" applyFont="1" applyFill="1" applyBorder="1" applyAlignment="1" applyProtection="1">
      <alignment horizontal="left" vertical="top"/>
      <protection locked="0"/>
    </xf>
    <xf numFmtId="0" fontId="5" fillId="7" borderId="8" xfId="0" applyNumberFormat="1" applyFont="1" applyFill="1" applyBorder="1" applyAlignment="1" applyProtection="1">
      <alignment horizontal="left" vertical="top"/>
      <protection locked="0"/>
    </xf>
    <xf numFmtId="0" fontId="14" fillId="0" borderId="0" xfId="0" applyFont="1" applyFill="1" applyAlignment="1">
      <alignment horizontal="left" wrapText="1"/>
    </xf>
    <xf numFmtId="0" fontId="40" fillId="0" borderId="0" xfId="0" applyFont="1" applyAlignment="1">
      <alignment horizontal="left"/>
    </xf>
    <xf numFmtId="0" fontId="14" fillId="0" borderId="0" xfId="273" applyFont="1" applyAlignment="1" applyProtection="1">
      <alignment horizontal="left"/>
    </xf>
    <xf numFmtId="0" fontId="14"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3" fillId="0" borderId="0" xfId="273" applyNumberFormat="1" applyFont="1" applyFill="1" applyBorder="1" applyAlignment="1" applyProtection="1">
      <alignment vertical="top"/>
    </xf>
    <xf numFmtId="164" fontId="14" fillId="0" borderId="0" xfId="273" applyNumberFormat="1" applyFill="1" applyBorder="1" applyAlignment="1" applyProtection="1">
      <alignment horizontal="right"/>
    </xf>
    <xf numFmtId="0" fontId="14" fillId="0" borderId="0" xfId="547" applyFont="1" applyAlignment="1" applyProtection="1"/>
    <xf numFmtId="0" fontId="13" fillId="0" borderId="0" xfId="273" applyFont="1" applyFill="1" applyBorder="1" applyAlignment="1" applyProtection="1">
      <alignment vertical="top"/>
    </xf>
    <xf numFmtId="49" fontId="14" fillId="0" borderId="0" xfId="273" applyNumberFormat="1" applyFont="1" applyAlignment="1" applyProtection="1">
      <alignment horizontal="center"/>
    </xf>
    <xf numFmtId="49" fontId="14" fillId="0" borderId="0" xfId="273" applyNumberFormat="1" applyFont="1" applyAlignment="1">
      <alignment horizontal="center"/>
    </xf>
    <xf numFmtId="0" fontId="12" fillId="0" borderId="0" xfId="0" applyFont="1" applyBorder="1" applyAlignment="1" applyProtection="1"/>
    <xf numFmtId="0" fontId="12" fillId="0" borderId="9" xfId="0" applyFont="1" applyBorder="1" applyAlignment="1" applyProtection="1"/>
    <xf numFmtId="0" fontId="12" fillId="0" borderId="3" xfId="0" applyFont="1" applyBorder="1" applyAlignment="1" applyProtection="1"/>
    <xf numFmtId="0" fontId="12" fillId="0" borderId="4" xfId="0" applyFont="1" applyBorder="1" applyAlignment="1" applyProtection="1"/>
    <xf numFmtId="0" fontId="13" fillId="0" borderId="4" xfId="0" applyFont="1" applyBorder="1" applyAlignment="1" applyProtection="1">
      <alignment horizontal="right"/>
    </xf>
    <xf numFmtId="0" fontId="12" fillId="0" borderId="5" xfId="0" applyFont="1" applyBorder="1" applyAlignment="1" applyProtection="1"/>
    <xf numFmtId="169" fontId="14" fillId="0" borderId="7" xfId="273" applyNumberFormat="1" applyFont="1" applyFill="1" applyBorder="1" applyAlignment="1" applyProtection="1">
      <alignment vertical="top"/>
    </xf>
    <xf numFmtId="0" fontId="13" fillId="0" borderId="5" xfId="0" applyFont="1" applyBorder="1" applyAlignment="1" applyProtection="1">
      <alignment horizontal="right"/>
    </xf>
    <xf numFmtId="4" fontId="14"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4" fillId="0" borderId="0" xfId="0" applyFont="1" applyFill="1" applyAlignment="1" applyProtection="1">
      <alignment horizontal="left"/>
    </xf>
    <xf numFmtId="0" fontId="14" fillId="0" borderId="0" xfId="273" applyFont="1" applyFill="1" applyAlignment="1">
      <alignment horizontal="left"/>
    </xf>
    <xf numFmtId="1" fontId="34" fillId="0" borderId="18" xfId="0" applyNumberFormat="1" applyFont="1" applyBorder="1" applyProtection="1"/>
    <xf numFmtId="1" fontId="34" fillId="0" borderId="17" xfId="0" applyNumberFormat="1" applyFont="1" applyBorder="1" applyProtection="1"/>
    <xf numFmtId="1" fontId="34" fillId="0" borderId="15" xfId="0" applyNumberFormat="1" applyFont="1" applyBorder="1" applyProtection="1"/>
    <xf numFmtId="0" fontId="40" fillId="0" borderId="0" xfId="0" applyFont="1" applyFill="1" applyAlignment="1">
      <alignment horizontal="left"/>
    </xf>
    <xf numFmtId="4" fontId="0" fillId="0" borderId="0" xfId="0" applyNumberFormat="1" applyFill="1" applyProtection="1"/>
    <xf numFmtId="4" fontId="14" fillId="0" borderId="0" xfId="0" applyNumberFormat="1" applyFont="1" applyFill="1" applyProtection="1"/>
    <xf numFmtId="0" fontId="0" fillId="0" borderId="0" xfId="0" applyFill="1" applyAlignment="1"/>
    <xf numFmtId="4" fontId="14" fillId="0" borderId="0" xfId="273" applyNumberFormat="1" applyFont="1" applyFill="1" applyAlignment="1" applyProtection="1">
      <alignment horizontal="left"/>
    </xf>
    <xf numFmtId="4" fontId="14" fillId="0" borderId="0" xfId="273" applyNumberFormat="1" applyFont="1" applyFill="1" applyBorder="1" applyProtection="1"/>
    <xf numFmtId="49" fontId="14" fillId="0" borderId="0" xfId="273" applyNumberFormat="1" applyFont="1" applyFill="1"/>
    <xf numFmtId="0" fontId="13" fillId="0" borderId="5" xfId="273" applyFont="1" applyFill="1" applyBorder="1" applyAlignment="1" applyProtection="1">
      <alignment horizontal="center"/>
    </xf>
    <xf numFmtId="0" fontId="14" fillId="0" borderId="0" xfId="273" applyFont="1" applyFill="1"/>
    <xf numFmtId="0" fontId="13" fillId="0" borderId="0" xfId="273" applyFont="1" applyFill="1" applyProtection="1"/>
    <xf numFmtId="165" fontId="34" fillId="0" borderId="0" xfId="0" applyNumberFormat="1" applyFont="1" applyProtection="1"/>
    <xf numFmtId="165" fontId="34" fillId="0" borderId="9" xfId="0" applyNumberFormat="1" applyFont="1" applyBorder="1" applyProtection="1"/>
    <xf numFmtId="171" fontId="34" fillId="0" borderId="17" xfId="0" applyNumberFormat="1" applyFont="1" applyBorder="1" applyProtection="1"/>
    <xf numFmtId="1" fontId="12" fillId="0" borderId="12" xfId="0" applyNumberFormat="1" applyFont="1" applyBorder="1" applyProtection="1"/>
    <xf numFmtId="165" fontId="12" fillId="0" borderId="12" xfId="0" applyNumberFormat="1" applyFont="1" applyBorder="1" applyProtection="1"/>
    <xf numFmtId="0" fontId="28" fillId="0" borderId="12" xfId="0" applyFont="1" applyFill="1" applyBorder="1" applyAlignment="1" applyProtection="1">
      <alignment horizontal="right" vertical="top"/>
    </xf>
    <xf numFmtId="0" fontId="28" fillId="0" borderId="12" xfId="0" applyFont="1" applyFill="1" applyBorder="1" applyAlignment="1" applyProtection="1">
      <alignment horizontal="right" vertical="top" wrapText="1"/>
    </xf>
    <xf numFmtId="0" fontId="0" fillId="0" borderId="0" xfId="0" applyBorder="1" applyAlignment="1" applyProtection="1"/>
    <xf numFmtId="0" fontId="12" fillId="0" borderId="0" xfId="545" applyFont="1" applyAlignment="1" applyProtection="1"/>
    <xf numFmtId="0" fontId="23" fillId="9" borderId="0" xfId="545" applyFont="1" applyFill="1" applyAlignment="1" applyProtection="1"/>
    <xf numFmtId="0" fontId="14" fillId="9" borderId="0" xfId="545" quotePrefix="1" applyFont="1" applyFill="1" applyAlignment="1" applyProtection="1">
      <alignment horizontal="left"/>
    </xf>
    <xf numFmtId="0" fontId="14" fillId="9" borderId="0" xfId="545" applyFont="1" applyFill="1" applyProtection="1"/>
    <xf numFmtId="0" fontId="65" fillId="0" borderId="0" xfId="545" applyProtection="1"/>
    <xf numFmtId="5" fontId="14" fillId="0" borderId="0" xfId="545" applyNumberFormat="1" applyFont="1" applyProtection="1"/>
    <xf numFmtId="0" fontId="13" fillId="0" borderId="5" xfId="273" applyFont="1" applyFill="1" applyBorder="1" applyAlignment="1" applyProtection="1">
      <alignment horizontal="left"/>
    </xf>
    <xf numFmtId="0" fontId="13" fillId="0" borderId="5" xfId="273" applyFont="1" applyFill="1" applyBorder="1" applyAlignment="1" applyProtection="1">
      <alignment horizontal="right"/>
    </xf>
    <xf numFmtId="0" fontId="13" fillId="0" borderId="0" xfId="0" applyFont="1" applyAlignment="1" applyProtection="1">
      <alignment horizontal="center"/>
    </xf>
    <xf numFmtId="0" fontId="0" fillId="0" borderId="0" xfId="0" applyAlignment="1" applyProtection="1">
      <protection locked="0"/>
    </xf>
    <xf numFmtId="0" fontId="17" fillId="0" borderId="0" xfId="0" applyFont="1" applyBorder="1" applyAlignment="1" applyProtection="1">
      <alignment vertical="center"/>
    </xf>
    <xf numFmtId="0" fontId="5" fillId="0" borderId="18" xfId="0" applyFont="1" applyBorder="1" applyProtection="1"/>
    <xf numFmtId="0" fontId="5" fillId="0" borderId="12" xfId="0" applyFont="1" applyBorder="1" applyProtection="1"/>
    <xf numFmtId="0" fontId="12" fillId="0" borderId="19" xfId="0" applyFont="1" applyBorder="1" applyProtection="1"/>
    <xf numFmtId="0" fontId="10" fillId="0" borderId="12" xfId="254" applyFont="1" applyFill="1" applyBorder="1" applyAlignment="1" applyProtection="1">
      <alignment horizontal="center" wrapText="1"/>
      <protection locked="0"/>
    </xf>
    <xf numFmtId="3" fontId="10" fillId="12" borderId="12" xfId="0" applyNumberFormat="1" applyFont="1" applyFill="1" applyBorder="1" applyProtection="1">
      <protection locked="0"/>
    </xf>
    <xf numFmtId="0" fontId="24" fillId="0" borderId="0" xfId="0" applyFont="1" applyFill="1" applyBorder="1" applyAlignment="1" applyProtection="1">
      <alignment horizontal="center"/>
    </xf>
    <xf numFmtId="0" fontId="24" fillId="0" borderId="0" xfId="0" applyFont="1" applyFill="1" applyBorder="1" applyAlignment="1">
      <alignment horizontal="center"/>
    </xf>
    <xf numFmtId="0" fontId="14" fillId="0" borderId="0" xfId="273" applyFont="1" applyBorder="1" applyProtection="1"/>
    <xf numFmtId="0" fontId="14" fillId="0" borderId="0" xfId="273" quotePrefix="1" applyNumberFormat="1" applyFont="1" applyAlignment="1" applyProtection="1">
      <alignment horizontal="center"/>
    </xf>
    <xf numFmtId="0" fontId="14" fillId="0" borderId="0" xfId="273" applyNumberFormat="1" applyFont="1" applyAlignment="1" applyProtection="1">
      <alignment horizontal="center"/>
    </xf>
    <xf numFmtId="0" fontId="13" fillId="0" borderId="0" xfId="273" applyFont="1" applyProtection="1"/>
    <xf numFmtId="0" fontId="14" fillId="0" borderId="0" xfId="273" applyFont="1" applyFill="1" applyProtection="1"/>
    <xf numFmtId="1" fontId="14" fillId="0" borderId="0" xfId="273" applyNumberFormat="1" applyFont="1" applyProtection="1"/>
    <xf numFmtId="166" fontId="14" fillId="0" borderId="0" xfId="273" applyNumberFormat="1" applyFont="1" applyProtection="1"/>
    <xf numFmtId="0" fontId="0" fillId="0" borderId="0" xfId="0" applyFont="1" applyProtection="1"/>
    <xf numFmtId="1" fontId="5" fillId="0" borderId="0" xfId="546" applyNumberFormat="1" applyFont="1" applyProtection="1"/>
    <xf numFmtId="0" fontId="13" fillId="0" borderId="0" xfId="0" applyNumberFormat="1" applyFont="1" applyAlignment="1" applyProtection="1">
      <alignment horizontal="right"/>
    </xf>
    <xf numFmtId="0" fontId="13" fillId="0" borderId="0" xfId="0" quotePrefix="1" applyNumberFormat="1" applyFont="1" applyAlignment="1" applyProtection="1">
      <alignment horizontal="right"/>
    </xf>
    <xf numFmtId="0" fontId="13" fillId="0" borderId="0" xfId="0" quotePrefix="1" applyNumberFormat="1" applyFont="1" applyFill="1" applyAlignment="1" applyProtection="1">
      <alignment horizontal="right"/>
    </xf>
    <xf numFmtId="1" fontId="5" fillId="0" borderId="0" xfId="546" applyNumberFormat="1" applyFont="1" applyBorder="1" applyProtection="1"/>
    <xf numFmtId="1" fontId="5" fillId="0" borderId="12" xfId="546" applyNumberFormat="1" applyFont="1" applyBorder="1" applyProtection="1"/>
    <xf numFmtId="0" fontId="18" fillId="0" borderId="1" xfId="0" applyFont="1" applyBorder="1" applyProtection="1"/>
    <xf numFmtId="0" fontId="18" fillId="0" borderId="7" xfId="0" applyFont="1" applyBorder="1" applyProtection="1"/>
    <xf numFmtId="0" fontId="18" fillId="0" borderId="9" xfId="0" applyFont="1" applyBorder="1" applyProtection="1"/>
    <xf numFmtId="0" fontId="5" fillId="0" borderId="10" xfId="0" applyFont="1" applyBorder="1" applyProtection="1"/>
    <xf numFmtId="0" fontId="12" fillId="0" borderId="0" xfId="0" applyFont="1" applyBorder="1" applyAlignment="1" applyProtection="1">
      <alignment vertical="top"/>
    </xf>
    <xf numFmtId="0" fontId="28" fillId="2" borderId="11" xfId="0" applyFont="1" applyFill="1" applyBorder="1" applyAlignment="1" applyProtection="1">
      <alignment vertical="top" wrapText="1"/>
    </xf>
    <xf numFmtId="0" fontId="28" fillId="0" borderId="18" xfId="0" applyFont="1" applyBorder="1" applyAlignment="1" applyProtection="1">
      <alignment vertical="top" wrapText="1"/>
    </xf>
    <xf numFmtId="0" fontId="52" fillId="2" borderId="15" xfId="0" applyFont="1" applyFill="1" applyBorder="1" applyAlignment="1" applyProtection="1">
      <alignment vertical="top" wrapText="1"/>
    </xf>
    <xf numFmtId="0" fontId="52" fillId="0" borderId="0" xfId="0" applyFont="1" applyBorder="1" applyAlignment="1" applyProtection="1">
      <alignment vertical="top" wrapText="1"/>
    </xf>
    <xf numFmtId="0" fontId="52"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0" fontId="0" fillId="7" borderId="3" xfId="0" applyFill="1" applyBorder="1"/>
    <xf numFmtId="0" fontId="10"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5" fillId="0" borderId="0" xfId="546" applyFont="1" applyBorder="1" applyAlignment="1" applyProtection="1"/>
    <xf numFmtId="173" fontId="14" fillId="7" borderId="0" xfId="273" applyNumberFormat="1" applyFont="1" applyFill="1" applyAlignment="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14" fillId="0" borderId="0" xfId="0" applyFont="1" applyBorder="1" applyAlignment="1">
      <alignment wrapText="1"/>
    </xf>
    <xf numFmtId="0" fontId="35" fillId="0" borderId="0" xfId="0" applyFont="1" applyFill="1" applyBorder="1" applyAlignment="1">
      <alignment vertical="center" wrapText="1"/>
    </xf>
    <xf numFmtId="0" fontId="13" fillId="0" borderId="0" xfId="0" applyFont="1" applyFill="1" applyBorder="1" applyAlignment="1" applyProtection="1">
      <protection locked="0"/>
    </xf>
    <xf numFmtId="0" fontId="14" fillId="0" borderId="0" xfId="273" applyBorder="1" applyAlignment="1" applyProtection="1">
      <alignment horizontal="center"/>
    </xf>
    <xf numFmtId="0" fontId="14" fillId="0" borderId="0" xfId="273" applyBorder="1" applyProtection="1"/>
    <xf numFmtId="1" fontId="14" fillId="0" borderId="0" xfId="0" applyNumberFormat="1" applyFont="1" applyFill="1" applyBorder="1" applyAlignment="1" applyProtection="1">
      <alignment horizontal="center"/>
    </xf>
    <xf numFmtId="0" fontId="12" fillId="0" borderId="0" xfId="273" applyFont="1" applyFill="1" applyBorder="1" applyAlignment="1" applyProtection="1">
      <alignment horizontal="left"/>
    </xf>
    <xf numFmtId="0" fontId="12" fillId="0" borderId="0" xfId="273" applyFont="1" applyBorder="1" applyAlignment="1" applyProtection="1">
      <alignment horizontal="right"/>
    </xf>
    <xf numFmtId="169" fontId="14" fillId="0" borderId="0" xfId="273" applyNumberFormat="1" applyFont="1" applyFill="1" applyBorder="1" applyAlignment="1" applyProtection="1">
      <alignment horizontal="center"/>
    </xf>
    <xf numFmtId="1" fontId="14" fillId="0" borderId="0" xfId="273" applyNumberFormat="1" applyFont="1" applyFill="1" applyBorder="1" applyAlignment="1" applyProtection="1">
      <alignment horizontal="center"/>
    </xf>
    <xf numFmtId="0" fontId="12" fillId="0" borderId="0" xfId="273" applyFont="1" applyBorder="1" applyAlignment="1" applyProtection="1">
      <alignment horizontal="center"/>
    </xf>
    <xf numFmtId="0" fontId="14" fillId="0" borderId="0" xfId="0" quotePrefix="1" applyFont="1" applyFill="1" applyBorder="1" applyAlignment="1" applyProtection="1">
      <alignment horizontal="center" vertical="top"/>
    </xf>
    <xf numFmtId="49" fontId="13" fillId="0" borderId="0" xfId="0" applyNumberFormat="1" applyFont="1" applyFill="1" applyBorder="1" applyAlignment="1" applyProtection="1">
      <alignment horizontal="left" vertical="center" wrapText="1"/>
    </xf>
    <xf numFmtId="0" fontId="14" fillId="0" borderId="0" xfId="273" applyFill="1"/>
    <xf numFmtId="0" fontId="58" fillId="0" borderId="0" xfId="273" applyFont="1" applyFill="1" applyProtection="1"/>
    <xf numFmtId="0" fontId="58" fillId="0" borderId="0" xfId="273" applyFont="1" applyProtection="1"/>
    <xf numFmtId="9" fontId="10" fillId="7" borderId="0" xfId="273" applyNumberFormat="1" applyFont="1" applyFill="1" applyBorder="1" applyAlignment="1" applyProtection="1">
      <alignment horizontal="right"/>
      <protection locked="0"/>
    </xf>
    <xf numFmtId="1" fontId="10" fillId="7" borderId="0" xfId="273" applyNumberFormat="1" applyFont="1" applyFill="1" applyBorder="1" applyAlignment="1" applyProtection="1">
      <alignment horizontal="center"/>
      <protection locked="0"/>
    </xf>
    <xf numFmtId="169" fontId="10" fillId="7" borderId="0" xfId="273" applyNumberFormat="1" applyFont="1" applyFill="1" applyBorder="1" applyAlignment="1" applyProtection="1">
      <alignment horizontal="center"/>
      <protection locked="0"/>
    </xf>
    <xf numFmtId="169" fontId="10" fillId="7" borderId="0" xfId="273" applyNumberFormat="1" applyFont="1" applyFill="1" applyAlignment="1" applyProtection="1">
      <alignment horizontal="center"/>
      <protection locked="0"/>
    </xf>
    <xf numFmtId="0" fontId="12" fillId="0" borderId="0" xfId="0" applyFont="1" applyFill="1" applyAlignment="1">
      <alignment horizontal="left" vertical="top"/>
    </xf>
    <xf numFmtId="0" fontId="12" fillId="0" borderId="0" xfId="0" applyFont="1" applyFill="1" applyAlignment="1">
      <alignment vertical="top" wrapText="1"/>
    </xf>
    <xf numFmtId="0" fontId="28" fillId="0" borderId="0" xfId="0" applyFont="1" applyFill="1" applyBorder="1" applyAlignment="1">
      <alignment vertical="top" wrapText="1"/>
    </xf>
    <xf numFmtId="0" fontId="12" fillId="0" borderId="0" xfId="273" applyFont="1" applyFill="1" applyBorder="1" applyAlignment="1" applyProtection="1">
      <alignment horizontal="right"/>
    </xf>
    <xf numFmtId="165" fontId="12" fillId="0" borderId="0" xfId="273" applyNumberFormat="1" applyFont="1" applyFill="1" applyBorder="1" applyAlignment="1" applyProtection="1">
      <alignment horizontal="center"/>
    </xf>
    <xf numFmtId="0" fontId="12" fillId="0" borderId="0" xfId="273" applyFont="1" applyFill="1" applyBorder="1" applyAlignment="1" applyProtection="1">
      <alignment horizontal="center"/>
    </xf>
    <xf numFmtId="0" fontId="34" fillId="0" borderId="0" xfId="0" applyFont="1" applyBorder="1" applyProtection="1"/>
    <xf numFmtId="0" fontId="14" fillId="0" borderId="0" xfId="273" applyFont="1" applyFill="1" applyBorder="1" applyAlignment="1" applyProtection="1">
      <alignment horizontal="left"/>
    </xf>
    <xf numFmtId="0" fontId="46" fillId="0" borderId="0" xfId="273" applyFont="1" applyAlignment="1" applyProtection="1">
      <alignment horizontal="center"/>
    </xf>
    <xf numFmtId="0" fontId="6" fillId="0" borderId="0" xfId="245"/>
    <xf numFmtId="0" fontId="14" fillId="0" borderId="6" xfId="0" applyFont="1" applyBorder="1"/>
    <xf numFmtId="0" fontId="55" fillId="0" borderId="0" xfId="0" applyFont="1"/>
    <xf numFmtId="0" fontId="55" fillId="0" borderId="0" xfId="0" applyFont="1" applyAlignment="1">
      <alignment vertical="top"/>
    </xf>
    <xf numFmtId="0" fontId="10" fillId="7" borderId="0" xfId="273" applyFont="1" applyFill="1" applyBorder="1" applyAlignment="1" applyProtection="1">
      <alignment horizontal="left"/>
      <protection locked="0"/>
    </xf>
    <xf numFmtId="0" fontId="28" fillId="0" borderId="0" xfId="273" applyFont="1" applyProtection="1"/>
    <xf numFmtId="0" fontId="13"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4" fillId="0" borderId="0" xfId="273" applyFill="1" applyProtection="1"/>
    <xf numFmtId="0" fontId="14" fillId="0" borderId="0" xfId="273" applyProtection="1"/>
    <xf numFmtId="0" fontId="58" fillId="0" borderId="0" xfId="273" applyFont="1" applyAlignment="1" applyProtection="1">
      <alignment vertical="center"/>
    </xf>
    <xf numFmtId="0" fontId="10" fillId="0" borderId="0" xfId="273" applyFont="1" applyFill="1" applyProtection="1"/>
    <xf numFmtId="0" fontId="10" fillId="0" borderId="5" xfId="273" applyFont="1" applyBorder="1" applyAlignment="1" applyProtection="1">
      <alignment vertical="center"/>
    </xf>
    <xf numFmtId="0" fontId="10" fillId="0" borderId="0" xfId="273" applyFont="1" applyAlignment="1" applyProtection="1">
      <alignment vertical="center"/>
    </xf>
    <xf numFmtId="0" fontId="10" fillId="0" borderId="5" xfId="273" applyFont="1" applyFill="1" applyBorder="1" applyAlignment="1" applyProtection="1">
      <alignment horizontal="center"/>
    </xf>
    <xf numFmtId="0" fontId="10" fillId="0" borderId="5" xfId="273" applyFont="1" applyBorder="1" applyProtection="1"/>
    <xf numFmtId="0" fontId="10"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10"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10" fillId="0" borderId="0" xfId="273" applyFont="1" applyFill="1" applyBorder="1" applyProtection="1"/>
    <xf numFmtId="0" fontId="10" fillId="0" borderId="0" xfId="273" applyFont="1" applyBorder="1" applyProtection="1"/>
    <xf numFmtId="169" fontId="10" fillId="0" borderId="5" xfId="273" applyNumberFormat="1" applyFont="1" applyFill="1" applyBorder="1" applyAlignment="1" applyProtection="1"/>
    <xf numFmtId="169" fontId="10" fillId="0" borderId="0" xfId="273" applyNumberFormat="1" applyFont="1" applyFill="1" applyBorder="1" applyAlignment="1" applyProtection="1"/>
    <xf numFmtId="169" fontId="10" fillId="0" borderId="13" xfId="273" applyNumberFormat="1" applyFont="1" applyFill="1" applyBorder="1" applyAlignment="1" applyProtection="1"/>
    <xf numFmtId="169" fontId="10" fillId="0" borderId="0" xfId="273" applyNumberFormat="1" applyFont="1" applyFill="1" applyBorder="1" applyAlignment="1" applyProtection="1">
      <alignment horizontal="right"/>
    </xf>
    <xf numFmtId="0" fontId="44" fillId="0" borderId="0" xfId="273" applyFont="1" applyFill="1" applyAlignment="1" applyProtection="1">
      <alignment horizontal="right" vertical="center"/>
    </xf>
    <xf numFmtId="169" fontId="10"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10" fillId="0" borderId="2" xfId="273" applyNumberFormat="1" applyFont="1" applyBorder="1" applyAlignment="1" applyProtection="1"/>
    <xf numFmtId="0" fontId="58" fillId="0" borderId="5" xfId="273" applyFont="1" applyBorder="1" applyAlignment="1" applyProtection="1">
      <alignment horizontal="right"/>
    </xf>
    <xf numFmtId="0" fontId="10"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8" fillId="0" borderId="0" xfId="273" applyFont="1" applyBorder="1" applyAlignment="1" applyProtection="1">
      <alignment vertical="center"/>
    </xf>
    <xf numFmtId="0" fontId="10" fillId="0" borderId="0" xfId="273" applyFont="1" applyBorder="1" applyAlignment="1" applyProtection="1">
      <alignment horizontal="right" vertical="center"/>
    </xf>
    <xf numFmtId="0" fontId="10" fillId="0" borderId="0" xfId="273" applyFont="1" applyBorder="1" applyAlignment="1" applyProtection="1">
      <alignment horizontal="right"/>
    </xf>
    <xf numFmtId="0" fontId="58" fillId="0" borderId="0" xfId="273" applyFont="1" applyBorder="1" applyAlignment="1" applyProtection="1">
      <alignment vertical="center" wrapText="1"/>
    </xf>
    <xf numFmtId="0" fontId="10" fillId="0" borderId="0" xfId="273" applyFont="1" applyBorder="1" applyAlignment="1" applyProtection="1">
      <alignment vertical="center"/>
    </xf>
    <xf numFmtId="0" fontId="10" fillId="0" borderId="7" xfId="273" applyFont="1" applyBorder="1" applyProtection="1"/>
    <xf numFmtId="0" fontId="44" fillId="0" borderId="0" xfId="273" applyFont="1" applyFill="1" applyAlignment="1" applyProtection="1">
      <alignment horizontal="left"/>
    </xf>
    <xf numFmtId="9" fontId="10" fillId="0" borderId="5" xfId="273" applyNumberFormat="1" applyFont="1" applyFill="1" applyBorder="1" applyAlignment="1" applyProtection="1">
      <alignment horizontal="center"/>
    </xf>
    <xf numFmtId="9" fontId="10" fillId="0" borderId="5" xfId="273" quotePrefix="1" applyNumberFormat="1" applyFont="1" applyFill="1" applyBorder="1" applyAlignment="1" applyProtection="1">
      <alignment horizontal="center"/>
    </xf>
    <xf numFmtId="0" fontId="10" fillId="0" borderId="5" xfId="273" applyFont="1" applyBorder="1" applyAlignment="1" applyProtection="1">
      <alignment horizontal="center"/>
    </xf>
    <xf numFmtId="169" fontId="10" fillId="0" borderId="0" xfId="273" applyNumberFormat="1" applyFont="1" applyProtection="1"/>
    <xf numFmtId="6" fontId="10" fillId="0" borderId="0" xfId="273" applyNumberFormat="1" applyFont="1" applyProtection="1"/>
    <xf numFmtId="9" fontId="10" fillId="0" borderId="0" xfId="273" applyNumberFormat="1" applyFont="1" applyFill="1" applyBorder="1" applyAlignment="1" applyProtection="1"/>
    <xf numFmtId="165" fontId="10" fillId="0" borderId="5" xfId="273" applyNumberFormat="1" applyFont="1" applyBorder="1" applyAlignment="1" applyProtection="1">
      <alignment horizontal="right"/>
    </xf>
    <xf numFmtId="165" fontId="10" fillId="0" borderId="0" xfId="273" applyNumberFormat="1" applyFont="1" applyBorder="1" applyAlignment="1" applyProtection="1">
      <alignment horizontal="right"/>
    </xf>
    <xf numFmtId="2" fontId="10" fillId="0" borderId="0" xfId="273" applyNumberFormat="1" applyFont="1" applyProtection="1"/>
    <xf numFmtId="0" fontId="10" fillId="0" borderId="0" xfId="273" applyFont="1" applyBorder="1" applyAlignment="1" applyProtection="1">
      <alignment horizontal="center"/>
    </xf>
    <xf numFmtId="169" fontId="10"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Border="1" applyAlignment="1" applyProtection="1">
      <alignment horizontal="right" vertical="top" wrapText="1"/>
    </xf>
    <xf numFmtId="0" fontId="19" fillId="0" borderId="0" xfId="0" applyFont="1" applyBorder="1" applyAlignment="1" applyProtection="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pplyProtection="1">
      <alignment horizontal="right" vertical="top" wrapText="1"/>
    </xf>
    <xf numFmtId="0" fontId="14" fillId="0" borderId="0" xfId="0" applyFont="1" applyAlignment="1">
      <alignment vertical="top"/>
    </xf>
    <xf numFmtId="0" fontId="14" fillId="0" borderId="0" xfId="0" applyFont="1" applyBorder="1" applyAlignment="1" applyProtection="1">
      <alignment vertical="top" wrapText="1"/>
    </xf>
    <xf numFmtId="0" fontId="12" fillId="0" borderId="0" xfId="0" applyFont="1" applyBorder="1" applyAlignment="1" applyProtection="1">
      <alignment horizontal="left" vertical="top" wrapText="1"/>
    </xf>
    <xf numFmtId="0" fontId="14" fillId="0" borderId="0" xfId="0" applyFont="1" applyBorder="1" applyAlignment="1" applyProtection="1">
      <alignment horizontal="right" vertical="top" wrapText="1"/>
    </xf>
    <xf numFmtId="0" fontId="14" fillId="0" borderId="0" xfId="0" applyFont="1" applyBorder="1" applyAlignment="1" applyProtection="1">
      <alignment horizontal="left" vertical="top"/>
    </xf>
    <xf numFmtId="10" fontId="14" fillId="7" borderId="5" xfId="0" applyNumberFormat="1" applyFont="1" applyFill="1" applyBorder="1" applyAlignment="1" applyProtection="1">
      <alignment horizontal="center" vertical="top" wrapText="1"/>
      <protection locked="0"/>
    </xf>
    <xf numFmtId="0" fontId="52" fillId="0" borderId="18" xfId="0" applyFont="1" applyBorder="1" applyAlignment="1" applyProtection="1">
      <alignment vertical="top" wrapText="1"/>
    </xf>
    <xf numFmtId="0" fontId="52" fillId="2" borderId="18" xfId="0" applyFont="1" applyFill="1" applyBorder="1" applyAlignment="1" applyProtection="1">
      <alignment vertical="top" wrapText="1"/>
    </xf>
    <xf numFmtId="0" fontId="20" fillId="0" borderId="0" xfId="0" applyFont="1" applyBorder="1" applyAlignment="1" applyProtection="1">
      <alignment horizontal="left" vertical="center"/>
    </xf>
    <xf numFmtId="0" fontId="21" fillId="0" borderId="0" xfId="0" applyFont="1" applyBorder="1" applyAlignment="1" applyProtection="1">
      <alignment vertical="top" wrapText="1"/>
    </xf>
    <xf numFmtId="0" fontId="21" fillId="2" borderId="0" xfId="0" applyFont="1" applyFill="1" applyBorder="1" applyAlignment="1" applyProtection="1">
      <alignment vertical="top" wrapText="1"/>
    </xf>
    <xf numFmtId="0" fontId="81" fillId="0" borderId="0" xfId="546" applyFont="1" applyProtection="1"/>
    <xf numFmtId="0" fontId="12" fillId="0" borderId="2" xfId="546" applyFont="1" applyBorder="1" applyAlignment="1" applyProtection="1">
      <alignment horizontal="center"/>
    </xf>
    <xf numFmtId="0" fontId="12"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wrapText="1"/>
    </xf>
    <xf numFmtId="0" fontId="81" fillId="0" borderId="0" xfId="0" applyFont="1" applyProtection="1"/>
    <xf numFmtId="0" fontId="6" fillId="0" borderId="0" xfId="245" quotePrefix="1" applyAlignment="1" applyProtection="1">
      <alignment horizontal="left"/>
    </xf>
    <xf numFmtId="0" fontId="107" fillId="0" borderId="0" xfId="0" applyFont="1" applyBorder="1" applyAlignment="1" applyProtection="1">
      <alignment horizontal="left" vertical="top"/>
    </xf>
    <xf numFmtId="0" fontId="28" fillId="0" borderId="0" xfId="0" applyFont="1" applyFill="1" applyBorder="1" applyAlignment="1" applyProtection="1">
      <alignment horizontal="left" vertical="top"/>
    </xf>
    <xf numFmtId="0" fontId="49" fillId="0" borderId="0" xfId="0" applyFont="1" applyFill="1" applyBorder="1" applyAlignment="1" applyProtection="1">
      <alignment horizontal="center"/>
    </xf>
    <xf numFmtId="0" fontId="49"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40" fillId="0" borderId="0" xfId="273" applyFont="1" applyFill="1" applyAlignment="1">
      <alignment horizontal="left"/>
    </xf>
    <xf numFmtId="0" fontId="19" fillId="0" borderId="13" xfId="0" applyFont="1" applyBorder="1" applyAlignment="1" applyProtection="1">
      <alignment vertical="top" wrapText="1"/>
      <protection locked="0"/>
    </xf>
    <xf numFmtId="0" fontId="12" fillId="0" borderId="0" xfId="0" applyFont="1" applyBorder="1" applyAlignment="1" applyProtection="1">
      <alignment horizontal="center" wrapText="1"/>
      <protection locked="0"/>
    </xf>
    <xf numFmtId="0" fontId="14" fillId="0" borderId="0" xfId="0" applyFont="1" applyFill="1" applyBorder="1" applyAlignment="1" applyProtection="1">
      <alignment vertical="top" wrapText="1"/>
      <protection locked="0"/>
    </xf>
    <xf numFmtId="0" fontId="14" fillId="0" borderId="0" xfId="0" applyFont="1" applyBorder="1" applyAlignment="1" applyProtection="1">
      <alignment vertical="top" wrapText="1"/>
      <protection locked="0"/>
    </xf>
    <xf numFmtId="0" fontId="12" fillId="0" borderId="0" xfId="0" applyFont="1" applyBorder="1" applyAlignment="1" applyProtection="1">
      <alignment vertical="top" wrapText="1"/>
      <protection locked="0"/>
    </xf>
    <xf numFmtId="0" fontId="12" fillId="9" borderId="12" xfId="545" applyFont="1" applyFill="1" applyBorder="1" applyAlignment="1" applyProtection="1">
      <alignment horizontal="left"/>
    </xf>
    <xf numFmtId="0" fontId="12"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4" fillId="0" borderId="12" xfId="543" applyNumberFormat="1" applyBorder="1" applyAlignment="1" applyProtection="1">
      <alignment horizontal="center"/>
    </xf>
    <xf numFmtId="0" fontId="66" fillId="0" borderId="12" xfId="545" applyFont="1" applyBorder="1" applyAlignment="1" applyProtection="1">
      <alignment horizontal="left"/>
    </xf>
    <xf numFmtId="0" fontId="52" fillId="0" borderId="13" xfId="0" applyFont="1" applyBorder="1" applyAlignment="1" applyProtection="1">
      <alignment vertical="top" wrapText="1"/>
    </xf>
    <xf numFmtId="0" fontId="85" fillId="0" borderId="0" xfId="0" applyFont="1" applyFill="1" applyAlignment="1">
      <alignment horizontal="left"/>
    </xf>
    <xf numFmtId="0" fontId="49" fillId="0" borderId="0" xfId="0" applyFont="1" applyBorder="1" applyAlignment="1" applyProtection="1">
      <alignment vertical="top" wrapText="1"/>
    </xf>
    <xf numFmtId="0" fontId="49" fillId="0" borderId="12" xfId="0" applyFont="1" applyFill="1" applyBorder="1" applyAlignment="1" applyProtection="1">
      <alignment horizontal="right" vertical="top" wrapText="1"/>
    </xf>
    <xf numFmtId="0" fontId="19" fillId="0" borderId="7" xfId="0" applyFont="1" applyBorder="1" applyAlignment="1" applyProtection="1">
      <alignment vertical="top" wrapText="1"/>
    </xf>
    <xf numFmtId="0" fontId="28" fillId="0" borderId="7" xfId="0" applyFont="1" applyBorder="1" applyAlignment="1" applyProtection="1">
      <alignment vertical="top" wrapText="1"/>
    </xf>
    <xf numFmtId="0" fontId="49" fillId="0" borderId="7" xfId="0" applyFont="1" applyBorder="1" applyAlignment="1" applyProtection="1">
      <alignment vertical="top" wrapText="1"/>
    </xf>
    <xf numFmtId="0" fontId="52" fillId="0" borderId="7" xfId="0" applyFont="1" applyBorder="1" applyAlignment="1" applyProtection="1">
      <alignment vertical="top" wrapText="1"/>
    </xf>
    <xf numFmtId="0" fontId="28" fillId="0" borderId="13" xfId="0" applyFont="1" applyBorder="1" applyAlignment="1" applyProtection="1">
      <alignment vertical="top" wrapText="1"/>
    </xf>
    <xf numFmtId="6" fontId="28" fillId="6" borderId="12" xfId="0" applyNumberFormat="1" applyFont="1" applyFill="1" applyBorder="1" applyAlignment="1" applyProtection="1">
      <alignment vertical="top" wrapText="1"/>
    </xf>
    <xf numFmtId="6" fontId="28" fillId="0" borderId="12" xfId="0" applyNumberFormat="1" applyFont="1" applyFill="1" applyBorder="1" applyAlignment="1" applyProtection="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pplyProtection="1">
      <alignment horizontal="center" vertical="top" wrapText="1"/>
    </xf>
    <xf numFmtId="6" fontId="49" fillId="0" borderId="12" xfId="0" applyNumberFormat="1" applyFont="1" applyFill="1" applyBorder="1" applyAlignment="1" applyProtection="1">
      <alignment vertical="top" wrapText="1"/>
    </xf>
    <xf numFmtId="6" fontId="28" fillId="0" borderId="0" xfId="0" applyNumberFormat="1" applyFont="1" applyBorder="1" applyAlignment="1" applyProtection="1">
      <alignment horizontal="left" vertical="top"/>
    </xf>
    <xf numFmtId="6" fontId="28" fillId="0" borderId="0" xfId="0" applyNumberFormat="1" applyFont="1" applyBorder="1" applyAlignment="1" applyProtection="1">
      <alignment vertical="top" wrapText="1"/>
    </xf>
    <xf numFmtId="6" fontId="49" fillId="0" borderId="12" xfId="0" applyNumberFormat="1" applyFont="1" applyBorder="1" applyAlignment="1" applyProtection="1">
      <alignment vertical="top" wrapText="1"/>
    </xf>
    <xf numFmtId="0" fontId="6" fillId="0" borderId="0" xfId="245" applyFont="1" applyAlignment="1">
      <alignment horizontal="center"/>
    </xf>
    <xf numFmtId="0" fontId="6" fillId="0" borderId="0" xfId="245" applyFont="1" applyBorder="1" applyAlignment="1">
      <alignment horizontal="center"/>
    </xf>
    <xf numFmtId="0" fontId="6" fillId="0" borderId="0" xfId="245" applyFont="1" applyBorder="1" applyAlignment="1" applyProtection="1">
      <alignment horizontal="left"/>
    </xf>
    <xf numFmtId="0" fontId="14" fillId="0" borderId="3" xfId="259" applyBorder="1"/>
    <xf numFmtId="0" fontId="49" fillId="0" borderId="3" xfId="0" applyFont="1" applyBorder="1" applyAlignment="1" applyProtection="1">
      <alignment horizontal="left"/>
    </xf>
    <xf numFmtId="0" fontId="49" fillId="0" borderId="7" xfId="0" applyFont="1" applyBorder="1" applyAlignment="1" applyProtection="1">
      <alignment horizontal="center" wrapText="1"/>
    </xf>
    <xf numFmtId="0" fontId="49" fillId="0" borderId="0" xfId="0" applyFont="1" applyBorder="1" applyAlignment="1" applyProtection="1">
      <alignment horizontal="center" wrapText="1"/>
    </xf>
    <xf numFmtId="0" fontId="25" fillId="0" borderId="0" xfId="0" applyNumberFormat="1" applyFont="1" applyAlignment="1">
      <alignment vertical="top" wrapText="1"/>
    </xf>
    <xf numFmtId="169" fontId="0" fillId="0" borderId="0" xfId="0" applyNumberFormat="1" applyFill="1" applyBorder="1" applyAlignment="1">
      <alignment wrapText="1"/>
    </xf>
    <xf numFmtId="0" fontId="10" fillId="0" borderId="0" xfId="0" applyFont="1" applyProtection="1"/>
    <xf numFmtId="0" fontId="10" fillId="0" borderId="0" xfId="0" applyFont="1" applyBorder="1" applyProtection="1"/>
    <xf numFmtId="0" fontId="10" fillId="0" borderId="12" xfId="254" applyFont="1" applyFill="1" applyBorder="1" applyAlignment="1" applyProtection="1">
      <alignment horizontal="center" wrapText="1"/>
    </xf>
    <xf numFmtId="0" fontId="10" fillId="0" borderId="0" xfId="254" applyFont="1" applyFill="1" applyBorder="1" applyAlignment="1" applyProtection="1">
      <alignment horizontal="center" wrapText="1"/>
    </xf>
    <xf numFmtId="3" fontId="10" fillId="0" borderId="12" xfId="0" applyNumberFormat="1" applyFont="1" applyFill="1" applyBorder="1" applyProtection="1"/>
    <xf numFmtId="3" fontId="10" fillId="0" borderId="0" xfId="0" applyNumberFormat="1" applyFont="1" applyProtection="1"/>
    <xf numFmtId="3" fontId="10" fillId="0" borderId="12" xfId="0" applyNumberFormat="1" applyFont="1" applyBorder="1" applyProtection="1"/>
    <xf numFmtId="3" fontId="10"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10" fillId="0" borderId="12" xfId="0" applyNumberFormat="1" applyFont="1" applyBorder="1" applyProtection="1"/>
    <xf numFmtId="169" fontId="10" fillId="0" borderId="0" xfId="0" applyNumberFormat="1" applyFont="1" applyBorder="1" applyProtection="1"/>
    <xf numFmtId="3" fontId="10" fillId="12" borderId="12" xfId="0" applyNumberFormat="1" applyFont="1" applyFill="1" applyBorder="1" applyAlignment="1" applyProtection="1">
      <alignment horizontal="center"/>
      <protection locked="0"/>
    </xf>
    <xf numFmtId="0" fontId="14" fillId="0" borderId="0" xfId="273" applyFont="1" applyAlignment="1">
      <alignment horizontal="left" wrapText="1"/>
    </xf>
    <xf numFmtId="0" fontId="13" fillId="0" borderId="0" xfId="0" applyNumberFormat="1" applyFont="1" applyBorder="1" applyAlignment="1">
      <alignment vertical="top"/>
    </xf>
    <xf numFmtId="0" fontId="0" fillId="7" borderId="5" xfId="0" applyFill="1" applyBorder="1" applyAlignment="1" applyProtection="1">
      <protection locked="0"/>
    </xf>
    <xf numFmtId="0" fontId="24" fillId="0" borderId="0" xfId="0" applyFont="1" applyAlignment="1">
      <alignment wrapText="1"/>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applyFont="1" applyFill="1" applyAlignment="1">
      <alignment vertical="top" wrapText="1"/>
    </xf>
    <xf numFmtId="0" fontId="69" fillId="0" borderId="0" xfId="0" applyFont="1" applyFill="1"/>
    <xf numFmtId="0" fontId="12" fillId="0" borderId="0" xfId="0" applyFont="1" applyAlignment="1">
      <alignment vertical="top"/>
    </xf>
    <xf numFmtId="0" fontId="14" fillId="0" borderId="0" xfId="0" applyFont="1" applyFill="1" applyAlignment="1">
      <alignment horizontal="left" vertical="top" wrapText="1"/>
    </xf>
    <xf numFmtId="4" fontId="14" fillId="0" borderId="0" xfId="273" applyNumberFormat="1" applyFont="1" applyFill="1" applyAlignment="1" applyProtection="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xf>
    <xf numFmtId="0" fontId="49" fillId="0" borderId="3" xfId="0" applyFont="1" applyFill="1" applyBorder="1" applyAlignment="1" applyProtection="1">
      <alignment horizontal="left"/>
    </xf>
    <xf numFmtId="0" fontId="49" fillId="0" borderId="4" xfId="0" applyFont="1" applyFill="1" applyBorder="1" applyAlignment="1" applyProtection="1">
      <alignment horizontal="right"/>
    </xf>
    <xf numFmtId="0" fontId="28" fillId="0" borderId="7" xfId="0" applyFont="1" applyBorder="1" applyProtection="1"/>
    <xf numFmtId="0" fontId="28" fillId="0" borderId="4" xfId="0" applyFont="1" applyFill="1" applyBorder="1" applyProtection="1"/>
    <xf numFmtId="0" fontId="28" fillId="0" borderId="4" xfId="0" applyFont="1" applyBorder="1" applyProtection="1"/>
    <xf numFmtId="0" fontId="28" fillId="0" borderId="3" xfId="0" applyFont="1" applyBorder="1" applyProtection="1"/>
    <xf numFmtId="0" fontId="28" fillId="0" borderId="1" xfId="0" applyFont="1" applyBorder="1" applyProtection="1"/>
    <xf numFmtId="0" fontId="28" fillId="0" borderId="0" xfId="0" applyFont="1" applyFill="1" applyBorder="1" applyProtection="1"/>
    <xf numFmtId="0" fontId="28"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49" fillId="0" borderId="4" xfId="0" applyFont="1" applyBorder="1" applyProtection="1"/>
    <xf numFmtId="0" fontId="28" fillId="0" borderId="5" xfId="0" applyFont="1" applyFill="1" applyBorder="1" applyProtection="1"/>
    <xf numFmtId="0" fontId="28" fillId="0" borderId="5" xfId="0" applyFont="1" applyBorder="1" applyProtection="1"/>
    <xf numFmtId="0" fontId="49" fillId="0" borderId="5" xfId="0" applyFont="1" applyFill="1" applyBorder="1" applyAlignment="1" applyProtection="1">
      <alignment horizontal="right"/>
    </xf>
    <xf numFmtId="0" fontId="28" fillId="0" borderId="9" xfId="0" applyFont="1" applyBorder="1" applyProtection="1"/>
    <xf numFmtId="0" fontId="13" fillId="0" borderId="12" xfId="0" applyNumberFormat="1" applyFont="1" applyFill="1" applyBorder="1" applyAlignment="1" applyProtection="1">
      <alignment horizontal="center"/>
    </xf>
    <xf numFmtId="0" fontId="14" fillId="0" borderId="0" xfId="0" applyFont="1" applyFill="1" applyAlignment="1" applyProtection="1">
      <alignment horizontal="left" vertical="top" wrapText="1"/>
    </xf>
    <xf numFmtId="0" fontId="13" fillId="0" borderId="0" xfId="0" applyNumberFormat="1" applyFont="1" applyFill="1" applyBorder="1" applyAlignment="1" applyProtection="1">
      <alignment vertical="top" wrapText="1"/>
    </xf>
    <xf numFmtId="0" fontId="14" fillId="0" borderId="0" xfId="0" applyFont="1" applyAlignment="1">
      <alignment vertical="top" wrapText="1"/>
    </xf>
    <xf numFmtId="0" fontId="14" fillId="0" borderId="0" xfId="0" applyFont="1" applyAlignment="1">
      <alignment horizontal="left"/>
    </xf>
    <xf numFmtId="0" fontId="14" fillId="0" borderId="0" xfId="0" applyFont="1" applyAlignment="1">
      <alignment horizontal="left" vertical="top"/>
    </xf>
    <xf numFmtId="0" fontId="0" fillId="7" borderId="5" xfId="0" applyFill="1" applyBorder="1" applyAlignment="1" applyProtection="1">
      <protection locked="0"/>
    </xf>
    <xf numFmtId="0" fontId="14" fillId="0" borderId="0" xfId="0" applyFont="1" applyAlignment="1" applyProtection="1">
      <alignment horizontal="center"/>
    </xf>
    <xf numFmtId="0" fontId="12" fillId="0" borderId="0" xfId="0" applyFont="1" applyAlignment="1" applyProtection="1">
      <alignment horizontal="center"/>
    </xf>
    <xf numFmtId="0" fontId="14" fillId="0" borderId="0" xfId="0" applyFont="1" applyAlignment="1" applyProtection="1">
      <alignment horizontal="center"/>
    </xf>
    <xf numFmtId="0" fontId="6" fillId="0" borderId="0" xfId="245" applyNumberFormat="1" applyFill="1" applyAlignment="1" applyProtection="1">
      <alignment horizontal="left"/>
      <protection locked="0"/>
    </xf>
    <xf numFmtId="0" fontId="14" fillId="0" borderId="0" xfId="259" applyFont="1" applyFill="1" applyAlignment="1">
      <alignment horizontal="left" vertical="top" wrapText="1"/>
    </xf>
    <xf numFmtId="0" fontId="12" fillId="0" borderId="0" xfId="0" applyFont="1" applyAlignment="1"/>
    <xf numFmtId="0" fontId="14" fillId="0" borderId="0" xfId="0" applyFont="1" applyAlignment="1">
      <alignment horizontal="left" vertical="top" wrapText="1"/>
    </xf>
    <xf numFmtId="0" fontId="14" fillId="0" borderId="0" xfId="273" applyFont="1" applyAlignment="1" applyProtection="1">
      <alignment horizontal="left" vertical="top" wrapText="1"/>
    </xf>
    <xf numFmtId="0" fontId="14" fillId="0" borderId="0" xfId="0" applyFont="1" applyAlignment="1" applyProtection="1">
      <alignment horizontal="center"/>
    </xf>
    <xf numFmtId="0" fontId="0" fillId="7" borderId="5" xfId="0" applyFill="1" applyBorder="1" applyAlignment="1" applyProtection="1">
      <protection locked="0"/>
    </xf>
    <xf numFmtId="0" fontId="14" fillId="0" borderId="0" xfId="0" applyFont="1" applyBorder="1" applyAlignment="1">
      <alignment horizontal="left"/>
    </xf>
    <xf numFmtId="0" fontId="14" fillId="0" borderId="0" xfId="273" applyFont="1" applyBorder="1" applyAlignment="1" applyProtection="1">
      <alignment horizontal="left" vertical="top" wrapText="1"/>
    </xf>
    <xf numFmtId="0" fontId="14" fillId="0" borderId="0" xfId="273" applyFont="1" applyFill="1" applyAlignment="1">
      <alignment horizontal="left"/>
    </xf>
    <xf numFmtId="0" fontId="12" fillId="0" borderId="0" xfId="0" applyFont="1" applyAlignment="1" applyProtection="1">
      <alignment horizontal="center"/>
    </xf>
    <xf numFmtId="0" fontId="10" fillId="7" borderId="0" xfId="273" applyFont="1" applyFill="1" applyBorder="1" applyAlignment="1" applyProtection="1">
      <protection locked="0"/>
    </xf>
    <xf numFmtId="0" fontId="28"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10" fillId="7" borderId="5" xfId="273" applyFont="1" applyFill="1" applyBorder="1" applyAlignment="1" applyProtection="1">
      <protection locked="0"/>
    </xf>
    <xf numFmtId="0" fontId="10" fillId="0" borderId="2" xfId="273" applyFont="1" applyBorder="1" applyAlignment="1" applyProtection="1"/>
    <xf numFmtId="0" fontId="58" fillId="0" borderId="2" xfId="273" applyFont="1" applyBorder="1" applyAlignment="1" applyProtection="1">
      <alignment vertical="center"/>
    </xf>
    <xf numFmtId="169" fontId="10" fillId="0" borderId="2" xfId="273" applyNumberFormat="1" applyFont="1" applyFill="1" applyBorder="1" applyAlignment="1" applyProtection="1"/>
    <xf numFmtId="169" fontId="10" fillId="0" borderId="0" xfId="273" applyNumberFormat="1" applyFont="1" applyAlignment="1" applyProtection="1">
      <alignment horizontal="right"/>
    </xf>
    <xf numFmtId="6" fontId="10" fillId="0" borderId="12" xfId="273" applyNumberFormat="1" applyFont="1" applyBorder="1" applyAlignment="1" applyProtection="1">
      <alignment horizontal="right"/>
    </xf>
    <xf numFmtId="0" fontId="10" fillId="0" borderId="5" xfId="273" applyFont="1" applyFill="1" applyBorder="1" applyAlignment="1" applyProtection="1">
      <alignment horizontal="center" vertical="center"/>
    </xf>
    <xf numFmtId="1" fontId="10" fillId="0" borderId="4" xfId="273" applyNumberFormat="1" applyFont="1" applyFill="1" applyBorder="1" applyAlignment="1" applyProtection="1">
      <alignment horizontal="center" vertical="center"/>
    </xf>
    <xf numFmtId="2" fontId="10" fillId="0" borderId="5" xfId="273" applyNumberFormat="1" applyFont="1" applyBorder="1" applyAlignment="1" applyProtection="1">
      <alignment horizontal="center" vertical="center"/>
    </xf>
    <xf numFmtId="0" fontId="14" fillId="0" borderId="0" xfId="0" applyFont="1" applyAlignment="1">
      <alignment horizontal="left" wrapText="1"/>
    </xf>
    <xf numFmtId="0" fontId="14" fillId="0" borderId="0" xfId="0" quotePrefix="1" applyFont="1" applyAlignment="1">
      <alignment horizontal="left" vertical="top"/>
    </xf>
    <xf numFmtId="0" fontId="12" fillId="0" borderId="0" xfId="0" applyFont="1" applyAlignment="1">
      <alignment horizontal="left" vertical="top" wrapText="1"/>
    </xf>
    <xf numFmtId="0" fontId="24" fillId="0" borderId="0" xfId="0" applyFont="1" applyAlignment="1">
      <alignment horizontal="left"/>
    </xf>
    <xf numFmtId="0" fontId="40" fillId="0" borderId="0" xfId="0" applyFont="1" applyAlignment="1">
      <alignment horizontal="left"/>
    </xf>
    <xf numFmtId="4" fontId="14"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2" fillId="0" borderId="8" xfId="0" applyFont="1" applyFill="1" applyBorder="1" applyAlignment="1" applyProtection="1">
      <alignment horizontal="right"/>
    </xf>
    <xf numFmtId="0" fontId="14" fillId="0" borderId="0" xfId="0" applyFont="1" applyAlignment="1" applyProtection="1">
      <alignment horizontal="center"/>
    </xf>
    <xf numFmtId="0" fontId="12" fillId="0" borderId="0" xfId="0" applyFont="1" applyFill="1" applyBorder="1" applyAlignment="1" applyProtection="1">
      <alignment horizontal="center" vertical="top"/>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shrinkToFit="1"/>
    </xf>
    <xf numFmtId="0" fontId="14" fillId="0" borderId="0" xfId="0" applyFont="1" applyAlignment="1">
      <alignment horizontal="left" vertical="top" wrapText="1"/>
    </xf>
    <xf numFmtId="0" fontId="24" fillId="0" borderId="0" xfId="0" applyFont="1" applyAlignment="1">
      <alignment horizontal="left"/>
    </xf>
    <xf numFmtId="0" fontId="14" fillId="0" borderId="0" xfId="0" applyFont="1" applyAlignment="1" applyProtection="1">
      <alignment horizontal="center"/>
    </xf>
    <xf numFmtId="0" fontId="0" fillId="7" borderId="5" xfId="0" applyFill="1" applyBorder="1" applyAlignment="1" applyProtection="1">
      <protection locked="0"/>
    </xf>
    <xf numFmtId="0" fontId="14" fillId="0" borderId="0" xfId="547" applyFont="1" applyProtection="1"/>
    <xf numFmtId="169" fontId="14" fillId="0" borderId="0" xfId="547" applyNumberFormat="1" applyFont="1" applyProtection="1"/>
    <xf numFmtId="0" fontId="13" fillId="0" borderId="0" xfId="0" quotePrefix="1" applyNumberFormat="1" applyFont="1" applyProtection="1"/>
    <xf numFmtId="0" fontId="0" fillId="7" borderId="5" xfId="0" applyFill="1" applyBorder="1" applyAlignment="1" applyProtection="1">
      <protection locked="0"/>
    </xf>
    <xf numFmtId="0" fontId="12" fillId="0" borderId="0" xfId="0" applyFont="1" applyAlignment="1" applyProtection="1">
      <alignment horizontal="center"/>
    </xf>
    <xf numFmtId="1" fontId="0" fillId="0" borderId="0" xfId="0" applyNumberFormat="1" applyBorder="1"/>
    <xf numFmtId="169" fontId="5" fillId="0" borderId="0" xfId="546" applyNumberFormat="1" applyFont="1" applyBorder="1" applyProtection="1"/>
    <xf numFmtId="165" fontId="10" fillId="0" borderId="0" xfId="273" applyNumberFormat="1" applyFont="1" applyFill="1" applyProtection="1"/>
    <xf numFmtId="0" fontId="5" fillId="0" borderId="0" xfId="546" applyFont="1" applyAlignment="1" applyProtection="1">
      <alignment vertical="top"/>
    </xf>
    <xf numFmtId="0" fontId="13" fillId="0" borderId="0" xfId="0" applyFont="1" applyAlignment="1" applyProtection="1">
      <alignment horizontal="right" vertical="top"/>
    </xf>
    <xf numFmtId="169" fontId="5" fillId="0" borderId="0" xfId="546" applyNumberFormat="1" applyFont="1" applyAlignment="1" applyProtection="1">
      <alignment vertical="top"/>
    </xf>
    <xf numFmtId="0" fontId="67" fillId="0" borderId="0" xfId="273" applyFont="1" applyAlignment="1" applyProtection="1">
      <alignment horizontal="right" vertical="center"/>
    </xf>
    <xf numFmtId="0" fontId="10" fillId="0" borderId="0" xfId="273" applyFont="1" applyAlignment="1" applyProtection="1">
      <alignment horizontal="center" vertical="center"/>
    </xf>
    <xf numFmtId="0" fontId="10" fillId="0" borderId="0" xfId="273" applyFont="1" applyAlignment="1" applyProtection="1">
      <alignment horizontal="right" vertical="center"/>
    </xf>
    <xf numFmtId="0" fontId="10"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10" fillId="0" borderId="0" xfId="273" applyFont="1" applyFill="1" applyBorder="1" applyAlignment="1" applyProtection="1">
      <alignment horizontal="left"/>
    </xf>
    <xf numFmtId="0" fontId="10" fillId="0" borderId="0" xfId="273" applyFont="1" applyAlignment="1" applyProtection="1">
      <alignment horizontal="right"/>
    </xf>
    <xf numFmtId="0" fontId="10" fillId="0" borderId="0" xfId="273" applyFont="1" applyAlignment="1" applyProtection="1">
      <alignment horizontal="left" vertical="top" wrapText="1"/>
    </xf>
    <xf numFmtId="169" fontId="10"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10" fillId="0" borderId="0" xfId="273" applyFont="1" applyAlignment="1" applyProtection="1">
      <alignment horizontal="center" vertical="center"/>
    </xf>
    <xf numFmtId="0" fontId="10"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4" fillId="0" borderId="0" xfId="0" applyFont="1" applyAlignment="1">
      <alignment horizontal="left"/>
    </xf>
    <xf numFmtId="49" fontId="14" fillId="0" borderId="0" xfId="0" applyNumberFormat="1" applyFont="1" applyFill="1" applyAlignment="1">
      <alignment horizontal="left" vertical="top" wrapText="1"/>
    </xf>
    <xf numFmtId="4" fontId="14" fillId="0" borderId="0" xfId="0" applyNumberFormat="1" applyFont="1" applyFill="1" applyAlignment="1" applyProtection="1">
      <alignment horizontal="left" vertical="top" wrapText="1"/>
    </xf>
    <xf numFmtId="0" fontId="12" fillId="0" borderId="0" xfId="0" applyFont="1" applyAlignment="1" applyProtection="1">
      <alignment horizontal="center"/>
    </xf>
    <xf numFmtId="1" fontId="10" fillId="7" borderId="5" xfId="273" applyNumberFormat="1" applyFont="1" applyFill="1" applyBorder="1" applyAlignment="1" applyProtection="1">
      <alignment vertical="center"/>
      <protection locked="0"/>
    </xf>
    <xf numFmtId="3" fontId="10" fillId="0" borderId="0" xfId="273" applyNumberFormat="1" applyFont="1" applyFill="1" applyBorder="1" applyAlignment="1" applyProtection="1">
      <alignment horizontal="center"/>
    </xf>
    <xf numFmtId="3" fontId="10" fillId="0" borderId="5" xfId="273" applyNumberFormat="1" applyFont="1" applyFill="1" applyBorder="1" applyAlignment="1" applyProtection="1">
      <alignment horizontal="center"/>
    </xf>
    <xf numFmtId="0" fontId="13" fillId="0" borderId="11" xfId="0" applyFont="1" applyBorder="1" applyProtection="1"/>
    <xf numFmtId="0" fontId="14" fillId="0" borderId="0" xfId="0" applyFont="1" applyBorder="1" applyAlignment="1">
      <alignment horizontal="left"/>
    </xf>
    <xf numFmtId="0" fontId="14" fillId="0" borderId="0" xfId="0" applyFont="1" applyFill="1" applyBorder="1" applyAlignment="1">
      <alignment horizontal="left" vertical="top" wrapText="1"/>
    </xf>
    <xf numFmtId="0" fontId="12" fillId="0" borderId="4" xfId="0" applyFont="1" applyBorder="1" applyAlignment="1">
      <alignment horizontal="right"/>
    </xf>
    <xf numFmtId="0" fontId="12" fillId="0" borderId="4" xfId="0" applyFont="1" applyBorder="1"/>
    <xf numFmtId="0" fontId="38" fillId="0" borderId="0" xfId="0" applyFont="1" applyBorder="1"/>
    <xf numFmtId="0" fontId="0" fillId="0" borderId="0" xfId="0" applyFill="1" applyBorder="1" applyAlignment="1"/>
    <xf numFmtId="0" fontId="38" fillId="0" borderId="0" xfId="0" applyFont="1" applyFill="1" applyBorder="1"/>
    <xf numFmtId="0" fontId="38" fillId="0" borderId="0" xfId="0" applyNumberFormat="1" applyFont="1" applyBorder="1"/>
    <xf numFmtId="0" fontId="43"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4" fillId="0" borderId="0" xfId="273" applyFont="1" applyBorder="1"/>
    <xf numFmtId="0" fontId="14" fillId="0" borderId="0" xfId="273" applyBorder="1"/>
    <xf numFmtId="0" fontId="12" fillId="0" borderId="0" xfId="273" applyFont="1" applyBorder="1"/>
    <xf numFmtId="0" fontId="23" fillId="0" borderId="0" xfId="0" applyFont="1" applyBorder="1"/>
    <xf numFmtId="0" fontId="42" fillId="0" borderId="0" xfId="0" applyFont="1" applyBorder="1"/>
    <xf numFmtId="0" fontId="40" fillId="0" borderId="0" xfId="0" applyFont="1" applyBorder="1"/>
    <xf numFmtId="0" fontId="12" fillId="0" borderId="0" xfId="0" applyNumberFormat="1" applyFont="1" applyBorder="1"/>
    <xf numFmtId="0" fontId="38" fillId="0" borderId="0" xfId="273" applyFont="1" applyBorder="1"/>
    <xf numFmtId="0" fontId="5" fillId="0" borderId="0" xfId="0" applyFont="1" applyFill="1" applyBorder="1"/>
    <xf numFmtId="0" fontId="26" fillId="0" borderId="0" xfId="0" applyFont="1" applyFill="1" applyBorder="1"/>
    <xf numFmtId="0" fontId="34" fillId="0" borderId="0" xfId="0" applyFont="1" applyFill="1" applyBorder="1"/>
    <xf numFmtId="0" fontId="47" fillId="0" borderId="0" xfId="0" applyFont="1" applyFill="1" applyBorder="1"/>
    <xf numFmtId="49" fontId="0" fillId="0" borderId="0" xfId="0" applyNumberFormat="1" applyFill="1" applyProtection="1"/>
    <xf numFmtId="0" fontId="49" fillId="0" borderId="12" xfId="0" applyFont="1" applyBorder="1" applyAlignment="1" applyProtection="1">
      <alignment horizontal="center" wrapText="1"/>
    </xf>
    <xf numFmtId="0" fontId="0" fillId="0" borderId="0" xfId="0"/>
    <xf numFmtId="0" fontId="12" fillId="0" borderId="0" xfId="0" applyFont="1" applyAlignment="1" applyProtection="1">
      <alignment horizontal="center"/>
    </xf>
    <xf numFmtId="0" fontId="0" fillId="0" borderId="0" xfId="0" applyFill="1" applyBorder="1" applyAlignment="1" applyProtection="1">
      <alignment horizontal="center"/>
    </xf>
    <xf numFmtId="169" fontId="10" fillId="0" borderId="2" xfId="273" applyNumberFormat="1" applyFont="1" applyBorder="1" applyProtection="1"/>
    <xf numFmtId="0" fontId="28" fillId="0" borderId="0" xfId="0" applyFont="1" applyBorder="1" applyAlignment="1" applyProtection="1">
      <alignment vertical="top" wrapText="1"/>
    </xf>
    <xf numFmtId="0" fontId="14" fillId="0" borderId="0" xfId="0" applyFont="1" applyFill="1" applyAlignment="1">
      <alignment horizontal="left" vertical="top" wrapText="1"/>
    </xf>
    <xf numFmtId="0" fontId="12" fillId="0" borderId="0" xfId="0" applyFont="1" applyAlignment="1" applyProtection="1">
      <alignment horizontal="center"/>
    </xf>
    <xf numFmtId="0" fontId="5" fillId="0" borderId="0" xfId="0" applyFont="1" applyFill="1" applyBorder="1" applyProtection="1"/>
    <xf numFmtId="0" fontId="5" fillId="0" borderId="0" xfId="0" applyFont="1" applyFill="1" applyAlignment="1" applyProtection="1">
      <alignment horizontal="left" vertical="top"/>
    </xf>
    <xf numFmtId="0" fontId="0" fillId="0" borderId="0" xfId="0"/>
    <xf numFmtId="0" fontId="112" fillId="0" borderId="0" xfId="0" applyFont="1" applyBorder="1" applyAlignment="1" applyProtection="1">
      <alignment horizontal="left" vertical="top"/>
    </xf>
    <xf numFmtId="169" fontId="28" fillId="48" borderId="12" xfId="0" applyNumberFormat="1" applyFont="1" applyFill="1" applyBorder="1" applyAlignment="1" applyProtection="1">
      <alignment vertical="top" wrapText="1"/>
    </xf>
    <xf numFmtId="6" fontId="28" fillId="48" borderId="12" xfId="0" applyNumberFormat="1" applyFont="1" applyFill="1" applyBorder="1" applyAlignment="1" applyProtection="1">
      <alignment vertical="top" wrapText="1"/>
    </xf>
    <xf numFmtId="0" fontId="28" fillId="0" borderId="0" xfId="0" applyFont="1"/>
    <xf numFmtId="0" fontId="6" fillId="0" borderId="0" xfId="245" applyAlignment="1" applyProtection="1"/>
    <xf numFmtId="0" fontId="0" fillId="0" borderId="0" xfId="0" applyAlignment="1" applyProtection="1">
      <alignment wrapText="1"/>
    </xf>
    <xf numFmtId="0" fontId="14" fillId="0" borderId="0" xfId="0" applyFont="1" applyAlignment="1" applyProtection="1">
      <alignment wrapText="1"/>
    </xf>
    <xf numFmtId="0" fontId="12" fillId="0" borderId="0" xfId="0" applyFont="1" applyAlignment="1" applyProtection="1">
      <alignment horizontal="center"/>
    </xf>
    <xf numFmtId="0" fontId="14" fillId="0" borderId="0" xfId="0" applyFont="1" applyAlignment="1">
      <alignment horizontal="left" vertical="top" wrapText="1"/>
    </xf>
    <xf numFmtId="49" fontId="14" fillId="0" borderId="0" xfId="0" applyNumberFormat="1" applyFont="1" applyAlignment="1">
      <alignment horizontal="left" vertical="top" wrapText="1"/>
    </xf>
    <xf numFmtId="173" fontId="5" fillId="0" borderId="7" xfId="546" applyNumberFormat="1" applyFont="1" applyBorder="1" applyProtection="1"/>
    <xf numFmtId="0" fontId="14" fillId="0" borderId="7" xfId="0" applyFont="1" applyBorder="1" applyProtection="1"/>
    <xf numFmtId="0" fontId="12" fillId="0" borderId="7" xfId="0" applyFont="1" applyBorder="1" applyProtection="1"/>
    <xf numFmtId="0" fontId="14" fillId="0" borderId="7" xfId="0" applyFont="1" applyFill="1" applyBorder="1" applyProtection="1"/>
    <xf numFmtId="0" fontId="15" fillId="0" borderId="7" xfId="0" applyFont="1" applyBorder="1" applyAlignment="1" applyProtection="1">
      <alignment horizontal="center"/>
    </xf>
    <xf numFmtId="0" fontId="13" fillId="0" borderId="7" xfId="0" applyFont="1" applyFill="1" applyBorder="1" applyProtection="1"/>
    <xf numFmtId="0" fontId="28" fillId="0" borderId="7" xfId="0" applyFont="1" applyFill="1" applyBorder="1" applyAlignment="1" applyProtection="1"/>
    <xf numFmtId="0" fontId="12" fillId="0" borderId="7" xfId="0" applyFont="1" applyFill="1" applyBorder="1" applyAlignment="1" applyProtection="1">
      <alignment vertical="top"/>
    </xf>
    <xf numFmtId="0" fontId="0" fillId="0" borderId="7" xfId="0" applyFill="1" applyBorder="1" applyProtection="1"/>
    <xf numFmtId="173" fontId="5" fillId="0" borderId="7" xfId="546" applyNumberFormat="1" applyFont="1" applyFill="1" applyBorder="1" applyProtection="1"/>
    <xf numFmtId="2" fontId="13" fillId="0" borderId="7" xfId="0" applyNumberFormat="1" applyFont="1" applyFill="1" applyBorder="1" applyAlignment="1" applyProtection="1">
      <alignment horizontal="left"/>
    </xf>
    <xf numFmtId="0" fontId="13" fillId="0" borderId="7" xfId="0" applyNumberFormat="1" applyFont="1" applyFill="1" applyBorder="1" applyAlignment="1" applyProtection="1">
      <alignment horizontal="right"/>
    </xf>
    <xf numFmtId="0" fontId="14" fillId="0" borderId="7" xfId="0" applyNumberFormat="1" applyFont="1" applyFill="1" applyBorder="1" applyAlignment="1" applyProtection="1"/>
    <xf numFmtId="0" fontId="14" fillId="0" borderId="7" xfId="0" applyNumberFormat="1" applyFont="1" applyBorder="1" applyAlignment="1" applyProtection="1"/>
    <xf numFmtId="2" fontId="13" fillId="0" borderId="7" xfId="0" applyNumberFormat="1" applyFont="1" applyFill="1" applyBorder="1" applyAlignment="1" applyProtection="1">
      <alignment horizontal="right"/>
    </xf>
    <xf numFmtId="173" fontId="12" fillId="0" borderId="7" xfId="546" applyNumberFormat="1" applyFont="1" applyBorder="1" applyProtection="1"/>
    <xf numFmtId="173" fontId="5" fillId="0" borderId="7" xfId="546" applyNumberFormat="1" applyFont="1" applyBorder="1" applyAlignment="1" applyProtection="1"/>
    <xf numFmtId="0" fontId="5" fillId="0" borderId="7" xfId="546" applyFont="1" applyBorder="1" applyAlignment="1" applyProtection="1">
      <alignment vertical="top"/>
    </xf>
    <xf numFmtId="1" fontId="13" fillId="0" borderId="7" xfId="0" applyNumberFormat="1" applyFont="1" applyBorder="1" applyProtection="1"/>
    <xf numFmtId="164" fontId="22" fillId="0" borderId="0" xfId="0" applyNumberFormat="1" applyFont="1" applyFill="1" applyBorder="1" applyAlignment="1" applyProtection="1">
      <alignment vertical="top" wrapText="1"/>
    </xf>
    <xf numFmtId="0" fontId="22" fillId="47" borderId="7" xfId="0" applyNumberFormat="1" applyFont="1" applyFill="1" applyBorder="1" applyAlignment="1" applyProtection="1"/>
    <xf numFmtId="0" fontId="22" fillId="47" borderId="0" xfId="0" applyNumberFormat="1" applyFont="1" applyFill="1" applyBorder="1" applyAlignment="1" applyProtection="1"/>
    <xf numFmtId="0" fontId="13" fillId="0" borderId="0" xfId="0" applyFont="1" applyFill="1" applyBorder="1" applyAlignment="1" applyProtection="1">
      <alignment vertical="center" wrapText="1" shrinkToFit="1"/>
    </xf>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vertical="top"/>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10" fillId="0" borderId="0" xfId="273" applyFont="1" applyAlignment="1" applyProtection="1">
      <alignment horizontal="right"/>
    </xf>
    <xf numFmtId="0" fontId="10" fillId="0" borderId="0" xfId="273" applyFont="1" applyAlignment="1" applyProtection="1">
      <alignment horizontal="left" vertical="top" wrapText="1"/>
    </xf>
    <xf numFmtId="0" fontId="10"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10" fillId="0" borderId="5" xfId="273" applyFont="1" applyBorder="1" applyAlignment="1" applyProtection="1">
      <alignment horizontal="left"/>
    </xf>
    <xf numFmtId="1" fontId="13" fillId="0" borderId="7" xfId="0" applyNumberFormat="1" applyFont="1" applyFill="1" applyBorder="1" applyAlignment="1" applyProtection="1">
      <alignment horizontal="center" vertical="top"/>
    </xf>
    <xf numFmtId="0" fontId="0" fillId="0" borderId="13" xfId="0" applyFill="1" applyBorder="1" applyProtection="1"/>
    <xf numFmtId="0" fontId="13" fillId="0" borderId="9" xfId="0" applyFont="1" applyBorder="1" applyProtection="1"/>
    <xf numFmtId="0" fontId="0" fillId="0" borderId="10" xfId="0" applyFill="1" applyBorder="1" applyProtection="1"/>
    <xf numFmtId="0" fontId="22" fillId="0" borderId="4" xfId="0" applyFont="1" applyBorder="1" applyProtection="1"/>
    <xf numFmtId="0" fontId="12" fillId="0" borderId="4" xfId="0" applyFont="1" applyBorder="1" applyProtection="1"/>
    <xf numFmtId="0" fontId="22" fillId="0" borderId="1" xfId="0" applyFont="1" applyBorder="1" applyAlignment="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13" fillId="0" borderId="5" xfId="0" applyFont="1" applyBorder="1" applyAlignment="1"/>
    <xf numFmtId="0" fontId="13" fillId="0" borderId="10" xfId="0" applyFont="1" applyBorder="1" applyAlignment="1"/>
    <xf numFmtId="0" fontId="22" fillId="0" borderId="9" xfId="0" applyFont="1" applyBorder="1" applyProtection="1"/>
    <xf numFmtId="169" fontId="13" fillId="0" borderId="0" xfId="0" applyNumberFormat="1" applyFont="1" applyFill="1" applyBorder="1" applyAlignment="1" applyProtection="1">
      <alignment horizontal="left" vertical="top" wrapText="1"/>
    </xf>
    <xf numFmtId="169" fontId="10" fillId="0" borderId="0" xfId="273" applyNumberFormat="1" applyFont="1" applyFill="1" applyBorder="1" applyAlignment="1" applyProtection="1">
      <alignment horizontal="right"/>
    </xf>
    <xf numFmtId="0" fontId="22" fillId="0" borderId="0" xfId="0" applyFont="1" applyBorder="1" applyAlignment="1">
      <alignment vertical="top"/>
    </xf>
    <xf numFmtId="0" fontId="13" fillId="0" borderId="0" xfId="0" applyFont="1" applyBorder="1" applyAlignment="1">
      <alignment vertical="top" wrapText="1"/>
    </xf>
    <xf numFmtId="0" fontId="13" fillId="0" borderId="46" xfId="0" applyFont="1" applyBorder="1" applyProtection="1"/>
    <xf numFmtId="0" fontId="13" fillId="0" borderId="47" xfId="0" applyFont="1" applyBorder="1" applyProtection="1"/>
    <xf numFmtId="1" fontId="13" fillId="0" borderId="47" xfId="0" quotePrefix="1" applyNumberFormat="1" applyFont="1" applyFill="1" applyBorder="1" applyAlignment="1" applyProtection="1">
      <alignment horizontal="center" vertical="top"/>
    </xf>
    <xf numFmtId="0" fontId="14"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3" fillId="0" borderId="53" xfId="0" quotePrefix="1" applyNumberFormat="1" applyFont="1" applyFill="1" applyBorder="1" applyAlignment="1" applyProtection="1">
      <alignment horizontal="center" vertical="top"/>
    </xf>
    <xf numFmtId="0" fontId="13" fillId="0" borderId="53" xfId="0" applyFont="1" applyBorder="1" applyAlignment="1">
      <alignment vertical="top" wrapText="1"/>
    </xf>
    <xf numFmtId="0" fontId="5" fillId="0" borderId="49" xfId="546" applyFont="1" applyBorder="1" applyProtection="1"/>
    <xf numFmtId="0" fontId="13" fillId="0" borderId="50" xfId="0" applyFont="1" applyBorder="1" applyProtection="1"/>
    <xf numFmtId="0" fontId="22" fillId="0" borderId="53" xfId="0" applyFont="1" applyBorder="1" applyAlignment="1">
      <alignment vertical="center"/>
    </xf>
    <xf numFmtId="0" fontId="22" fillId="0" borderId="0" xfId="0" applyFont="1" applyBorder="1" applyAlignment="1">
      <alignment vertical="center"/>
    </xf>
    <xf numFmtId="0" fontId="13" fillId="0" borderId="49" xfId="0" applyFont="1" applyBorder="1" applyProtection="1"/>
    <xf numFmtId="0" fontId="5" fillId="0" borderId="52" xfId="546" applyFont="1" applyBorder="1" applyProtection="1"/>
    <xf numFmtId="0" fontId="5" fillId="0" borderId="53" xfId="546" applyFont="1" applyBorder="1" applyProtection="1"/>
    <xf numFmtId="1" fontId="13" fillId="0" borderId="53" xfId="0" applyNumberFormat="1" applyFont="1" applyFill="1" applyBorder="1" applyAlignment="1" applyProtection="1">
      <alignment horizontal="center" vertical="top"/>
    </xf>
    <xf numFmtId="0" fontId="13" fillId="0" borderId="53" xfId="0" applyFont="1" applyBorder="1" applyAlignment="1">
      <alignment vertical="top"/>
    </xf>
    <xf numFmtId="0" fontId="14" fillId="0" borderId="53" xfId="0" applyFont="1" applyBorder="1" applyProtection="1"/>
    <xf numFmtId="0" fontId="12" fillId="0" borderId="53" xfId="0" applyFont="1" applyBorder="1" applyProtection="1"/>
    <xf numFmtId="0" fontId="13" fillId="0" borderId="53" xfId="0" applyFont="1" applyBorder="1" applyProtection="1"/>
    <xf numFmtId="0" fontId="13" fillId="0" borderId="54" xfId="0" applyFont="1" applyBorder="1" applyProtection="1"/>
    <xf numFmtId="0" fontId="13" fillId="0" borderId="52" xfId="0" applyFont="1" applyBorder="1" applyProtection="1"/>
    <xf numFmtId="0" fontId="5" fillId="0" borderId="46" xfId="546" applyFont="1" applyBorder="1" applyProtection="1"/>
    <xf numFmtId="0" fontId="5" fillId="0" borderId="47" xfId="546" applyFont="1" applyBorder="1" applyProtection="1"/>
    <xf numFmtId="0" fontId="5" fillId="0" borderId="48" xfId="546" applyFont="1" applyBorder="1" applyProtection="1"/>
    <xf numFmtId="0" fontId="22" fillId="0" borderId="0" xfId="0" applyNumberFormat="1" applyFont="1" applyBorder="1" applyAlignment="1">
      <alignment vertical="top"/>
    </xf>
    <xf numFmtId="0" fontId="13" fillId="0" borderId="0" xfId="0" applyNumberFormat="1" applyFont="1" applyBorder="1" applyAlignment="1">
      <alignment vertical="top" wrapText="1"/>
    </xf>
    <xf numFmtId="0" fontId="22" fillId="0" borderId="53" xfId="0" applyNumberFormat="1" applyFont="1" applyBorder="1" applyAlignment="1">
      <alignment vertical="top"/>
    </xf>
    <xf numFmtId="0" fontId="13" fillId="0" borderId="53" xfId="0" applyNumberFormat="1" applyFont="1" applyBorder="1" applyAlignment="1">
      <alignment vertical="top" wrapText="1"/>
    </xf>
    <xf numFmtId="0" fontId="13" fillId="0" borderId="48" xfId="0" applyFont="1" applyBorder="1" applyProtection="1"/>
    <xf numFmtId="0" fontId="14" fillId="0" borderId="49" xfId="546" applyFont="1" applyBorder="1" applyProtection="1"/>
    <xf numFmtId="0" fontId="14" fillId="0" borderId="0" xfId="546" applyFont="1" applyBorder="1" applyProtection="1"/>
    <xf numFmtId="0" fontId="13" fillId="0" borderId="0" xfId="0" applyFont="1" applyBorder="1" applyAlignment="1">
      <alignment wrapText="1"/>
    </xf>
    <xf numFmtId="0" fontId="0" fillId="0" borderId="49" xfId="0" applyFill="1" applyBorder="1" applyAlignment="1" applyProtection="1">
      <alignment horizontal="center"/>
    </xf>
    <xf numFmtId="0" fontId="13" fillId="0" borderId="0" xfId="0" applyFont="1" applyBorder="1" applyAlignment="1">
      <alignment vertical="center"/>
    </xf>
    <xf numFmtId="0" fontId="14" fillId="0" borderId="52" xfId="546" applyFont="1" applyBorder="1" applyProtection="1"/>
    <xf numFmtId="0" fontId="14" fillId="0" borderId="53" xfId="546" applyFont="1" applyBorder="1" applyProtection="1"/>
    <xf numFmtId="0" fontId="13" fillId="0" borderId="49" xfId="0" applyFont="1" applyFill="1" applyBorder="1" applyAlignment="1" applyProtection="1">
      <alignment horizontal="left" vertical="top"/>
    </xf>
    <xf numFmtId="0" fontId="13" fillId="0" borderId="52" xfId="0" applyFont="1" applyFill="1" applyBorder="1" applyAlignment="1" applyProtection="1">
      <alignment horizontal="left" vertical="top"/>
    </xf>
    <xf numFmtId="0" fontId="13" fillId="0" borderId="53" xfId="0" applyFont="1" applyFill="1" applyBorder="1" applyAlignment="1" applyProtection="1">
      <alignment horizontal="center" vertical="top"/>
    </xf>
    <xf numFmtId="0" fontId="0" fillId="0" borderId="53" xfId="0" applyFill="1" applyBorder="1" applyAlignment="1" applyProtection="1"/>
    <xf numFmtId="0" fontId="13" fillId="0" borderId="53" xfId="0" applyFont="1" applyFill="1" applyBorder="1" applyAlignment="1" applyProtection="1">
      <alignment horizontal="left" vertical="top"/>
    </xf>
    <xf numFmtId="0" fontId="12" fillId="0" borderId="53" xfId="0" applyFont="1" applyFill="1" applyBorder="1" applyAlignment="1" applyProtection="1">
      <alignment vertical="top"/>
    </xf>
    <xf numFmtId="0" fontId="12" fillId="0" borderId="53"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3" fillId="0" borderId="47" xfId="0" applyFont="1" applyFill="1" applyBorder="1" applyAlignment="1" applyProtection="1">
      <alignment horizontal="left" vertical="top"/>
    </xf>
    <xf numFmtId="0" fontId="12" fillId="0" borderId="49" xfId="0" applyFont="1" applyBorder="1" applyAlignment="1" applyProtection="1">
      <alignment horizontal="left" vertical="top"/>
    </xf>
    <xf numFmtId="0" fontId="76" fillId="0" borderId="0" xfId="0" applyFont="1" applyBorder="1" applyProtection="1"/>
    <xf numFmtId="0" fontId="22" fillId="0" borderId="49" xfId="0" applyFont="1" applyBorder="1" applyProtection="1"/>
    <xf numFmtId="0" fontId="0" fillId="0" borderId="49" xfId="0" applyFill="1" applyBorder="1" applyAlignment="1" applyProtection="1"/>
    <xf numFmtId="0" fontId="0" fillId="0" borderId="53" xfId="0" applyBorder="1" applyProtection="1"/>
    <xf numFmtId="1" fontId="12" fillId="0" borderId="53" xfId="0" applyNumberFormat="1" applyFont="1" applyFill="1" applyBorder="1" applyAlignment="1" applyProtection="1">
      <alignment vertical="top"/>
    </xf>
    <xf numFmtId="0" fontId="12" fillId="0" borderId="46" xfId="0" applyFont="1" applyFill="1" applyBorder="1" applyAlignment="1" applyProtection="1">
      <alignment horizontal="left" vertical="top"/>
    </xf>
    <xf numFmtId="0" fontId="13" fillId="0" borderId="47" xfId="0" applyFont="1" applyFill="1" applyBorder="1" applyAlignment="1" applyProtection="1"/>
    <xf numFmtId="0" fontId="28" fillId="0" borderId="47" xfId="0" applyFont="1" applyFill="1" applyBorder="1" applyAlignment="1" applyProtection="1">
      <alignment horizontal="left" vertical="top"/>
    </xf>
    <xf numFmtId="0" fontId="14" fillId="0" borderId="47" xfId="0" quotePrefix="1" applyFont="1" applyFill="1" applyBorder="1" applyAlignment="1" applyProtection="1">
      <alignment horizontal="center" vertical="top"/>
    </xf>
    <xf numFmtId="0" fontId="12" fillId="0" borderId="47" xfId="0" applyFont="1" applyBorder="1" applyProtection="1"/>
    <xf numFmtId="0" fontId="13" fillId="0" borderId="53" xfId="0" applyFont="1" applyFill="1" applyBorder="1" applyProtection="1"/>
    <xf numFmtId="0" fontId="12" fillId="0" borderId="47" xfId="0" applyFont="1" applyFill="1" applyBorder="1" applyAlignment="1" applyProtection="1">
      <alignment horizontal="center"/>
    </xf>
    <xf numFmtId="0" fontId="12" fillId="0" borderId="47" xfId="0" applyFont="1" applyFill="1" applyBorder="1" applyAlignment="1" applyProtection="1">
      <alignment vertical="top"/>
    </xf>
    <xf numFmtId="0" fontId="5" fillId="0" borderId="49" xfId="546" applyFont="1" applyFill="1" applyBorder="1" applyProtection="1"/>
    <xf numFmtId="0" fontId="5" fillId="0" borderId="0" xfId="546" applyFont="1" applyBorder="1" applyAlignment="1" applyProtection="1"/>
    <xf numFmtId="0" fontId="12" fillId="0" borderId="49" xfId="0" applyFont="1" applyFill="1" applyBorder="1" applyProtection="1"/>
    <xf numFmtId="0" fontId="14" fillId="0" borderId="49" xfId="0" applyFont="1" applyFill="1" applyBorder="1" applyAlignment="1" applyProtection="1"/>
    <xf numFmtId="0" fontId="14" fillId="0" borderId="52" xfId="0" applyFont="1" applyFill="1" applyBorder="1" applyAlignment="1" applyProtection="1"/>
    <xf numFmtId="0" fontId="13" fillId="0" borderId="53" xfId="0" applyFont="1" applyFill="1" applyBorder="1" applyAlignment="1" applyProtection="1">
      <alignment vertical="top" wrapText="1"/>
    </xf>
    <xf numFmtId="0" fontId="13" fillId="0" borderId="50" xfId="0" applyFont="1" applyFill="1" applyBorder="1" applyProtection="1"/>
    <xf numFmtId="0" fontId="5" fillId="0" borderId="50" xfId="546" applyFont="1" applyBorder="1" applyProtection="1"/>
    <xf numFmtId="0" fontId="5" fillId="0" borderId="47" xfId="0" quotePrefix="1" applyFont="1" applyFill="1" applyBorder="1" applyAlignment="1" applyProtection="1">
      <alignment horizontal="center" vertical="top"/>
    </xf>
    <xf numFmtId="0" fontId="24" fillId="0" borderId="46" xfId="0" applyFont="1" applyBorder="1" applyProtection="1"/>
    <xf numFmtId="0" fontId="13" fillId="0" borderId="47" xfId="0" applyFont="1" applyFill="1" applyBorder="1" applyProtection="1"/>
    <xf numFmtId="0" fontId="13" fillId="0" borderId="47" xfId="0" applyFont="1" applyFill="1" applyBorder="1" applyAlignment="1" applyProtection="1">
      <alignment horizontal="center" vertical="top"/>
    </xf>
    <xf numFmtId="0" fontId="13" fillId="0" borderId="47" xfId="0" applyFont="1" applyFill="1" applyBorder="1" applyAlignment="1" applyProtection="1">
      <alignment vertical="top" wrapText="1"/>
    </xf>
    <xf numFmtId="0" fontId="13" fillId="0" borderId="47" xfId="0" applyFont="1" applyFill="1" applyBorder="1" applyAlignment="1" applyProtection="1">
      <alignment horizontal="left" vertical="top" wrapText="1"/>
    </xf>
    <xf numFmtId="0" fontId="116" fillId="0" borderId="0" xfId="0" applyFont="1" applyAlignment="1">
      <alignment vertical="center"/>
    </xf>
    <xf numFmtId="0" fontId="5" fillId="0" borderId="0" xfId="273" applyFont="1" applyFill="1"/>
    <xf numFmtId="9" fontId="14" fillId="0" borderId="0" xfId="273" applyNumberFormat="1" applyFill="1"/>
    <xf numFmtId="0" fontId="10" fillId="0" borderId="0" xfId="273" applyFont="1" applyAlignment="1" applyProtection="1">
      <alignment horizontal="left" vertical="top"/>
    </xf>
    <xf numFmtId="0" fontId="10" fillId="0" borderId="0" xfId="273" applyFont="1" applyAlignment="1" applyProtection="1">
      <alignment vertical="top"/>
    </xf>
    <xf numFmtId="0" fontId="10" fillId="0" borderId="0" xfId="273" applyFont="1" applyAlignment="1" applyProtection="1"/>
    <xf numFmtId="0" fontId="12" fillId="0" borderId="0" xfId="0" applyFont="1" applyFill="1" applyAlignment="1">
      <alignment horizontal="left" vertical="top"/>
    </xf>
    <xf numFmtId="0" fontId="0" fillId="0" borderId="0" xfId="0" applyAlignment="1"/>
    <xf numFmtId="0" fontId="0" fillId="0" borderId="0" xfId="0"/>
    <xf numFmtId="0" fontId="13" fillId="0" borderId="0" xfId="0" applyFont="1" applyAlignment="1">
      <alignment horizontal="left" vertical="top" wrapText="1"/>
    </xf>
    <xf numFmtId="0" fontId="10" fillId="0" borderId="57" xfId="273" applyFont="1" applyBorder="1" applyProtection="1"/>
    <xf numFmtId="0" fontId="10" fillId="0" borderId="50" xfId="273" applyFont="1" applyBorder="1" applyProtection="1"/>
    <xf numFmtId="0" fontId="58" fillId="0" borderId="50" xfId="273" applyFont="1" applyBorder="1" applyAlignment="1" applyProtection="1">
      <alignment vertical="center" wrapText="1"/>
    </xf>
    <xf numFmtId="0" fontId="10" fillId="0" borderId="58" xfId="273" applyFont="1" applyBorder="1" applyProtection="1"/>
    <xf numFmtId="0" fontId="10" fillId="0" borderId="0" xfId="273" applyFont="1" applyBorder="1" applyAlignment="1" applyProtection="1">
      <alignment horizontal="left"/>
    </xf>
    <xf numFmtId="0" fontId="28" fillId="0" borderId="47" xfId="273" applyFont="1" applyBorder="1" applyAlignment="1" applyProtection="1">
      <alignment horizontal="center"/>
    </xf>
    <xf numFmtId="0" fontId="10" fillId="0" borderId="53" xfId="273" applyFont="1" applyBorder="1" applyAlignment="1" applyProtection="1">
      <alignment horizontal="center"/>
    </xf>
    <xf numFmtId="0" fontId="10" fillId="0" borderId="54" xfId="273" applyFont="1" applyBorder="1" applyAlignment="1" applyProtection="1">
      <alignment horizontal="center"/>
    </xf>
    <xf numFmtId="0" fontId="10" fillId="0" borderId="47" xfId="273" applyFont="1" applyBorder="1" applyAlignment="1" applyProtection="1">
      <alignment horizontal="center"/>
    </xf>
    <xf numFmtId="0" fontId="10" fillId="0" borderId="59" xfId="273" applyFont="1" applyBorder="1" applyAlignment="1" applyProtection="1">
      <alignment horizontal="center"/>
    </xf>
    <xf numFmtId="0" fontId="5" fillId="0" borderId="47" xfId="273" applyFont="1" applyBorder="1" applyProtection="1"/>
    <xf numFmtId="0" fontId="5" fillId="0" borderId="47" xfId="273" applyFont="1" applyFill="1" applyBorder="1"/>
    <xf numFmtId="0" fontId="5" fillId="0" borderId="48" xfId="273" applyFont="1" applyBorder="1" applyProtection="1"/>
    <xf numFmtId="0" fontId="5" fillId="0" borderId="53" xfId="273" applyFont="1" applyBorder="1" applyProtection="1"/>
    <xf numFmtId="0" fontId="5" fillId="0" borderId="53" xfId="273" applyFont="1" applyFill="1" applyBorder="1"/>
    <xf numFmtId="0" fontId="5" fillId="0" borderId="54" xfId="273" applyFont="1" applyBorder="1" applyProtection="1"/>
    <xf numFmtId="0" fontId="5" fillId="0" borderId="59" xfId="273" applyFont="1" applyBorder="1" applyProtection="1"/>
    <xf numFmtId="0" fontId="5" fillId="0" borderId="59" xfId="273" applyFont="1" applyFill="1" applyBorder="1"/>
    <xf numFmtId="0" fontId="5"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4" fillId="0" borderId="0" xfId="0" applyFont="1" applyBorder="1" applyAlignment="1">
      <alignment horizontal="left" vertical="top"/>
    </xf>
    <xf numFmtId="0" fontId="5" fillId="0" borderId="0" xfId="0" applyFont="1" applyBorder="1" applyAlignment="1">
      <alignment horizontal="left" vertical="top"/>
    </xf>
    <xf numFmtId="0" fontId="0" fillId="7" borderId="5" xfId="0" applyFill="1" applyBorder="1" applyAlignment="1" applyProtection="1">
      <protection locked="0"/>
    </xf>
    <xf numFmtId="0" fontId="5" fillId="0" borderId="0" xfId="0" applyFont="1" applyBorder="1" applyAlignment="1">
      <alignment vertical="top" wrapText="1"/>
    </xf>
    <xf numFmtId="0" fontId="5" fillId="0" borderId="0" xfId="0" applyFont="1" applyFill="1"/>
    <xf numFmtId="0" fontId="0" fillId="0" borderId="6" xfId="0" applyFill="1" applyBorder="1"/>
    <xf numFmtId="0" fontId="12" fillId="0" borderId="8" xfId="0" applyFont="1" applyFill="1" applyBorder="1" applyAlignment="1" applyProtection="1">
      <alignment horizontal="right"/>
    </xf>
    <xf numFmtId="0" fontId="0" fillId="0" borderId="0" xfId="0" applyAlignment="1">
      <alignment vertical="top" wrapText="1"/>
    </xf>
    <xf numFmtId="0" fontId="12" fillId="0" borderId="0" xfId="0" applyFont="1" applyFill="1" applyBorder="1" applyAlignment="1" applyProtection="1">
      <alignment horizontal="center"/>
    </xf>
    <xf numFmtId="0" fontId="12" fillId="0" borderId="0" xfId="0" applyFont="1" applyBorder="1" applyAlignment="1" applyProtection="1">
      <alignment horizontal="center"/>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horizontal="center" vertical="top"/>
    </xf>
    <xf numFmtId="0" fontId="12" fillId="0" borderId="0" xfId="0" applyFont="1" applyAlignment="1" applyProtection="1">
      <alignment horizontal="center"/>
    </xf>
    <xf numFmtId="0" fontId="13" fillId="0" borderId="0" xfId="0" applyFont="1" applyAlignment="1" applyProtection="1">
      <alignment horizontal="left" vertical="top" wrapText="1"/>
    </xf>
    <xf numFmtId="0" fontId="13" fillId="0" borderId="0" xfId="0" applyFont="1" applyFill="1" applyBorder="1" applyAlignment="1" applyProtection="1">
      <alignment horizontal="left" vertical="top" wrapText="1" shrinkToFit="1"/>
    </xf>
    <xf numFmtId="0" fontId="12" fillId="0" borderId="8" xfId="0" applyFont="1" applyFill="1" applyBorder="1" applyAlignment="1" applyProtection="1">
      <alignment horizontal="right"/>
    </xf>
    <xf numFmtId="0" fontId="14" fillId="0" borderId="0" xfId="0" applyNumberFormat="1" applyFont="1" applyFill="1" applyBorder="1" applyAlignment="1" applyProtection="1">
      <alignment horizontal="center"/>
    </xf>
    <xf numFmtId="0" fontId="12" fillId="0" borderId="0" xfId="0" applyFont="1" applyFill="1" applyBorder="1" applyAlignment="1" applyProtection="1">
      <alignment horizontal="center" wrapText="1"/>
    </xf>
    <xf numFmtId="166" fontId="20"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4" fillId="0" borderId="0" xfId="573" applyNumberFormat="1" applyFont="1" applyFill="1"/>
    <xf numFmtId="169" fontId="10" fillId="7" borderId="5" xfId="273" applyNumberFormat="1" applyFont="1" applyFill="1" applyBorder="1" applyAlignment="1" applyProtection="1">
      <alignment horizontal="right"/>
      <protection locked="0"/>
    </xf>
    <xf numFmtId="0" fontId="12" fillId="0" borderId="0" xfId="0" applyFont="1" applyBorder="1" applyAlignment="1" applyProtection="1">
      <alignment horizontal="center" vertical="top"/>
    </xf>
    <xf numFmtId="0" fontId="0" fillId="0" borderId="0" xfId="0" applyFill="1" applyBorder="1" applyAlignment="1" applyProtection="1">
      <alignment horizontal="center"/>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3" fillId="0" borderId="0" xfId="0" applyFont="1" applyBorder="1" applyAlignment="1">
      <alignment horizontal="left" vertical="top" wrapText="1"/>
    </xf>
    <xf numFmtId="0" fontId="12" fillId="0" borderId="53" xfId="0" applyFont="1" applyBorder="1" applyAlignment="1" applyProtection="1">
      <alignment horizontal="center"/>
    </xf>
    <xf numFmtId="0" fontId="12" fillId="0" borderId="54" xfId="0" applyFont="1" applyBorder="1" applyAlignment="1" applyProtection="1">
      <alignment horizontal="center"/>
    </xf>
    <xf numFmtId="0" fontId="12" fillId="0" borderId="50" xfId="0" applyFont="1" applyBorder="1" applyAlignment="1" applyProtection="1">
      <alignment horizontal="center" vertical="top"/>
    </xf>
    <xf numFmtId="0" fontId="0" fillId="0" borderId="49" xfId="0" applyFill="1" applyBorder="1" applyAlignment="1" applyProtection="1">
      <alignment horizontal="center"/>
    </xf>
    <xf numFmtId="0" fontId="12" fillId="0" borderId="48" xfId="0" applyFont="1" applyBorder="1" applyAlignment="1" applyProtection="1">
      <alignment horizontal="center"/>
    </xf>
    <xf numFmtId="169" fontId="10" fillId="0" borderId="0" xfId="273" applyNumberFormat="1" applyFont="1" applyFill="1" applyBorder="1" applyAlignment="1" applyProtection="1">
      <alignment horizontal="left"/>
    </xf>
    <xf numFmtId="0" fontId="55" fillId="0" borderId="0" xfId="0" applyFont="1" applyAlignment="1">
      <alignment vertical="top" wrapText="1"/>
    </xf>
    <xf numFmtId="0" fontId="14" fillId="0" borderId="7" xfId="0" applyFont="1" applyFill="1" applyBorder="1" applyAlignment="1" applyProtection="1"/>
    <xf numFmtId="0" fontId="12" fillId="0" borderId="47" xfId="0" applyFont="1" applyBorder="1" applyAlignment="1" applyProtection="1"/>
    <xf numFmtId="0" fontId="14" fillId="0" borderId="47" xfId="0" applyFont="1" applyBorder="1" applyProtection="1"/>
    <xf numFmtId="0" fontId="13"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10" fillId="0" borderId="0" xfId="273" applyFont="1" applyBorder="1" applyAlignment="1" applyProtection="1">
      <alignment wrapText="1"/>
    </xf>
    <xf numFmtId="0" fontId="58" fillId="0" borderId="0" xfId="273" applyFont="1" applyBorder="1" applyAlignment="1" applyProtection="1">
      <alignment horizontal="right"/>
    </xf>
    <xf numFmtId="4" fontId="14"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10" fillId="0" borderId="0" xfId="273" applyNumberFormat="1" applyFont="1" applyFill="1" applyBorder="1" applyAlignment="1" applyProtection="1">
      <alignment horizontal="right"/>
    </xf>
    <xf numFmtId="0" fontId="5" fillId="0" borderId="0" xfId="0" applyNumberFormat="1" applyFont="1" applyFill="1" applyAlignment="1" applyProtection="1">
      <alignment horizontal="left" vertical="top"/>
    </xf>
    <xf numFmtId="0" fontId="5" fillId="0" borderId="0" xfId="0" applyNumberFormat="1" applyFont="1" applyFill="1" applyBorder="1" applyAlignment="1" applyProtection="1">
      <alignment horizontal="left" vertical="top"/>
    </xf>
    <xf numFmtId="0" fontId="14"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4" fillId="0" borderId="47" xfId="273" applyBorder="1" applyProtection="1"/>
    <xf numFmtId="0" fontId="14" fillId="0" borderId="47" xfId="273" applyFill="1" applyBorder="1"/>
    <xf numFmtId="0" fontId="117" fillId="0" borderId="47" xfId="273" applyFont="1" applyBorder="1" applyAlignment="1" applyProtection="1">
      <alignment horizontal="left"/>
    </xf>
    <xf numFmtId="0" fontId="5" fillId="0" borderId="61" xfId="273" applyFont="1" applyBorder="1" applyProtection="1"/>
    <xf numFmtId="4" fontId="14" fillId="0" borderId="0" xfId="0" applyNumberFormat="1" applyFont="1" applyFill="1" applyAlignment="1" applyProtection="1">
      <alignment vertical="top" wrapText="1"/>
    </xf>
    <xf numFmtId="0" fontId="12" fillId="0" borderId="10" xfId="0" applyFont="1" applyBorder="1" applyAlignment="1" applyProtection="1">
      <alignment horizontal="right"/>
    </xf>
    <xf numFmtId="0" fontId="14" fillId="0" borderId="0" xfId="0" applyFont="1" applyAlignment="1" applyProtection="1"/>
    <xf numFmtId="0" fontId="14" fillId="0" borderId="0" xfId="0" applyFont="1" applyAlignment="1">
      <alignment horizontal="left" vertical="top" wrapText="1"/>
    </xf>
    <xf numFmtId="0" fontId="14" fillId="0" borderId="0" xfId="273" applyFont="1" applyFill="1" applyBorder="1" applyAlignment="1" applyProtection="1">
      <alignment horizontal="left" vertical="top" wrapText="1"/>
    </xf>
    <xf numFmtId="0" fontId="5" fillId="0" borderId="0" xfId="0" applyFont="1" applyAlignment="1">
      <alignment horizontal="left" vertical="top" wrapText="1"/>
    </xf>
    <xf numFmtId="0" fontId="0" fillId="7" borderId="5" xfId="0" applyFill="1" applyBorder="1" applyAlignment="1" applyProtection="1">
      <protection locked="0"/>
    </xf>
    <xf numFmtId="0" fontId="12" fillId="0" borderId="0" xfId="0" applyFont="1" applyFill="1" applyBorder="1" applyAlignment="1" applyProtection="1">
      <alignment horizontal="left" vertical="top"/>
    </xf>
    <xf numFmtId="0" fontId="5" fillId="0" borderId="5" xfId="0" applyFont="1" applyBorder="1" applyAlignment="1" applyProtection="1"/>
    <xf numFmtId="0" fontId="28" fillId="0" borderId="0" xfId="0" applyFont="1" applyAlignment="1">
      <alignment vertical="center" wrapText="1"/>
    </xf>
    <xf numFmtId="0" fontId="28" fillId="0" borderId="0" xfId="0" applyFont="1" applyAlignment="1">
      <alignment vertical="center"/>
    </xf>
    <xf numFmtId="0" fontId="28" fillId="0" borderId="0" xfId="0" applyFont="1" applyBorder="1" applyAlignment="1" applyProtection="1">
      <alignment horizontal="left"/>
    </xf>
    <xf numFmtId="0" fontId="13" fillId="0" borderId="0" xfId="0" applyFont="1" applyAlignment="1">
      <alignment vertical="center" wrapText="1"/>
    </xf>
    <xf numFmtId="0" fontId="5" fillId="0" borderId="0" xfId="273" applyFont="1" applyBorder="1"/>
    <xf numFmtId="0" fontId="5" fillId="0" borderId="0" xfId="0" applyFont="1"/>
    <xf numFmtId="0" fontId="14" fillId="0" borderId="0" xfId="0" applyFont="1" applyAlignment="1">
      <alignment horizontal="left" vertical="top" wrapText="1"/>
    </xf>
    <xf numFmtId="0" fontId="0" fillId="7" borderId="5" xfId="0" applyFill="1" applyBorder="1" applyAlignment="1" applyProtection="1">
      <protection locked="0"/>
    </xf>
    <xf numFmtId="4" fontId="46" fillId="0" borderId="0" xfId="0" applyNumberFormat="1" applyFont="1" applyFill="1" applyAlignment="1" applyProtection="1">
      <alignment horizontal="center"/>
    </xf>
    <xf numFmtId="4" fontId="5" fillId="0" borderId="0" xfId="0" applyNumberFormat="1" applyFont="1" applyFill="1" applyAlignment="1" applyProtection="1">
      <alignment horizontal="center"/>
    </xf>
    <xf numFmtId="4" fontId="5"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4" fillId="0" borderId="0" xfId="0" applyFont="1" applyAlignment="1">
      <alignment horizontal="left" vertical="top"/>
    </xf>
    <xf numFmtId="0" fontId="12" fillId="0" borderId="0" xfId="0" applyFont="1" applyAlignment="1">
      <alignment horizontal="left"/>
    </xf>
    <xf numFmtId="0" fontId="0" fillId="7" borderId="5" xfId="0" applyFill="1" applyBorder="1" applyAlignment="1" applyProtection="1">
      <protection locked="0"/>
    </xf>
    <xf numFmtId="0" fontId="12"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8" fillId="0" borderId="0" xfId="0" applyFont="1" applyBorder="1" applyAlignment="1" applyProtection="1">
      <alignment vertical="top" wrapText="1"/>
    </xf>
    <xf numFmtId="0" fontId="13" fillId="0" borderId="53" xfId="0" applyFont="1" applyBorder="1" applyAlignment="1">
      <alignment horizontal="left" vertical="top" wrapText="1"/>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3" fillId="0" borderId="0" xfId="0" applyFont="1" applyFill="1" applyBorder="1" applyAlignment="1" applyProtection="1">
      <alignment horizontal="left" vertical="top" wrapText="1"/>
    </xf>
    <xf numFmtId="0" fontId="12" fillId="0" borderId="53" xfId="0" applyFont="1" applyBorder="1" applyAlignment="1" applyProtection="1">
      <alignment horizontal="center"/>
    </xf>
    <xf numFmtId="0" fontId="12" fillId="0" borderId="54" xfId="0" applyFont="1" applyBorder="1" applyAlignment="1" applyProtection="1">
      <alignment horizontal="center"/>
    </xf>
    <xf numFmtId="0" fontId="49" fillId="0" borderId="3" xfId="0" applyFont="1" applyFill="1" applyBorder="1" applyAlignment="1" applyProtection="1">
      <alignment horizontal="left"/>
    </xf>
    <xf numFmtId="0" fontId="0" fillId="0" borderId="0" xfId="0" applyAlignment="1" applyProtection="1"/>
    <xf numFmtId="0" fontId="5" fillId="0" borderId="0" xfId="0" applyFont="1" applyAlignment="1" applyProtection="1">
      <alignment wrapText="1"/>
    </xf>
    <xf numFmtId="0" fontId="0" fillId="7" borderId="5" xfId="0" applyFill="1" applyBorder="1" applyAlignment="1" applyProtection="1">
      <protection locked="0"/>
    </xf>
    <xf numFmtId="0" fontId="12"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2" fillId="0" borderId="0" xfId="0" applyFont="1" applyFill="1" applyBorder="1" applyAlignment="1" applyProtection="1">
      <alignment horizontal="center"/>
    </xf>
    <xf numFmtId="0" fontId="12" fillId="0" borderId="0" xfId="0" applyFont="1" applyBorder="1" applyAlignment="1" applyProtection="1">
      <alignment horizontal="center"/>
    </xf>
    <xf numFmtId="0" fontId="12" fillId="0" borderId="0" xfId="0" applyFont="1" applyAlignment="1" applyProtection="1">
      <alignment horizontal="right"/>
    </xf>
    <xf numFmtId="0" fontId="0" fillId="0" borderId="0" xfId="0" applyFill="1" applyBorder="1" applyAlignment="1" applyProtection="1">
      <alignment horizontal="center"/>
    </xf>
    <xf numFmtId="0" fontId="10" fillId="0" borderId="0" xfId="0" applyFont="1"/>
    <xf numFmtId="10" fontId="5" fillId="0" borderId="0" xfId="0" applyNumberFormat="1" applyFont="1" applyAlignment="1">
      <alignment horizontal="center"/>
    </xf>
    <xf numFmtId="169" fontId="10" fillId="52" borderId="0" xfId="0" applyNumberFormat="1" applyFont="1" applyFill="1"/>
    <xf numFmtId="2" fontId="14" fillId="0" borderId="12" xfId="273" applyNumberFormat="1" applyFont="1" applyFill="1" applyBorder="1" applyAlignment="1">
      <alignment horizontal="center"/>
    </xf>
    <xf numFmtId="3" fontId="5" fillId="0" borderId="0" xfId="273" applyNumberFormat="1" applyFont="1"/>
    <xf numFmtId="169" fontId="5" fillId="0" borderId="0" xfId="273" applyNumberFormat="1" applyFont="1"/>
    <xf numFmtId="3" fontId="5" fillId="0" borderId="5" xfId="273" applyNumberFormat="1" applyFont="1" applyBorder="1"/>
    <xf numFmtId="169" fontId="14" fillId="0" borderId="0" xfId="273" applyNumberFormat="1" applyFont="1" applyFill="1"/>
    <xf numFmtId="169" fontId="14" fillId="0" borderId="0" xfId="273" applyNumberFormat="1" applyFont="1" applyFill="1" applyAlignment="1">
      <alignment horizontal="center"/>
    </xf>
    <xf numFmtId="3" fontId="14" fillId="0" borderId="0" xfId="273" applyNumberFormat="1" applyFont="1" applyFill="1"/>
    <xf numFmtId="3" fontId="14" fillId="0" borderId="0" xfId="273" applyNumberFormat="1" applyFont="1" applyFill="1" applyAlignment="1">
      <alignment horizontal="center"/>
    </xf>
    <xf numFmtId="169" fontId="5" fillId="0" borderId="0" xfId="0" applyNumberFormat="1" applyFont="1" applyFill="1"/>
    <xf numFmtId="169" fontId="14" fillId="0" borderId="12" xfId="273" applyNumberFormat="1" applyFont="1" applyBorder="1" applyAlignment="1">
      <alignment horizontal="center"/>
    </xf>
    <xf numFmtId="10" fontId="14" fillId="0" borderId="12" xfId="273" applyNumberFormat="1" applyFont="1" applyBorder="1" applyAlignment="1">
      <alignment horizontal="center"/>
    </xf>
    <xf numFmtId="3" fontId="5" fillId="0" borderId="0" xfId="0" applyNumberFormat="1" applyFont="1"/>
    <xf numFmtId="3" fontId="5" fillId="0" borderId="5" xfId="0" applyNumberFormat="1" applyFont="1" applyBorder="1"/>
    <xf numFmtId="169" fontId="5" fillId="0" borderId="0" xfId="0" applyNumberFormat="1" applyFont="1"/>
    <xf numFmtId="164" fontId="5" fillId="0" borderId="0" xfId="574" applyNumberFormat="1" applyFont="1" applyFill="1" applyBorder="1" applyAlignment="1" applyProtection="1">
      <alignment vertical="top" wrapText="1"/>
    </xf>
    <xf numFmtId="0" fontId="12" fillId="0" borderId="13" xfId="0" applyFont="1" applyFill="1" applyBorder="1" applyAlignment="1" applyProtection="1"/>
    <xf numFmtId="0" fontId="13" fillId="0" borderId="13" xfId="0" applyFont="1" applyBorder="1" applyProtection="1"/>
    <xf numFmtId="0" fontId="13" fillId="0" borderId="74" xfId="0" applyFont="1" applyBorder="1" applyProtection="1"/>
    <xf numFmtId="0" fontId="22" fillId="0" borderId="0" xfId="0" applyFont="1" applyFill="1" applyBorder="1" applyAlignment="1" applyProtection="1">
      <alignment vertical="top"/>
    </xf>
    <xf numFmtId="0" fontId="14" fillId="0" borderId="52" xfId="0" applyFont="1" applyBorder="1" applyProtection="1"/>
    <xf numFmtId="0" fontId="22" fillId="0" borderId="0" xfId="0" applyFont="1" applyFill="1" applyBorder="1" applyAlignment="1">
      <alignment vertical="center"/>
    </xf>
    <xf numFmtId="0" fontId="0" fillId="0" borderId="0" xfId="0" applyFill="1" applyBorder="1" applyAlignment="1">
      <alignment vertical="top" wrapText="1"/>
    </xf>
    <xf numFmtId="0" fontId="12" fillId="0" borderId="54" xfId="0" applyFont="1" applyFill="1" applyBorder="1" applyAlignment="1" applyProtection="1">
      <alignment vertical="top"/>
    </xf>
    <xf numFmtId="0" fontId="0" fillId="0" borderId="52" xfId="0" applyFill="1" applyBorder="1" applyAlignment="1" applyProtection="1"/>
    <xf numFmtId="0" fontId="22" fillId="0" borderId="53" xfId="0" applyFont="1" applyFill="1" applyBorder="1" applyAlignment="1" applyProtection="1">
      <alignment vertical="top"/>
    </xf>
    <xf numFmtId="0" fontId="22" fillId="0" borderId="0" xfId="0" applyNumberFormat="1" applyFont="1" applyFill="1" applyBorder="1" applyAlignment="1" applyProtection="1">
      <alignment vertical="top"/>
    </xf>
    <xf numFmtId="169" fontId="5" fillId="0" borderId="0" xfId="0" applyNumberFormat="1" applyFont="1" applyFill="1" applyBorder="1" applyAlignment="1" applyProtection="1">
      <alignment horizontal="right"/>
    </xf>
    <xf numFmtId="0" fontId="5" fillId="0" borderId="9" xfId="0" applyFont="1" applyBorder="1" applyAlignment="1" applyProtection="1">
      <alignment horizontal="left"/>
    </xf>
    <xf numFmtId="0" fontId="5" fillId="0" borderId="3" xfId="0" applyFont="1" applyFill="1" applyBorder="1" applyAlignment="1" applyProtection="1"/>
    <xf numFmtId="0" fontId="0" fillId="0" borderId="4" xfId="0" applyFill="1" applyBorder="1" applyAlignment="1" applyProtection="1"/>
    <xf numFmtId="0" fontId="5" fillId="0" borderId="3"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alignment horizontal="center"/>
    </xf>
    <xf numFmtId="0" fontId="0" fillId="0" borderId="13" xfId="0" applyFill="1" applyBorder="1" applyAlignment="1" applyProtection="1">
      <alignment horizontal="center"/>
    </xf>
    <xf numFmtId="0" fontId="5" fillId="0" borderId="9" xfId="0" applyFont="1" applyFill="1" applyBorder="1" applyProtection="1"/>
    <xf numFmtId="0" fontId="110" fillId="0" borderId="0" xfId="0" applyFont="1" applyProtection="1"/>
    <xf numFmtId="0" fontId="5" fillId="0" borderId="12" xfId="546" applyFont="1" applyFill="1" applyBorder="1" applyAlignment="1" applyProtection="1"/>
    <xf numFmtId="0" fontId="5" fillId="0" borderId="3" xfId="546" applyFont="1" applyFill="1" applyBorder="1" applyAlignment="1" applyProtection="1"/>
    <xf numFmtId="0" fontId="5" fillId="0" borderId="8" xfId="546" applyFont="1" applyFill="1" applyBorder="1" applyAlignment="1" applyProtection="1"/>
    <xf numFmtId="0" fontId="5" fillId="0" borderId="4" xfId="546" applyFont="1" applyFill="1" applyBorder="1" applyAlignment="1" applyProtection="1"/>
    <xf numFmtId="0" fontId="12" fillId="0" borderId="8" xfId="0" applyFont="1" applyBorder="1" applyAlignment="1" applyProtection="1"/>
    <xf numFmtId="0" fontId="12" fillId="0" borderId="3" xfId="574" applyFont="1" applyBorder="1" applyAlignment="1" applyProtection="1"/>
    <xf numFmtId="0" fontId="12" fillId="0" borderId="4" xfId="574" applyFont="1" applyBorder="1" applyAlignment="1" applyProtection="1"/>
    <xf numFmtId="0" fontId="12" fillId="0" borderId="8" xfId="574" applyFont="1" applyBorder="1" applyAlignment="1" applyProtection="1"/>
    <xf numFmtId="0" fontId="110" fillId="0" borderId="0" xfId="0" applyFont="1" applyAlignment="1" applyProtection="1"/>
    <xf numFmtId="0" fontId="12" fillId="0" borderId="0" xfId="574" applyFont="1" applyProtection="1"/>
    <xf numFmtId="0" fontId="5" fillId="0" borderId="0" xfId="574" applyFont="1" applyProtection="1"/>
    <xf numFmtId="0" fontId="13" fillId="0" borderId="0" xfId="574" applyFont="1" applyFill="1" applyBorder="1" applyAlignment="1" applyProtection="1">
      <alignment horizontal="center"/>
    </xf>
    <xf numFmtId="0" fontId="13" fillId="0" borderId="5" xfId="574" applyFont="1" applyFill="1" applyBorder="1" applyAlignment="1" applyProtection="1">
      <alignment horizontal="right"/>
    </xf>
    <xf numFmtId="0" fontId="13" fillId="0" borderId="5" xfId="574" applyFont="1" applyFill="1" applyBorder="1" applyAlignment="1" applyProtection="1">
      <alignment horizontal="left"/>
    </xf>
    <xf numFmtId="1" fontId="5" fillId="0" borderId="18" xfId="574" applyNumberFormat="1" applyFont="1" applyBorder="1" applyProtection="1"/>
    <xf numFmtId="1" fontId="12" fillId="0" borderId="15" xfId="574" applyNumberFormat="1" applyFont="1" applyBorder="1" applyProtection="1"/>
    <xf numFmtId="165" fontId="12" fillId="0" borderId="12" xfId="574" applyNumberFormat="1" applyFont="1" applyBorder="1" applyProtection="1"/>
    <xf numFmtId="1" fontId="5" fillId="0" borderId="12" xfId="574" applyNumberFormat="1" applyFont="1" applyBorder="1" applyProtection="1"/>
    <xf numFmtId="165" fontId="5" fillId="0" borderId="12" xfId="574" applyNumberFormat="1" applyFont="1" applyBorder="1" applyProtection="1"/>
    <xf numFmtId="171" fontId="5" fillId="0" borderId="12" xfId="574" applyNumberFormat="1" applyFont="1" applyBorder="1" applyProtection="1"/>
    <xf numFmtId="0" fontId="12" fillId="0" borderId="3" xfId="0" applyFont="1" applyFill="1" applyBorder="1" applyAlignment="1" applyProtection="1"/>
    <xf numFmtId="0" fontId="12" fillId="0" borderId="8" xfId="0" applyFont="1" applyFill="1" applyBorder="1" applyAlignment="1" applyProtection="1"/>
    <xf numFmtId="0" fontId="24" fillId="0" borderId="11" xfId="546" applyFont="1" applyFill="1" applyBorder="1" applyAlignment="1" applyProtection="1"/>
    <xf numFmtId="0" fontId="5" fillId="0" borderId="13" xfId="546" quotePrefix="1" applyFont="1" applyFill="1" applyBorder="1" applyAlignment="1" applyProtection="1"/>
    <xf numFmtId="0" fontId="5" fillId="0" borderId="13" xfId="546" applyFont="1" applyFill="1" applyBorder="1" applyAlignment="1" applyProtection="1"/>
    <xf numFmtId="0" fontId="5" fillId="0" borderId="10" xfId="546" applyFont="1" applyFill="1" applyBorder="1" applyAlignment="1" applyProtection="1"/>
    <xf numFmtId="0" fontId="12" fillId="0" borderId="13" xfId="546" applyFont="1" applyBorder="1" applyAlignment="1" applyProtection="1">
      <alignment horizontal="center" vertical="top"/>
    </xf>
    <xf numFmtId="0" fontId="13" fillId="0" borderId="7" xfId="546" applyFont="1" applyBorder="1" applyAlignment="1" applyProtection="1">
      <alignment horizontal="left" vertical="top" wrapText="1"/>
    </xf>
    <xf numFmtId="0" fontId="13" fillId="0" borderId="13" xfId="546" applyFont="1" applyBorder="1" applyAlignment="1" applyProtection="1">
      <alignment horizontal="center" vertical="top" wrapText="1"/>
    </xf>
    <xf numFmtId="0" fontId="13" fillId="0" borderId="1" xfId="546" applyFont="1" applyBorder="1" applyAlignment="1" applyProtection="1">
      <alignment horizontal="left" vertical="top" wrapText="1"/>
    </xf>
    <xf numFmtId="0" fontId="13" fillId="0" borderId="2" xfId="546" applyFont="1" applyBorder="1" applyAlignment="1" applyProtection="1">
      <alignment horizontal="center" vertical="top" wrapText="1"/>
    </xf>
    <xf numFmtId="0" fontId="13" fillId="0" borderId="0" xfId="546" applyFont="1" applyBorder="1" applyAlignment="1" applyProtection="1">
      <alignment horizontal="center" vertical="top" wrapText="1"/>
    </xf>
    <xf numFmtId="0" fontId="13" fillId="0" borderId="9" xfId="546" applyFont="1" applyBorder="1" applyAlignment="1" applyProtection="1">
      <alignment horizontal="left" vertical="top" wrapText="1"/>
    </xf>
    <xf numFmtId="0" fontId="13" fillId="0" borderId="5" xfId="546" applyFont="1" applyBorder="1" applyAlignment="1" applyProtection="1">
      <alignment horizontal="center" vertical="top" wrapText="1"/>
    </xf>
    <xf numFmtId="0" fontId="22" fillId="0" borderId="9" xfId="546" applyFont="1" applyBorder="1" applyAlignment="1" applyProtection="1">
      <alignment horizontal="left" vertical="top" wrapText="1"/>
    </xf>
    <xf numFmtId="0" fontId="22"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50" fillId="0" borderId="9" xfId="546" applyFont="1" applyBorder="1" applyAlignment="1" applyProtection="1">
      <alignment vertical="top"/>
    </xf>
    <xf numFmtId="0" fontId="32" fillId="0" borderId="7" xfId="546" applyFont="1" applyBorder="1" applyAlignment="1" applyProtection="1">
      <alignment vertical="center" wrapText="1"/>
    </xf>
    <xf numFmtId="0" fontId="32" fillId="0" borderId="0" xfId="546" applyFont="1" applyBorder="1" applyAlignment="1" applyProtection="1">
      <alignment vertical="center" wrapText="1"/>
    </xf>
    <xf numFmtId="0" fontId="32" fillId="0" borderId="13" xfId="546" applyFont="1" applyBorder="1" applyAlignment="1" applyProtection="1">
      <alignment vertical="center" wrapText="1"/>
    </xf>
    <xf numFmtId="0" fontId="32" fillId="0" borderId="9" xfId="546" applyFont="1" applyBorder="1" applyAlignment="1" applyProtection="1">
      <alignment vertical="center" wrapText="1"/>
    </xf>
    <xf numFmtId="0" fontId="32" fillId="0" borderId="5" xfId="546" applyFont="1" applyBorder="1" applyAlignment="1" applyProtection="1">
      <alignment vertical="center" wrapText="1"/>
    </xf>
    <xf numFmtId="0" fontId="32" fillId="0" borderId="10" xfId="546" applyFont="1" applyBorder="1" applyAlignment="1" applyProtection="1">
      <alignment vertical="center" wrapText="1"/>
    </xf>
    <xf numFmtId="0" fontId="12" fillId="0" borderId="11" xfId="546" applyFont="1" applyBorder="1" applyAlignment="1" applyProtection="1">
      <alignment horizontal="right"/>
    </xf>
    <xf numFmtId="0" fontId="22" fillId="0" borderId="4" xfId="546" applyNumberFormat="1" applyFont="1" applyBorder="1" applyAlignment="1" applyProtection="1">
      <alignment horizontal="right" vertical="top" wrapText="1"/>
    </xf>
    <xf numFmtId="0" fontId="25" fillId="0" borderId="0" xfId="0" applyFont="1" applyFill="1" applyBorder="1" applyAlignment="1" applyProtection="1">
      <alignment horizontal="left"/>
    </xf>
    <xf numFmtId="0" fontId="5" fillId="0" borderId="0" xfId="259" applyFont="1" applyAlignment="1" applyProtection="1">
      <alignment horizontal="center"/>
    </xf>
    <xf numFmtId="0" fontId="46" fillId="0" borderId="0" xfId="259" applyFont="1" applyAlignment="1" applyProtection="1">
      <alignment horizontal="center"/>
    </xf>
    <xf numFmtId="0" fontId="5" fillId="0" borderId="0" xfId="259" applyFont="1" applyAlignment="1">
      <alignment horizontal="left" vertical="top" wrapText="1"/>
    </xf>
    <xf numFmtId="0" fontId="42" fillId="2" borderId="12" xfId="574" applyFont="1" applyFill="1" applyBorder="1" applyAlignment="1" applyProtection="1">
      <alignment horizontal="left" vertical="top" wrapText="1"/>
    </xf>
    <xf numFmtId="0" fontId="28" fillId="0" borderId="12" xfId="259" applyFont="1" applyBorder="1" applyAlignment="1" applyProtection="1">
      <alignment horizontal="right" vertical="top" wrapText="1"/>
    </xf>
    <xf numFmtId="0" fontId="49" fillId="0" borderId="12" xfId="259" applyFont="1" applyBorder="1" applyAlignment="1" applyProtection="1">
      <alignment horizontal="right" vertical="top" wrapText="1"/>
    </xf>
    <xf numFmtId="0" fontId="28" fillId="0" borderId="12" xfId="259" applyFont="1" applyFill="1" applyBorder="1" applyAlignment="1" applyProtection="1">
      <alignment horizontal="right" vertical="top"/>
    </xf>
    <xf numFmtId="0" fontId="28" fillId="0" borderId="12" xfId="259" applyFont="1" applyFill="1" applyBorder="1" applyAlignment="1" applyProtection="1">
      <alignment horizontal="right" vertical="top" wrapText="1"/>
    </xf>
    <xf numFmtId="0" fontId="12" fillId="0" borderId="12" xfId="574" applyFont="1" applyBorder="1" applyAlignment="1" applyProtection="1">
      <alignment horizontal="right" vertical="top" wrapText="1"/>
    </xf>
    <xf numFmtId="0" fontId="5" fillId="0" borderId="12" xfId="574" applyFont="1" applyBorder="1" applyAlignment="1" applyProtection="1">
      <alignment horizontal="right" vertical="top" wrapText="1"/>
    </xf>
    <xf numFmtId="0" fontId="5" fillId="0" borderId="12" xfId="574" applyFont="1" applyFill="1" applyBorder="1" applyAlignment="1" applyProtection="1">
      <alignment horizontal="right" vertical="top" wrapText="1"/>
      <protection locked="0"/>
    </xf>
    <xf numFmtId="0" fontId="23" fillId="0" borderId="12" xfId="574" applyFont="1" applyBorder="1" applyAlignment="1" applyProtection="1">
      <alignment horizontal="right" vertical="top" wrapText="1"/>
    </xf>
    <xf numFmtId="0" fontId="28" fillId="0" borderId="12" xfId="574" applyFont="1" applyBorder="1" applyAlignment="1" applyProtection="1">
      <alignment horizontal="right" vertical="top"/>
    </xf>
    <xf numFmtId="0" fontId="5" fillId="7" borderId="12" xfId="574" applyFont="1"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Fill="1" applyBorder="1" applyAlignment="1" applyProtection="1">
      <alignment vertical="top" wrapText="1"/>
      <protection locked="0"/>
    </xf>
    <xf numFmtId="0" fontId="14" fillId="0" borderId="0" xfId="0" applyFont="1" applyAlignment="1" applyProtection="1"/>
    <xf numFmtId="0" fontId="28" fillId="0" borderId="0" xfId="0" applyFont="1" applyBorder="1" applyAlignment="1" applyProtection="1">
      <alignment vertical="top" wrapText="1"/>
    </xf>
    <xf numFmtId="0" fontId="6" fillId="0" borderId="0" xfId="245" applyProtection="1"/>
    <xf numFmtId="0" fontId="5" fillId="0" borderId="0" xfId="0" applyFont="1" applyFill="1" applyBorder="1" applyAlignment="1" applyProtection="1">
      <protection locked="0"/>
    </xf>
    <xf numFmtId="0" fontId="128" fillId="0" borderId="0" xfId="575" applyFont="1"/>
    <xf numFmtId="0" fontId="128" fillId="0" borderId="0" xfId="575" applyFont="1" applyAlignment="1">
      <alignment wrapText="1"/>
    </xf>
    <xf numFmtId="0" fontId="129" fillId="0" borderId="0" xfId="575" applyFont="1"/>
    <xf numFmtId="0" fontId="128" fillId="0" borderId="0" xfId="575" applyFont="1" applyBorder="1"/>
    <xf numFmtId="0" fontId="128" fillId="0" borderId="0" xfId="575" applyFont="1" applyFill="1" applyBorder="1"/>
    <xf numFmtId="180" fontId="130" fillId="0" borderId="0" xfId="576" applyNumberFormat="1" applyFont="1"/>
    <xf numFmtId="0" fontId="131" fillId="0" borderId="0" xfId="575" applyFont="1" applyAlignment="1">
      <alignment vertical="center" wrapText="1"/>
    </xf>
    <xf numFmtId="0" fontId="6" fillId="0" borderId="0" xfId="245" applyFont="1"/>
    <xf numFmtId="49" fontId="128" fillId="0" borderId="0" xfId="575" applyNumberFormat="1" applyFont="1" applyAlignment="1">
      <alignment horizontal="center"/>
    </xf>
    <xf numFmtId="169" fontId="128" fillId="0" borderId="0" xfId="577" applyNumberFormat="1" applyFont="1" applyFill="1" applyBorder="1" applyAlignment="1">
      <alignment vertical="center"/>
    </xf>
    <xf numFmtId="0" fontId="128" fillId="0" borderId="0" xfId="575" applyFont="1" applyFill="1" applyAlignment="1"/>
    <xf numFmtId="181" fontId="128" fillId="0" borderId="0" xfId="575" applyNumberFormat="1" applyFont="1"/>
    <xf numFmtId="181" fontId="128" fillId="0" borderId="0" xfId="575" applyNumberFormat="1" applyFont="1" applyFill="1" applyBorder="1"/>
    <xf numFmtId="0" fontId="128" fillId="0" borderId="0" xfId="575" applyFont="1" applyAlignment="1">
      <alignment horizontal="center"/>
    </xf>
    <xf numFmtId="0" fontId="128" fillId="0" borderId="0" xfId="575" applyFont="1" applyFill="1" applyBorder="1" applyAlignment="1">
      <alignment horizontal="center"/>
    </xf>
    <xf numFmtId="0" fontId="133" fillId="0" borderId="0" xfId="575" applyFont="1" applyFill="1"/>
    <xf numFmtId="0" fontId="134" fillId="0" borderId="0" xfId="575" applyFont="1" applyFill="1"/>
    <xf numFmtId="0" fontId="128" fillId="0" borderId="0" xfId="575" applyFont="1" applyFill="1"/>
    <xf numFmtId="0" fontId="128" fillId="0" borderId="0" xfId="575" applyFont="1" applyFill="1" applyAlignment="1">
      <alignment horizontal="left"/>
    </xf>
    <xf numFmtId="2" fontId="128" fillId="0" borderId="0" xfId="575" applyNumberFormat="1" applyFont="1" applyFill="1" applyBorder="1" applyAlignment="1">
      <alignment horizontal="center"/>
    </xf>
    <xf numFmtId="180" fontId="128" fillId="0" borderId="0" xfId="575" applyNumberFormat="1" applyFont="1"/>
    <xf numFmtId="0" fontId="129" fillId="0" borderId="0" xfId="575" applyFont="1" applyFill="1" applyBorder="1"/>
    <xf numFmtId="7" fontId="129" fillId="0" borderId="0" xfId="575" applyNumberFormat="1" applyFont="1" applyFill="1" applyBorder="1"/>
    <xf numFmtId="165" fontId="130" fillId="0" borderId="0" xfId="577" applyNumberFormat="1" applyFont="1"/>
    <xf numFmtId="165" fontId="130" fillId="0" borderId="0" xfId="577" applyNumberFormat="1" applyFont="1" applyFill="1" applyBorder="1"/>
    <xf numFmtId="0" fontId="128" fillId="0" borderId="0" xfId="575" applyFont="1" applyFill="1" applyAlignment="1">
      <alignment vertical="top" wrapText="1"/>
    </xf>
    <xf numFmtId="0" fontId="5" fillId="51" borderId="0" xfId="574" applyFill="1" applyBorder="1" applyProtection="1"/>
    <xf numFmtId="0" fontId="5" fillId="51" borderId="0" xfId="766" applyFill="1" applyBorder="1" applyProtection="1"/>
    <xf numFmtId="0" fontId="5" fillId="51" borderId="0" xfId="766" applyFill="1" applyBorder="1" applyProtection="1"/>
    <xf numFmtId="0" fontId="5" fillId="51" borderId="0" xfId="766" applyFont="1" applyFill="1" applyBorder="1" applyProtection="1"/>
    <xf numFmtId="169" fontId="128" fillId="0" borderId="0" xfId="577" applyNumberFormat="1" applyFont="1" applyFill="1" applyBorder="1" applyAlignment="1" applyProtection="1">
      <alignment vertical="center"/>
    </xf>
    <xf numFmtId="5" fontId="128" fillId="52" borderId="5" xfId="164" applyNumberFormat="1" applyFont="1" applyFill="1" applyBorder="1" applyAlignment="1" applyProtection="1">
      <protection locked="0"/>
    </xf>
    <xf numFmtId="0" fontId="129" fillId="0" borderId="0" xfId="575" applyFont="1" applyAlignment="1">
      <alignment wrapText="1"/>
    </xf>
    <xf numFmtId="0" fontId="12" fillId="0" borderId="0" xfId="546" applyFont="1" applyFill="1" applyProtection="1"/>
    <xf numFmtId="0" fontId="135" fillId="0" borderId="0" xfId="0" applyFont="1" applyProtection="1"/>
    <xf numFmtId="0" fontId="5" fillId="0" borderId="0" xfId="0" applyFont="1" applyAlignment="1">
      <alignment horizontal="left"/>
    </xf>
    <xf numFmtId="0" fontId="5" fillId="0" borderId="0" xfId="273" applyFont="1" applyFill="1" applyBorder="1" applyAlignment="1" applyProtection="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Border="1" applyAlignment="1" applyProtection="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12" fillId="0" borderId="0" xfId="0" applyFont="1" applyAlignment="1">
      <alignment horizontal="left" vertical="top"/>
    </xf>
    <xf numFmtId="0" fontId="5" fillId="0" borderId="0" xfId="0" applyFont="1" applyAlignment="1" applyProtection="1">
      <alignment vertical="top"/>
    </xf>
    <xf numFmtId="0" fontId="12" fillId="0" borderId="0" xfId="766" applyFont="1" applyAlignment="1">
      <alignment vertical="top"/>
    </xf>
    <xf numFmtId="0" fontId="12" fillId="0" borderId="0" xfId="273" applyFont="1" applyFill="1" applyAlignment="1" applyProtection="1"/>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Font="1" applyFill="1" applyAlignment="1">
      <alignment vertical="top" wrapText="1"/>
    </xf>
    <xf numFmtId="0" fontId="14" fillId="0" borderId="0" xfId="259" applyFont="1" applyAlignment="1">
      <alignment vertical="top" wrapText="1"/>
    </xf>
    <xf numFmtId="0" fontId="5" fillId="0" borderId="0" xfId="0" applyFont="1" applyAlignment="1">
      <alignment vertical="top"/>
    </xf>
    <xf numFmtId="0" fontId="116" fillId="0" borderId="0" xfId="0" applyFont="1"/>
    <xf numFmtId="0" fontId="0" fillId="7" borderId="5" xfId="0" applyFill="1" applyBorder="1" applyAlignment="1" applyProtection="1">
      <protection locked="0"/>
    </xf>
    <xf numFmtId="167" fontId="5"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7" borderId="5" xfId="0" applyFill="1" applyBorder="1" applyAlignment="1" applyProtection="1">
      <protection locked="0"/>
    </xf>
    <xf numFmtId="0" fontId="5" fillId="7" borderId="4" xfId="0" applyFont="1" applyFill="1" applyBorder="1" applyAlignment="1" applyProtection="1">
      <alignment horizontal="left"/>
      <protection locked="0"/>
    </xf>
    <xf numFmtId="0" fontId="5" fillId="7" borderId="8" xfId="0" applyFont="1" applyFill="1" applyBorder="1" applyAlignment="1" applyProtection="1">
      <alignment horizontal="left"/>
      <protection locked="0"/>
    </xf>
    <xf numFmtId="3" fontId="10" fillId="7" borderId="0" xfId="273" applyNumberFormat="1" applyFont="1" applyFill="1" applyBorder="1" applyAlignment="1" applyProtection="1">
      <alignment horizontal="center"/>
      <protection locked="0"/>
    </xf>
    <xf numFmtId="0" fontId="0" fillId="7" borderId="5" xfId="0" applyFill="1" applyBorder="1" applyAlignment="1" applyProtection="1">
      <protection locked="0"/>
    </xf>
    <xf numFmtId="0" fontId="5" fillId="7" borderId="5" xfId="0" applyFont="1" applyFill="1" applyBorder="1" applyAlignment="1" applyProtection="1">
      <protection locked="0"/>
    </xf>
    <xf numFmtId="183" fontId="14" fillId="7" borderId="0" xfId="273" applyNumberFormat="1" applyFont="1" applyFill="1"/>
    <xf numFmtId="0" fontId="11" fillId="5"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11" fillId="5" borderId="43" xfId="0" applyFont="1" applyFill="1" applyBorder="1" applyAlignment="1" applyProtection="1">
      <alignment horizontal="center" vertical="center" wrapText="1"/>
    </xf>
    <xf numFmtId="0" fontId="5" fillId="0" borderId="0" xfId="0" applyFont="1" applyBorder="1" applyAlignment="1">
      <alignment horizontal="left" vertical="top" wrapText="1"/>
    </xf>
    <xf numFmtId="0" fontId="5" fillId="0" borderId="0" xfId="273" applyFont="1" applyBorder="1" applyAlignment="1">
      <alignment horizontal="left" vertical="top" wrapText="1"/>
    </xf>
    <xf numFmtId="0" fontId="38" fillId="0" borderId="0" xfId="0" applyFont="1" applyBorder="1" applyAlignment="1">
      <alignment horizontal="left" vertical="top" wrapText="1"/>
    </xf>
    <xf numFmtId="0" fontId="38" fillId="0" borderId="0" xfId="0" applyFont="1" applyFill="1" applyBorder="1" applyAlignment="1">
      <alignment horizontal="left" vertical="top" wrapText="1"/>
    </xf>
    <xf numFmtId="0" fontId="5" fillId="0" borderId="0" xfId="0" applyFont="1" applyBorder="1" applyAlignment="1">
      <alignment horizontal="left" wrapText="1"/>
    </xf>
    <xf numFmtId="0" fontId="14" fillId="0" borderId="0" xfId="0" applyFont="1" applyBorder="1" applyAlignment="1">
      <alignment horizontal="left" wrapText="1"/>
    </xf>
    <xf numFmtId="0" fontId="113" fillId="0" borderId="0" xfId="0" applyFont="1" applyFill="1" applyBorder="1" applyAlignment="1">
      <alignment horizontal="left" wrapText="1"/>
    </xf>
    <xf numFmtId="0" fontId="14" fillId="0" borderId="0" xfId="0" applyFont="1" applyBorder="1" applyAlignment="1">
      <alignment horizontal="left" vertical="top" wrapText="1"/>
    </xf>
    <xf numFmtId="0" fontId="12" fillId="0" borderId="0" xfId="0" applyFont="1" applyBorder="1" applyAlignment="1">
      <alignment horizontal="left" vertical="top" wrapText="1"/>
    </xf>
    <xf numFmtId="0" fontId="38" fillId="0" borderId="0" xfId="0" applyFont="1" applyAlignment="1">
      <alignment horizontal="left" vertical="top" wrapText="1"/>
    </xf>
    <xf numFmtId="0" fontId="110" fillId="0" borderId="0" xfId="0" applyFont="1" applyBorder="1" applyAlignment="1">
      <alignment horizontal="left" vertical="top" wrapText="1"/>
    </xf>
    <xf numFmtId="0" fontId="6" fillId="0" borderId="0" xfId="245" applyFill="1" applyBorder="1" applyAlignment="1" applyProtection="1">
      <alignment horizontal="left"/>
    </xf>
    <xf numFmtId="0" fontId="6" fillId="0" borderId="0" xfId="245" applyBorder="1" applyAlignment="1" applyProtection="1">
      <alignment horizontal="left"/>
    </xf>
    <xf numFmtId="0" fontId="6" fillId="0" borderId="0" xfId="245" applyAlignment="1" applyProtection="1">
      <alignment horizontal="left"/>
    </xf>
    <xf numFmtId="0" fontId="12" fillId="0" borderId="0" xfId="0" applyFont="1" applyAlignment="1" applyProtection="1">
      <alignment wrapText="1"/>
    </xf>
    <xf numFmtId="0" fontId="20" fillId="0" borderId="0" xfId="0" applyFont="1" applyAlignment="1" applyProtection="1">
      <alignment horizontal="center"/>
    </xf>
    <xf numFmtId="0" fontId="0" fillId="0" borderId="0" xfId="0" applyAlignment="1" applyProtection="1"/>
    <xf numFmtId="0" fontId="21" fillId="0" borderId="0" xfId="0" applyFont="1" applyAlignment="1" applyProtection="1">
      <alignment horizontal="center"/>
    </xf>
    <xf numFmtId="0" fontId="5" fillId="0" borderId="0" xfId="0" applyFont="1" applyAlignment="1" applyProtection="1">
      <alignment wrapText="1"/>
    </xf>
    <xf numFmtId="0" fontId="14" fillId="0" borderId="0" xfId="0" applyFont="1" applyAlignment="1" applyProtection="1">
      <alignment wrapText="1"/>
    </xf>
    <xf numFmtId="0" fontId="0" fillId="0" borderId="0" xfId="0" applyAlignment="1" applyProtection="1">
      <alignment wrapText="1"/>
    </xf>
    <xf numFmtId="0" fontId="14" fillId="0" borderId="0" xfId="0" applyFont="1" applyAlignment="1" applyProtection="1"/>
    <xf numFmtId="0" fontId="5" fillId="0" borderId="0" xfId="0" applyFont="1" applyAlignment="1" applyProtection="1">
      <alignment vertical="top" wrapText="1"/>
    </xf>
    <xf numFmtId="0" fontId="5" fillId="0" borderId="0" xfId="0" applyFont="1" applyAlignment="1" applyProtection="1">
      <alignment horizontal="left" wrapText="1"/>
    </xf>
    <xf numFmtId="0" fontId="5" fillId="0" borderId="0" xfId="259" applyFont="1" applyFill="1" applyAlignment="1">
      <alignment vertical="top" wrapText="1"/>
    </xf>
    <xf numFmtId="0" fontId="14" fillId="0" borderId="0" xfId="259" applyFont="1" applyFill="1" applyAlignment="1">
      <alignment vertical="top" wrapText="1"/>
    </xf>
    <xf numFmtId="0" fontId="5" fillId="0" borderId="0" xfId="259" applyFont="1" applyAlignment="1">
      <alignment vertical="top" wrapText="1"/>
    </xf>
    <xf numFmtId="0" fontId="5" fillId="0" borderId="0" xfId="0" applyFont="1" applyAlignment="1">
      <alignment vertical="top" wrapText="1"/>
    </xf>
    <xf numFmtId="0" fontId="12" fillId="0" borderId="0" xfId="0" applyFont="1" applyAlignment="1">
      <alignment vertical="top" wrapText="1"/>
    </xf>
    <xf numFmtId="0" fontId="14" fillId="0" borderId="0" xfId="0" applyFont="1" applyAlignment="1" applyProtection="1">
      <alignment horizontal="left" vertical="top" wrapText="1"/>
    </xf>
    <xf numFmtId="0" fontId="14" fillId="0" borderId="0" xfId="273" applyFont="1" applyFill="1" applyBorder="1" applyAlignment="1" applyProtection="1">
      <alignment horizontal="left" vertical="top" wrapText="1"/>
    </xf>
    <xf numFmtId="0" fontId="14" fillId="0" borderId="0" xfId="0" applyFont="1" applyAlignment="1">
      <alignment horizontal="left" vertical="top" wrapText="1"/>
    </xf>
    <xf numFmtId="0" fontId="5" fillId="0" borderId="0" xfId="0" applyFont="1" applyAlignment="1">
      <alignment horizontal="left"/>
    </xf>
    <xf numFmtId="0" fontId="14" fillId="0" borderId="0" xfId="0" applyFont="1" applyAlignment="1">
      <alignment horizontal="left"/>
    </xf>
    <xf numFmtId="0" fontId="5" fillId="0" borderId="0" xfId="0" applyFont="1" applyAlignment="1" applyProtection="1">
      <alignment horizontal="left" vertical="top" wrapText="1"/>
    </xf>
    <xf numFmtId="0" fontId="5" fillId="0" borderId="0" xfId="278" applyFont="1" applyAlignment="1" applyProtection="1">
      <alignment horizontal="left" vertical="top" wrapText="1"/>
    </xf>
    <xf numFmtId="0" fontId="6" fillId="0" borderId="0" xfId="245" applyAlignment="1" applyProtection="1">
      <alignment horizontal="left" vertical="top" wrapText="1"/>
    </xf>
    <xf numFmtId="0" fontId="5" fillId="0" borderId="0" xfId="0" applyFont="1" applyAlignment="1">
      <alignment horizontal="left" vertical="top"/>
    </xf>
    <xf numFmtId="0" fontId="14" fillId="0" borderId="0" xfId="0" applyFont="1" applyAlignment="1">
      <alignment horizontal="left" vertical="top"/>
    </xf>
    <xf numFmtId="0" fontId="12" fillId="0" borderId="4" xfId="0" applyFont="1" applyBorder="1" applyAlignment="1" applyProtection="1">
      <alignment horizontal="left"/>
    </xf>
    <xf numFmtId="0" fontId="24" fillId="0" borderId="0" xfId="0" applyFont="1" applyAlignment="1">
      <alignment horizontal="left"/>
    </xf>
    <xf numFmtId="0" fontId="5" fillId="0" borderId="0" xfId="0" applyFont="1" applyFill="1" applyAlignment="1">
      <alignment horizontal="left" vertical="top" wrapText="1"/>
    </xf>
    <xf numFmtId="0" fontId="24" fillId="0" borderId="0" xfId="0" applyFont="1" applyAlignment="1">
      <alignment horizontal="left" vertical="top" wrapText="1"/>
    </xf>
    <xf numFmtId="4" fontId="14" fillId="0" borderId="0" xfId="273" applyNumberFormat="1" applyFont="1" applyAlignment="1" applyProtection="1">
      <alignment horizontal="left" vertical="top" wrapText="1"/>
    </xf>
    <xf numFmtId="0" fontId="14" fillId="0" borderId="0" xfId="0" applyFont="1" applyAlignment="1" applyProtection="1">
      <alignment horizontal="left"/>
    </xf>
    <xf numFmtId="0" fontId="24" fillId="0" borderId="0" xfId="273" applyFont="1" applyAlignment="1" applyProtection="1">
      <alignment horizontal="left"/>
    </xf>
    <xf numFmtId="0" fontId="14" fillId="0" borderId="0" xfId="273" applyFont="1" applyFill="1" applyAlignment="1" applyProtection="1">
      <alignment horizontal="left"/>
    </xf>
    <xf numFmtId="0" fontId="14" fillId="0" borderId="0" xfId="273" applyFont="1" applyFill="1" applyAlignment="1" applyProtection="1">
      <alignment horizontal="left" vertical="top" wrapText="1"/>
    </xf>
    <xf numFmtId="4" fontId="5" fillId="0" borderId="0" xfId="273" applyNumberFormat="1" applyFont="1" applyFill="1" applyAlignment="1" applyProtection="1">
      <alignment horizontal="left" vertical="top" wrapText="1"/>
    </xf>
    <xf numFmtId="4" fontId="14" fillId="0" borderId="0" xfId="273" applyNumberFormat="1" applyFont="1" applyFill="1" applyAlignment="1" applyProtection="1">
      <alignment horizontal="left" vertical="top" wrapText="1"/>
    </xf>
    <xf numFmtId="0" fontId="12" fillId="0" borderId="0" xfId="0" applyFont="1" applyAlignment="1">
      <alignment horizontal="left" vertical="top"/>
    </xf>
    <xf numFmtId="4" fontId="5" fillId="0" borderId="0" xfId="0" applyNumberFormat="1" applyFont="1" applyFill="1" applyAlignment="1" applyProtection="1">
      <alignment horizontal="left" vertical="top" wrapText="1"/>
    </xf>
    <xf numFmtId="0" fontId="14" fillId="0" borderId="0" xfId="273" applyFont="1" applyBorder="1" applyAlignment="1" applyProtection="1">
      <alignment horizontal="left" vertical="top" wrapText="1"/>
    </xf>
    <xf numFmtId="0" fontId="5" fillId="0" borderId="0" xfId="273" applyFont="1" applyAlignment="1" applyProtection="1">
      <alignment horizontal="left" vertical="top" wrapText="1"/>
    </xf>
    <xf numFmtId="0" fontId="14" fillId="0" borderId="0" xfId="273" applyFont="1" applyAlignment="1" applyProtection="1">
      <alignment horizontal="left" vertical="top" wrapText="1"/>
    </xf>
    <xf numFmtId="0" fontId="24" fillId="0" borderId="0" xfId="0" applyFont="1" applyBorder="1" applyAlignment="1">
      <alignment horizontal="left" vertical="top"/>
    </xf>
    <xf numFmtId="0" fontId="14" fillId="0" borderId="0" xfId="273" applyFont="1" applyAlignment="1" applyProtection="1">
      <alignment horizontal="left"/>
    </xf>
    <xf numFmtId="0" fontId="5" fillId="0" borderId="0" xfId="259" applyFont="1" applyAlignment="1">
      <alignment horizontal="left" vertical="top" wrapText="1"/>
    </xf>
    <xf numFmtId="0" fontId="12" fillId="0" borderId="6" xfId="0" applyFont="1" applyFill="1" applyBorder="1" applyAlignment="1" applyProtection="1">
      <alignment horizontal="left"/>
    </xf>
    <xf numFmtId="0" fontId="12" fillId="0" borderId="0" xfId="0" applyFont="1" applyAlignment="1">
      <alignment horizontal="left"/>
    </xf>
    <xf numFmtId="0" fontId="14" fillId="0" borderId="42" xfId="0" applyFont="1" applyBorder="1" applyAlignment="1">
      <alignment horizontal="left"/>
    </xf>
    <xf numFmtId="0" fontId="5"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5" fillId="0" borderId="0" xfId="0" applyFont="1" applyFill="1" applyAlignment="1" applyProtection="1">
      <alignment horizontal="left" vertical="top" wrapText="1"/>
    </xf>
    <xf numFmtId="0" fontId="14" fillId="0" borderId="0" xfId="0" applyFont="1" applyFill="1" applyAlignment="1" applyProtection="1">
      <alignment horizontal="left" vertical="top" wrapText="1"/>
    </xf>
    <xf numFmtId="0" fontId="5" fillId="0" borderId="0" xfId="0" applyFont="1" applyAlignment="1">
      <alignment horizontal="left" vertical="top" wrapText="1"/>
    </xf>
    <xf numFmtId="0" fontId="24" fillId="0" borderId="0" xfId="0" applyFont="1" applyAlignment="1">
      <alignment horizontal="center"/>
    </xf>
    <xf numFmtId="0" fontId="0" fillId="0" borderId="0" xfId="0" applyAlignment="1"/>
    <xf numFmtId="0" fontId="12" fillId="0" borderId="0" xfId="273" applyFont="1" applyFill="1" applyAlignment="1" applyProtection="1">
      <alignment horizontal="center"/>
    </xf>
    <xf numFmtId="0" fontId="14" fillId="0" borderId="0" xfId="273" applyFill="1" applyAlignment="1" applyProtection="1"/>
    <xf numFmtId="0" fontId="24" fillId="0" borderId="0" xfId="0" applyFont="1" applyFill="1" applyAlignment="1">
      <alignment horizontal="center"/>
    </xf>
    <xf numFmtId="0" fontId="0" fillId="0" borderId="0" xfId="0" applyFill="1" applyAlignment="1">
      <alignment horizontal="center"/>
    </xf>
    <xf numFmtId="0" fontId="12" fillId="0" borderId="4" xfId="0" applyFont="1" applyBorder="1" applyAlignment="1">
      <alignment horizontal="left"/>
    </xf>
    <xf numFmtId="0" fontId="24" fillId="0" borderId="0" xfId="0" applyFont="1" applyAlignment="1">
      <alignment horizontal="left" wrapText="1"/>
    </xf>
    <xf numFmtId="0" fontId="14" fillId="0" borderId="0" xfId="0" applyFont="1" applyFill="1" applyAlignment="1">
      <alignment horizontal="left" vertical="top" wrapText="1"/>
    </xf>
    <xf numFmtId="0" fontId="24" fillId="0" borderId="0" xfId="0" applyFont="1" applyFill="1" applyBorder="1" applyAlignment="1">
      <alignment horizontal="left" vertical="top"/>
    </xf>
    <xf numFmtId="0" fontId="14" fillId="0" borderId="0" xfId="0" applyFont="1" applyFill="1" applyBorder="1" applyAlignment="1">
      <alignment horizontal="left" vertical="top"/>
    </xf>
    <xf numFmtId="0" fontId="14" fillId="0" borderId="0" xfId="0" applyFont="1" applyFill="1" applyBorder="1" applyAlignment="1" applyProtection="1">
      <alignment horizontal="left" vertical="top" wrapText="1"/>
    </xf>
    <xf numFmtId="0" fontId="14" fillId="0" borderId="0" xfId="273" applyFont="1" applyAlignment="1">
      <alignment horizontal="left" wrapText="1"/>
    </xf>
    <xf numFmtId="0" fontId="12" fillId="0" borderId="4" xfId="0" applyFont="1" applyFill="1" applyBorder="1" applyAlignment="1" applyProtection="1">
      <alignment horizontal="left"/>
    </xf>
    <xf numFmtId="0" fontId="12" fillId="0" borderId="4" xfId="0" applyFont="1" applyBorder="1" applyAlignment="1" applyProtection="1">
      <alignment horizontal="left" vertical="top"/>
    </xf>
    <xf numFmtId="4" fontId="5" fillId="0" borderId="0" xfId="0" applyNumberFormat="1" applyFont="1" applyAlignment="1" applyProtection="1">
      <alignment horizontal="left" vertical="top" wrapText="1"/>
    </xf>
    <xf numFmtId="4" fontId="14" fillId="0" borderId="0" xfId="0" applyNumberFormat="1" applyFont="1" applyAlignment="1" applyProtection="1">
      <alignment horizontal="left" vertical="top" wrapText="1"/>
    </xf>
    <xf numFmtId="0" fontId="0" fillId="0" borderId="0" xfId="0" applyAlignment="1">
      <alignment horizontal="left" vertical="top" wrapText="1"/>
    </xf>
    <xf numFmtId="0" fontId="5" fillId="0" borderId="0" xfId="259" applyFont="1" applyFill="1" applyAlignment="1">
      <alignment horizontal="left" vertical="top" wrapText="1"/>
    </xf>
    <xf numFmtId="0" fontId="5" fillId="0" borderId="0" xfId="766" applyAlignment="1">
      <alignment horizontal="left"/>
    </xf>
    <xf numFmtId="0" fontId="14" fillId="0" borderId="0" xfId="0" applyFont="1" applyBorder="1" applyAlignment="1">
      <alignment horizontal="left" vertical="top"/>
    </xf>
    <xf numFmtId="0" fontId="14" fillId="0" borderId="0" xfId="0" applyFont="1" applyFill="1" applyAlignment="1">
      <alignment horizontal="left" vertical="top"/>
    </xf>
    <xf numFmtId="0" fontId="12" fillId="0" borderId="0" xfId="273" applyFont="1" applyFill="1" applyAlignment="1">
      <alignment horizontal="left" vertical="top" wrapText="1"/>
    </xf>
    <xf numFmtId="0" fontId="14" fillId="0" borderId="0" xfId="273" applyFont="1" applyFill="1" applyAlignment="1">
      <alignment horizontal="left" vertical="top" wrapText="1"/>
    </xf>
    <xf numFmtId="0" fontId="40" fillId="0" borderId="0" xfId="0" applyFont="1" applyAlignment="1">
      <alignment horizontal="left"/>
    </xf>
    <xf numFmtId="0" fontId="24" fillId="0" borderId="0" xfId="0" applyFont="1" applyFill="1" applyAlignment="1">
      <alignment horizontal="left"/>
    </xf>
    <xf numFmtId="0" fontId="14" fillId="0" borderId="0" xfId="0" applyFont="1" applyFill="1" applyAlignment="1">
      <alignment horizontal="left"/>
    </xf>
    <xf numFmtId="4" fontId="24" fillId="0" borderId="0" xfId="0" applyNumberFormat="1" applyFont="1" applyFill="1" applyAlignment="1" applyProtection="1">
      <alignment horizontal="left"/>
    </xf>
    <xf numFmtId="4" fontId="5" fillId="0" borderId="0" xfId="0" applyNumberFormat="1" applyFont="1" applyFill="1" applyAlignment="1" applyProtection="1">
      <alignment horizontal="left"/>
    </xf>
    <xf numFmtId="0" fontId="24" fillId="0" borderId="0" xfId="0" applyFont="1" applyAlignment="1">
      <alignment horizontal="left" vertical="top"/>
    </xf>
    <xf numFmtId="4" fontId="14" fillId="0" borderId="0" xfId="0" applyNumberFormat="1" applyFont="1" applyFill="1" applyAlignment="1" applyProtection="1">
      <alignment horizontal="left"/>
    </xf>
    <xf numFmtId="49" fontId="14" fillId="0" borderId="0" xfId="0" applyNumberFormat="1" applyFont="1" applyAlignment="1">
      <alignment horizontal="left" vertical="top" wrapText="1"/>
    </xf>
    <xf numFmtId="49" fontId="14" fillId="0" borderId="0" xfId="273" applyNumberFormat="1" applyFont="1" applyFill="1" applyAlignment="1">
      <alignment horizontal="left" vertical="top" wrapText="1"/>
    </xf>
    <xf numFmtId="49" fontId="5" fillId="0" borderId="0" xfId="0" applyNumberFormat="1" applyFont="1" applyAlignment="1">
      <alignment horizontal="left" vertical="top" wrapText="1"/>
    </xf>
    <xf numFmtId="4" fontId="14" fillId="0" borderId="0" xfId="278" applyNumberFormat="1" applyFont="1" applyAlignment="1" applyProtection="1">
      <alignment horizontal="left" vertical="top" wrapText="1"/>
    </xf>
    <xf numFmtId="0" fontId="14" fillId="0" borderId="0" xfId="0" applyFont="1" applyAlignment="1">
      <alignment vertical="top"/>
    </xf>
    <xf numFmtId="0" fontId="5" fillId="0" borderId="0" xfId="0" applyFont="1" applyBorder="1" applyAlignment="1">
      <alignment horizontal="left" vertical="top"/>
    </xf>
    <xf numFmtId="0" fontId="14" fillId="0" borderId="0" xfId="0" applyFont="1" applyBorder="1" applyAlignment="1">
      <alignment horizontal="left"/>
    </xf>
    <xf numFmtId="0" fontId="6" fillId="0" borderId="0" xfId="245" applyNumberFormat="1" applyFill="1" applyAlignment="1" applyProtection="1">
      <alignment horizontal="left"/>
      <protection locked="0"/>
    </xf>
    <xf numFmtId="0" fontId="40" fillId="0" borderId="0" xfId="0" applyFont="1" applyBorder="1" applyAlignment="1">
      <alignment horizontal="left" vertical="top"/>
    </xf>
    <xf numFmtId="0" fontId="5" fillId="0" borderId="0" xfId="278" applyFont="1" applyFill="1" applyAlignment="1">
      <alignment horizontal="left" vertical="top" wrapText="1"/>
    </xf>
    <xf numFmtId="0" fontId="14" fillId="0" borderId="0" xfId="278" applyFont="1" applyFill="1" applyAlignment="1">
      <alignment horizontal="left" vertical="top" wrapText="1"/>
    </xf>
    <xf numFmtId="0" fontId="14" fillId="0" borderId="0" xfId="278" applyFont="1" applyAlignment="1">
      <alignment horizontal="left" vertical="top" wrapText="1"/>
    </xf>
    <xf numFmtId="0" fontId="6" fillId="0" borderId="0" xfId="245" quotePrefix="1" applyAlignment="1" applyProtection="1">
      <alignment horizontal="left"/>
    </xf>
    <xf numFmtId="4" fontId="14" fillId="0" borderId="0" xfId="0" applyNumberFormat="1" applyFont="1" applyFill="1" applyAlignment="1" applyProtection="1">
      <alignment horizontal="left" vertical="top" wrapText="1"/>
    </xf>
    <xf numFmtId="49" fontId="14" fillId="0" borderId="0" xfId="0" applyNumberFormat="1" applyFont="1" applyFill="1" applyAlignment="1">
      <alignment horizontal="left" vertical="top" wrapText="1"/>
    </xf>
    <xf numFmtId="0" fontId="14" fillId="0" borderId="0" xfId="0" quotePrefix="1" applyFont="1" applyAlignment="1">
      <alignment horizontal="left" vertical="top" wrapText="1"/>
    </xf>
    <xf numFmtId="0" fontId="24" fillId="0" borderId="0" xfId="259" applyFont="1" applyAlignment="1">
      <alignment horizontal="left"/>
    </xf>
    <xf numFmtId="0" fontId="14" fillId="0" borderId="0" xfId="259" applyFont="1" applyAlignment="1">
      <alignment horizontal="left" vertical="top" wrapText="1"/>
    </xf>
    <xf numFmtId="0" fontId="14" fillId="0" borderId="0" xfId="259" applyFont="1" applyAlignment="1">
      <alignment horizontal="left"/>
    </xf>
    <xf numFmtId="0" fontId="24" fillId="0" borderId="0" xfId="0" applyFont="1" applyBorder="1" applyAlignment="1">
      <alignment horizontal="left"/>
    </xf>
    <xf numFmtId="4" fontId="6" fillId="0" borderId="0" xfId="245" applyNumberFormat="1" applyFill="1" applyAlignment="1" applyProtection="1">
      <alignment horizontal="left"/>
    </xf>
    <xf numFmtId="0" fontId="24" fillId="0" borderId="0" xfId="273" applyFont="1" applyFill="1" applyAlignment="1">
      <alignment horizontal="left" vertical="top" wrapText="1"/>
    </xf>
    <xf numFmtId="49" fontId="12" fillId="0" borderId="0" xfId="0" applyNumberFormat="1" applyFont="1" applyAlignment="1">
      <alignment horizontal="left" vertical="top"/>
    </xf>
    <xf numFmtId="0" fontId="24" fillId="0" borderId="0" xfId="0" applyFont="1" applyFill="1" applyAlignment="1">
      <alignment horizontal="left" vertical="top" wrapText="1"/>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Fill="1" applyAlignment="1" applyProtection="1">
      <alignment horizontal="left" vertical="top" wrapText="1"/>
    </xf>
    <xf numFmtId="0" fontId="14" fillId="0" borderId="0" xfId="273" applyFont="1" applyFill="1" applyAlignment="1">
      <alignment horizontal="left"/>
    </xf>
    <xf numFmtId="0" fontId="12" fillId="0" borderId="0" xfId="0" applyFont="1" applyAlignment="1">
      <alignment horizontal="left" vertical="top" wrapText="1"/>
    </xf>
    <xf numFmtId="0" fontId="12" fillId="0" borderId="0" xfId="0" applyFont="1" applyFill="1" applyAlignment="1">
      <alignment horizontal="left" vertical="top" wrapText="1"/>
    </xf>
    <xf numFmtId="49" fontId="5" fillId="0" borderId="0" xfId="0" applyNumberFormat="1" applyFont="1" applyFill="1" applyAlignment="1">
      <alignment horizontal="left" vertical="top" wrapText="1"/>
    </xf>
    <xf numFmtId="0" fontId="24" fillId="0" borderId="0" xfId="0" applyFont="1" applyFill="1" applyBorder="1" applyAlignment="1" applyProtection="1">
      <alignment horizontal="left" vertical="top" wrapText="1"/>
    </xf>
    <xf numFmtId="0" fontId="14" fillId="0" borderId="0" xfId="0" applyFont="1" applyFill="1" applyBorder="1" applyAlignment="1" applyProtection="1">
      <alignment horizontal="left" wrapText="1"/>
    </xf>
    <xf numFmtId="4" fontId="14" fillId="0" borderId="0" xfId="0" applyNumberFormat="1" applyFont="1" applyAlignment="1" applyProtection="1">
      <alignment horizontal="left"/>
    </xf>
    <xf numFmtId="0" fontId="5" fillId="7" borderId="4" xfId="766" applyFont="1" applyFill="1" applyBorder="1" applyAlignment="1" applyProtection="1">
      <alignment horizontal="left"/>
      <protection locked="0"/>
    </xf>
    <xf numFmtId="0" fontId="5" fillId="7" borderId="4" xfId="766" applyFill="1" applyBorder="1" applyAlignment="1" applyProtection="1">
      <alignment horizontal="left"/>
      <protection locked="0"/>
    </xf>
    <xf numFmtId="0" fontId="5" fillId="7" borderId="5" xfId="766" applyFill="1" applyBorder="1" applyAlignment="1" applyProtection="1">
      <alignment horizontal="left"/>
      <protection locked="0"/>
    </xf>
    <xf numFmtId="167" fontId="5" fillId="7" borderId="5" xfId="766" applyNumberFormat="1" applyFont="1" applyFill="1" applyBorder="1" applyAlignment="1" applyProtection="1">
      <alignment horizontal="left"/>
      <protection locked="0"/>
    </xf>
    <xf numFmtId="0" fontId="5" fillId="7" borderId="5" xfId="766" applyFont="1" applyFill="1" applyBorder="1" applyAlignment="1" applyProtection="1">
      <alignment horizontal="left"/>
      <protection locked="0"/>
    </xf>
    <xf numFmtId="0" fontId="5"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14" fillId="7" borderId="5" xfId="0" applyNumberFormat="1" applyFont="1" applyFill="1" applyBorder="1" applyAlignment="1" applyProtection="1">
      <alignment horizontal="left"/>
      <protection locked="0"/>
    </xf>
    <xf numFmtId="0" fontId="14" fillId="7" borderId="5" xfId="0"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5" fillId="7" borderId="5" xfId="0" applyFont="1" applyFill="1" applyBorder="1" applyAlignment="1" applyProtection="1">
      <alignment horizontal="left"/>
      <protection locked="0"/>
    </xf>
    <xf numFmtId="167" fontId="5" fillId="7" borderId="5" xfId="0" applyNumberFormat="1" applyFont="1" applyFill="1" applyBorder="1" applyAlignment="1" applyProtection="1">
      <alignment horizontal="left"/>
      <protection locked="0"/>
    </xf>
    <xf numFmtId="167" fontId="5" fillId="7" borderId="4" xfId="0" applyNumberFormat="1" applyFont="1" applyFill="1" applyBorder="1" applyAlignment="1" applyProtection="1">
      <alignment horizontal="left"/>
      <protection locked="0"/>
    </xf>
    <xf numFmtId="0" fontId="14" fillId="7" borderId="4" xfId="0" applyFont="1" applyFill="1" applyBorder="1" applyAlignment="1" applyProtection="1">
      <alignment horizontal="left"/>
      <protection locked="0"/>
    </xf>
    <xf numFmtId="0" fontId="11" fillId="5" borderId="2" xfId="0" applyFont="1" applyFill="1" applyBorder="1" applyAlignment="1" applyProtection="1">
      <alignment horizontal="center" vertical="center"/>
    </xf>
    <xf numFmtId="0" fontId="11" fillId="5" borderId="6" xfId="0" applyFont="1" applyFill="1" applyBorder="1" applyAlignment="1" applyProtection="1">
      <alignment horizontal="center" vertical="center"/>
    </xf>
    <xf numFmtId="0" fontId="5" fillId="7" borderId="5" xfId="0" applyFont="1" applyFill="1" applyBorder="1" applyAlignment="1" applyProtection="1">
      <alignment horizontal="left" wrapText="1"/>
      <protection locked="0"/>
    </xf>
    <xf numFmtId="0" fontId="14" fillId="7" borderId="5" xfId="0" applyFont="1" applyFill="1" applyBorder="1" applyAlignment="1" applyProtection="1">
      <alignment horizontal="left" wrapText="1"/>
      <protection locked="0"/>
    </xf>
    <xf numFmtId="0" fontId="14" fillId="0" borderId="5" xfId="0" applyFont="1" applyBorder="1" applyAlignment="1" applyProtection="1">
      <alignment horizontal="left"/>
    </xf>
    <xf numFmtId="0" fontId="5" fillId="7" borderId="5" xfId="245" applyFont="1" applyFill="1" applyBorder="1" applyAlignment="1" applyProtection="1">
      <alignment horizontal="left"/>
      <protection locked="0"/>
    </xf>
    <xf numFmtId="0" fontId="12" fillId="0" borderId="1" xfId="0" applyFont="1" applyBorder="1" applyAlignment="1" applyProtection="1">
      <alignment horizontal="center" vertical="center" wrapText="1"/>
    </xf>
    <xf numFmtId="0" fontId="12" fillId="0" borderId="2" xfId="0" applyFont="1" applyBorder="1" applyAlignment="1" applyProtection="1">
      <alignment horizontal="center" vertical="center" wrapText="1"/>
    </xf>
    <xf numFmtId="0" fontId="12" fillId="0" borderId="11"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0" borderId="9" xfId="0"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2" fillId="0" borderId="0" xfId="546" applyNumberFormat="1" applyFont="1" applyBorder="1" applyAlignment="1" applyProtection="1">
      <alignment horizontal="left" vertical="center" wrapText="1"/>
    </xf>
    <xf numFmtId="0" fontId="12" fillId="0" borderId="6" xfId="0" applyFont="1" applyFill="1" applyBorder="1" applyAlignment="1" applyProtection="1">
      <alignment horizontal="center"/>
    </xf>
    <xf numFmtId="0" fontId="13"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1" fillId="5" borderId="0" xfId="0" applyFont="1" applyFill="1" applyBorder="1" applyAlignment="1" applyProtection="1">
      <alignment horizontal="center" vertical="center"/>
    </xf>
    <xf numFmtId="169" fontId="5" fillId="7" borderId="3" xfId="0" applyNumberFormat="1" applyFont="1" applyFill="1" applyBorder="1" applyAlignment="1" applyProtection="1">
      <alignment horizontal="right"/>
      <protection locked="0"/>
    </xf>
    <xf numFmtId="169" fontId="5" fillId="7" borderId="4"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3"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5" fontId="13" fillId="52" borderId="12" xfId="164" applyNumberFormat="1" applyFont="1" applyFill="1" applyBorder="1" applyAlignment="1" applyProtection="1">
      <alignment horizontal="center" vertical="center" wrapText="1"/>
      <protection locked="0"/>
    </xf>
    <xf numFmtId="0" fontId="32" fillId="0" borderId="9" xfId="546" applyFont="1" applyBorder="1" applyAlignment="1" applyProtection="1">
      <alignment horizontal="center" vertical="center"/>
    </xf>
    <xf numFmtId="0" fontId="32" fillId="0" borderId="5" xfId="546" applyFont="1" applyBorder="1" applyAlignment="1" applyProtection="1">
      <alignment horizontal="center" vertical="center"/>
    </xf>
    <xf numFmtId="0" fontId="32"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8" fillId="7" borderId="3" xfId="0" applyNumberFormat="1" applyFont="1" applyFill="1" applyBorder="1" applyAlignment="1" applyProtection="1">
      <alignment horizontal="center"/>
      <protection locked="0"/>
    </xf>
    <xf numFmtId="0" fontId="28" fillId="7" borderId="4" xfId="0" applyNumberFormat="1" applyFont="1" applyFill="1" applyBorder="1" applyAlignment="1" applyProtection="1">
      <alignment horizontal="center"/>
      <protection locked="0"/>
    </xf>
    <xf numFmtId="0" fontId="28"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5" fillId="7" borderId="3" xfId="546" applyFont="1" applyFill="1" applyBorder="1" applyAlignment="1" applyProtection="1">
      <alignment horizontal="center"/>
    </xf>
    <xf numFmtId="0" fontId="25" fillId="7" borderId="4" xfId="546" applyFont="1" applyFill="1" applyBorder="1" applyAlignment="1" applyProtection="1">
      <alignment horizontal="center"/>
    </xf>
    <xf numFmtId="0" fontId="25" fillId="7" borderId="8" xfId="546" applyFont="1" applyFill="1" applyBorder="1" applyAlignment="1" applyProtection="1">
      <alignment horizontal="center"/>
    </xf>
    <xf numFmtId="49" fontId="5" fillId="7" borderId="3" xfId="546" applyNumberFormat="1" applyFont="1" applyFill="1" applyBorder="1" applyAlignment="1" applyProtection="1">
      <alignment horizontal="center"/>
    </xf>
    <xf numFmtId="49" fontId="5" fillId="7" borderId="8" xfId="546" applyNumberFormat="1" applyFont="1" applyFill="1" applyBorder="1" applyAlignment="1" applyProtection="1">
      <alignment horizontal="center"/>
    </xf>
    <xf numFmtId="0" fontId="5" fillId="0" borderId="0" xfId="546" applyFont="1" applyFill="1" applyAlignment="1" applyProtection="1">
      <alignment horizontal="center"/>
    </xf>
    <xf numFmtId="0" fontId="5" fillId="0" borderId="7" xfId="546" applyFont="1" applyBorder="1" applyAlignment="1" applyProtection="1">
      <alignment horizontal="left" vertical="center" wrapText="1"/>
    </xf>
    <xf numFmtId="0" fontId="5" fillId="0" borderId="0" xfId="546" applyFont="1" applyBorder="1" applyAlignment="1" applyProtection="1">
      <alignment horizontal="left" vertical="center" wrapText="1"/>
    </xf>
    <xf numFmtId="0" fontId="5" fillId="0" borderId="13" xfId="546" applyFont="1" applyBorder="1" applyAlignment="1" applyProtection="1">
      <alignment horizontal="left" vertical="center" wrapText="1"/>
    </xf>
    <xf numFmtId="0" fontId="5" fillId="0" borderId="9" xfId="546" applyFont="1" applyBorder="1" applyAlignment="1" applyProtection="1">
      <alignment horizontal="left" vertical="center" wrapText="1"/>
    </xf>
    <xf numFmtId="0" fontId="5" fillId="0" borderId="5" xfId="546" applyFont="1" applyBorder="1" applyAlignment="1" applyProtection="1">
      <alignment horizontal="left" vertical="center" wrapText="1"/>
    </xf>
    <xf numFmtId="0" fontId="5" fillId="0" borderId="10" xfId="546" applyFont="1" applyBorder="1" applyAlignment="1" applyProtection="1">
      <alignment horizontal="left" vertical="center" wrapText="1"/>
    </xf>
    <xf numFmtId="0" fontId="5" fillId="0" borderId="3" xfId="546" applyFont="1" applyFill="1" applyBorder="1" applyAlignment="1" applyProtection="1">
      <alignment horizontal="center"/>
    </xf>
    <xf numFmtId="0" fontId="5" fillId="0" borderId="4" xfId="546" applyFont="1" applyFill="1" applyBorder="1" applyAlignment="1" applyProtection="1">
      <alignment horizontal="center"/>
    </xf>
    <xf numFmtId="0" fontId="5" fillId="0" borderId="8" xfId="546" applyFont="1" applyFill="1" applyBorder="1" applyAlignment="1" applyProtection="1">
      <alignment horizontal="center"/>
    </xf>
    <xf numFmtId="169" fontId="5"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5" fillId="7" borderId="3" xfId="0" applyNumberFormat="1" applyFont="1" applyFill="1" applyBorder="1" applyAlignment="1" applyProtection="1">
      <alignment horizontal="right"/>
      <protection locked="0"/>
    </xf>
    <xf numFmtId="0" fontId="5" fillId="7" borderId="4" xfId="0" applyNumberFormat="1" applyFont="1" applyFill="1" applyBorder="1" applyAlignment="1" applyProtection="1">
      <alignment horizontal="right"/>
      <protection locked="0"/>
    </xf>
    <xf numFmtId="0" fontId="5" fillId="7" borderId="8" xfId="0" applyNumberFormat="1" applyFont="1" applyFill="1" applyBorder="1" applyAlignment="1" applyProtection="1">
      <alignment horizontal="right"/>
      <protection locked="0"/>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5" fillId="0" borderId="0" xfId="546" applyNumberFormat="1" applyFont="1" applyAlignment="1" applyProtection="1">
      <alignment horizontal="center"/>
    </xf>
    <xf numFmtId="2" fontId="5" fillId="0" borderId="12" xfId="546" applyNumberFormat="1" applyFont="1" applyBorder="1" applyAlignment="1" applyProtection="1">
      <alignment horizontal="center"/>
    </xf>
    <xf numFmtId="1" fontId="5"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5" fillId="7" borderId="8"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169" fontId="5" fillId="0" borderId="3" xfId="0" applyNumberFormat="1" applyFont="1" applyFill="1" applyBorder="1" applyAlignment="1" applyProtection="1">
      <alignment horizontal="center"/>
    </xf>
    <xf numFmtId="169" fontId="5" fillId="0" borderId="4" xfId="0" applyNumberFormat="1" applyFont="1" applyFill="1" applyBorder="1" applyAlignment="1" applyProtection="1">
      <alignment horizontal="center"/>
    </xf>
    <xf numFmtId="169" fontId="5" fillId="0" borderId="8" xfId="0" applyNumberFormat="1" applyFont="1" applyFill="1" applyBorder="1" applyAlignment="1" applyProtection="1">
      <alignment horizontal="center"/>
    </xf>
    <xf numFmtId="0" fontId="5" fillId="0" borderId="0" xfId="273" applyFont="1" applyFill="1" applyBorder="1" applyAlignment="1" applyProtection="1">
      <alignment horizontal="left" vertical="top" wrapText="1"/>
    </xf>
    <xf numFmtId="0" fontId="5" fillId="0" borderId="0" xfId="273" applyFont="1" applyFill="1" applyBorder="1" applyAlignment="1" applyProtection="1">
      <alignment horizontal="left" wrapText="1"/>
    </xf>
    <xf numFmtId="0" fontId="5" fillId="0" borderId="12" xfId="0" applyFont="1" applyBorder="1" applyAlignment="1">
      <alignment horizontal="center"/>
    </xf>
    <xf numFmtId="0" fontId="5" fillId="52" borderId="12" xfId="0" applyFont="1" applyFill="1" applyBorder="1" applyAlignment="1" applyProtection="1">
      <alignment horizontal="center"/>
      <protection locked="0"/>
    </xf>
    <xf numFmtId="0" fontId="12" fillId="0" borderId="3" xfId="0" applyFont="1" applyBorder="1" applyAlignment="1" applyProtection="1">
      <alignment horizontal="right"/>
    </xf>
    <xf numFmtId="0" fontId="12" fillId="0" borderId="4" xfId="0" applyFont="1" applyBorder="1" applyAlignment="1" applyProtection="1">
      <alignment horizontal="right"/>
    </xf>
    <xf numFmtId="0" fontId="12" fillId="0" borderId="8" xfId="0" applyFont="1" applyBorder="1" applyAlignment="1" applyProtection="1">
      <alignment horizontal="right"/>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10" xfId="0" applyFont="1" applyBorder="1" applyAlignment="1" applyProtection="1">
      <alignment horizontal="center"/>
    </xf>
    <xf numFmtId="0" fontId="14" fillId="0" borderId="8" xfId="0" applyFont="1" applyBorder="1" applyAlignment="1" applyProtection="1">
      <alignment horizontal="center"/>
    </xf>
    <xf numFmtId="0" fontId="5" fillId="0" borderId="3" xfId="0" applyFont="1" applyBorder="1" applyAlignment="1" applyProtection="1">
      <alignment horizontal="center"/>
    </xf>
    <xf numFmtId="0" fontId="5" fillId="0" borderId="8" xfId="0" applyFont="1" applyBorder="1" applyAlignment="1" applyProtection="1">
      <alignment horizontal="center"/>
    </xf>
    <xf numFmtId="179" fontId="5" fillId="7" borderId="4" xfId="0" applyNumberFormat="1" applyFont="1" applyFill="1" applyBorder="1" applyAlignment="1" applyProtection="1">
      <alignment horizontal="right"/>
      <protection locked="0"/>
    </xf>
    <xf numFmtId="0" fontId="5" fillId="0" borderId="12" xfId="0" applyFont="1" applyFill="1" applyBorder="1" applyAlignment="1" applyProtection="1">
      <alignment horizontal="center" vertical="top" wrapText="1"/>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0" fontId="12" fillId="0" borderId="1" xfId="0" applyFont="1" applyBorder="1" applyAlignment="1" applyProtection="1">
      <alignment horizontal="center" wrapText="1"/>
    </xf>
    <xf numFmtId="0" fontId="12" fillId="0" borderId="2" xfId="0" applyFont="1" applyBorder="1" applyAlignment="1" applyProtection="1">
      <alignment horizontal="center" wrapText="1"/>
    </xf>
    <xf numFmtId="0" fontId="12" fillId="0" borderId="7" xfId="0" applyFont="1" applyBorder="1" applyAlignment="1" applyProtection="1">
      <alignment horizontal="center" wrapText="1"/>
    </xf>
    <xf numFmtId="0" fontId="12" fillId="0" borderId="0" xfId="0" applyFont="1" applyBorder="1" applyAlignment="1" applyProtection="1">
      <alignment horizontal="center" wrapText="1"/>
    </xf>
    <xf numFmtId="0" fontId="12" fillId="0" borderId="9" xfId="0" applyFont="1" applyBorder="1" applyAlignment="1" applyProtection="1">
      <alignment horizontal="center" wrapText="1"/>
    </xf>
    <xf numFmtId="0" fontId="12" fillId="0" borderId="5" xfId="0" applyFont="1" applyBorder="1" applyAlignment="1" applyProtection="1">
      <alignment horizontal="center" wrapText="1"/>
    </xf>
    <xf numFmtId="0" fontId="12" fillId="0" borderId="63" xfId="0" applyFont="1" applyBorder="1" applyAlignment="1" applyProtection="1">
      <alignment horizontal="right"/>
    </xf>
    <xf numFmtId="0" fontId="12" fillId="0" borderId="14" xfId="0" applyFont="1" applyBorder="1" applyAlignment="1" applyProtection="1">
      <alignment horizontal="right"/>
    </xf>
    <xf numFmtId="0" fontId="12" fillId="0" borderId="64" xfId="0" applyFont="1" applyBorder="1" applyAlignment="1" applyProtection="1">
      <alignment horizontal="right"/>
    </xf>
    <xf numFmtId="0" fontId="25" fillId="7" borderId="3" xfId="0" applyFont="1" applyFill="1" applyBorder="1" applyAlignment="1" applyProtection="1">
      <alignment horizontal="left"/>
      <protection locked="0"/>
    </xf>
    <xf numFmtId="164" fontId="25" fillId="7" borderId="3" xfId="0" applyNumberFormat="1" applyFont="1" applyFill="1" applyBorder="1" applyAlignment="1" applyProtection="1">
      <alignment horizontal="left"/>
      <protection locked="0"/>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6" fillId="7" borderId="5" xfId="0" applyFont="1" applyFill="1" applyBorder="1" applyAlignment="1" applyProtection="1">
      <alignment horizontal="center"/>
    </xf>
    <xf numFmtId="0" fontId="0" fillId="0" borderId="5" xfId="0" applyBorder="1" applyAlignment="1" applyProtection="1">
      <protection locked="0"/>
    </xf>
    <xf numFmtId="0" fontId="5" fillId="7" borderId="5" xfId="0" applyFont="1" applyFill="1" applyBorder="1" applyAlignment="1" applyProtection="1">
      <alignment horizontal="center"/>
      <protection locked="0"/>
    </xf>
    <xf numFmtId="0" fontId="13"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5"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9" fontId="13" fillId="7" borderId="5" xfId="0" applyNumberFormat="1" applyFont="1" applyFill="1" applyBorder="1" applyAlignment="1" applyProtection="1">
      <alignment horizontal="center"/>
      <protection locked="0"/>
    </xf>
    <xf numFmtId="0" fontId="5" fillId="0" borderId="4" xfId="0" applyFont="1" applyFill="1" applyBorder="1" applyAlignment="1" applyProtection="1">
      <alignment horizontal="left"/>
      <protection locked="0"/>
    </xf>
    <xf numFmtId="0" fontId="14" fillId="0" borderId="4" xfId="0" applyFont="1" applyFill="1" applyBorder="1" applyAlignment="1" applyProtection="1">
      <alignment horizontal="left"/>
      <protection locked="0"/>
    </xf>
    <xf numFmtId="0" fontId="0" fillId="7" borderId="5" xfId="0" applyFill="1" applyBorder="1" applyProtection="1">
      <protection locked="0"/>
    </xf>
    <xf numFmtId="0" fontId="5" fillId="7" borderId="5" xfId="0" applyFont="1" applyFill="1" applyBorder="1" applyAlignment="1" applyProtection="1">
      <alignment horizontal="right"/>
      <protection locked="0"/>
    </xf>
    <xf numFmtId="0" fontId="1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6"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4" fillId="7" borderId="0" xfId="0" applyFont="1" applyFill="1" applyBorder="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49" fontId="14" fillId="7" borderId="5" xfId="273" applyNumberFormat="1" applyFill="1" applyBorder="1" applyAlignment="1" applyProtection="1">
      <alignment horizontal="center"/>
      <protection locked="0"/>
    </xf>
    <xf numFmtId="0" fontId="14" fillId="7" borderId="5" xfId="0" applyFont="1" applyFill="1" applyBorder="1" applyAlignment="1" applyProtection="1">
      <alignment horizontal="center"/>
      <protection locked="0"/>
    </xf>
    <xf numFmtId="169" fontId="5" fillId="0" borderId="3" xfId="0" applyNumberFormat="1" applyFont="1" applyFill="1" applyBorder="1" applyAlignment="1" applyProtection="1">
      <alignment horizontal="left" vertical="top"/>
    </xf>
    <xf numFmtId="169" fontId="5" fillId="0" borderId="4" xfId="0" applyNumberFormat="1" applyFont="1" applyFill="1" applyBorder="1" applyAlignment="1" applyProtection="1">
      <alignment horizontal="left" vertical="top"/>
    </xf>
    <xf numFmtId="169" fontId="5" fillId="0" borderId="8" xfId="0" applyNumberFormat="1" applyFont="1" applyFill="1" applyBorder="1" applyAlignment="1" applyProtection="1">
      <alignment horizontal="left" vertical="top"/>
    </xf>
    <xf numFmtId="1" fontId="14" fillId="7" borderId="5" xfId="273" applyNumberFormat="1" applyFill="1" applyBorder="1" applyAlignment="1" applyProtection="1">
      <alignment horizontal="center"/>
      <protection locked="0"/>
    </xf>
    <xf numFmtId="0" fontId="14" fillId="0" borderId="3" xfId="0" applyFont="1" applyBorder="1" applyAlignment="1" applyProtection="1">
      <alignment horizontal="left"/>
    </xf>
    <xf numFmtId="0" fontId="5" fillId="0" borderId="12" xfId="0" applyFont="1" applyFill="1" applyBorder="1" applyAlignment="1" applyProtection="1">
      <alignment horizontal="center"/>
    </xf>
    <xf numFmtId="0" fontId="5" fillId="0" borderId="1"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5" fillId="0" borderId="7"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13" xfId="0" applyFont="1" applyFill="1" applyBorder="1" applyAlignment="1" applyProtection="1">
      <alignment horizontal="center" vertical="top" wrapText="1"/>
    </xf>
    <xf numFmtId="0" fontId="5" fillId="0" borderId="9"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10" xfId="0" applyFont="1" applyFill="1" applyBorder="1" applyAlignment="1" applyProtection="1">
      <alignment horizontal="center" vertical="top" wrapText="1"/>
    </xf>
    <xf numFmtId="1" fontId="5" fillId="0" borderId="3" xfId="0" applyNumberFormat="1" applyFont="1" applyFill="1" applyBorder="1" applyAlignment="1" applyProtection="1">
      <alignment horizontal="center"/>
    </xf>
    <xf numFmtId="1" fontId="5" fillId="0" borderId="4" xfId="0" applyNumberFormat="1" applyFont="1" applyFill="1" applyBorder="1" applyAlignment="1" applyProtection="1">
      <alignment horizontal="center"/>
    </xf>
    <xf numFmtId="1" fontId="5" fillId="0" borderId="8" xfId="0" applyNumberFormat="1"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5" fillId="7" borderId="5" xfId="0" applyNumberFormat="1" applyFont="1" applyFill="1" applyBorder="1" applyAlignment="1" applyProtection="1">
      <alignment horizontal="right"/>
      <protection locked="0"/>
    </xf>
    <xf numFmtId="0" fontId="5" fillId="0" borderId="3"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2" fillId="0" borderId="13" xfId="0" applyFont="1" applyBorder="1" applyAlignment="1" applyProtection="1">
      <alignment horizontal="center" wrapText="1"/>
    </xf>
    <xf numFmtId="0" fontId="12" fillId="0" borderId="10" xfId="0" applyFont="1" applyBorder="1" applyAlignment="1" applyProtection="1">
      <alignment horizontal="center" wrapText="1"/>
    </xf>
    <xf numFmtId="172" fontId="5" fillId="0" borderId="3" xfId="546" applyNumberFormat="1" applyFont="1" applyBorder="1" applyAlignment="1" applyProtection="1">
      <alignment horizontal="center"/>
    </xf>
    <xf numFmtId="172" fontId="5" fillId="0" borderId="4" xfId="546" applyNumberFormat="1" applyFont="1" applyBorder="1" applyAlignment="1" applyProtection="1">
      <alignment horizontal="center"/>
    </xf>
    <xf numFmtId="172" fontId="5" fillId="0" borderId="8" xfId="546" applyNumberFormat="1" applyFont="1" applyBorder="1" applyAlignment="1" applyProtection="1">
      <alignment horizontal="center"/>
    </xf>
    <xf numFmtId="9" fontId="5" fillId="0" borderId="7" xfId="546" applyNumberFormat="1" applyFont="1" applyBorder="1" applyAlignment="1" applyProtection="1">
      <alignment horizontal="center"/>
    </xf>
    <xf numFmtId="9" fontId="5" fillId="0" borderId="0" xfId="546" applyNumberFormat="1" applyFont="1" applyBorder="1" applyAlignment="1" applyProtection="1">
      <alignment horizontal="center"/>
    </xf>
    <xf numFmtId="0" fontId="5" fillId="0" borderId="12" xfId="546" applyFont="1" applyBorder="1" applyAlignment="1" applyProtection="1">
      <alignment horizontal="center"/>
    </xf>
    <xf numFmtId="1" fontId="5" fillId="0" borderId="3" xfId="546" applyNumberFormat="1" applyFont="1" applyFill="1" applyBorder="1" applyAlignment="1" applyProtection="1">
      <alignment horizontal="center"/>
    </xf>
    <xf numFmtId="1" fontId="5" fillId="0" borderId="4" xfId="546" applyNumberFormat="1" applyFont="1" applyFill="1" applyBorder="1" applyAlignment="1" applyProtection="1">
      <alignment horizontal="center"/>
    </xf>
    <xf numFmtId="1" fontId="5" fillId="0" borderId="8" xfId="546" applyNumberFormat="1" applyFont="1" applyFill="1" applyBorder="1" applyAlignment="1" applyProtection="1">
      <alignment horizontal="center"/>
    </xf>
    <xf numFmtId="169" fontId="5" fillId="4" borderId="3" xfId="546" applyNumberFormat="1" applyFont="1" applyFill="1" applyBorder="1" applyAlignment="1" applyProtection="1">
      <alignment horizontal="center"/>
    </xf>
    <xf numFmtId="169" fontId="5" fillId="4" borderId="4" xfId="546" applyNumberFormat="1" applyFont="1" applyFill="1" applyBorder="1" applyAlignment="1" applyProtection="1">
      <alignment horizontal="center"/>
    </xf>
    <xf numFmtId="169" fontId="5" fillId="4" borderId="8" xfId="546" applyNumberFormat="1" applyFont="1" applyFill="1" applyBorder="1" applyAlignment="1" applyProtection="1">
      <alignment horizontal="center"/>
    </xf>
    <xf numFmtId="2" fontId="5" fillId="0" borderId="3" xfId="546" applyNumberFormat="1" applyFont="1" applyBorder="1" applyAlignment="1" applyProtection="1">
      <alignment horizontal="center"/>
    </xf>
    <xf numFmtId="2" fontId="5" fillId="0" borderId="8" xfId="546" applyNumberFormat="1" applyFont="1" applyBorder="1" applyAlignment="1" applyProtection="1">
      <alignment horizontal="center"/>
    </xf>
    <xf numFmtId="0" fontId="5" fillId="0" borderId="3" xfId="546" applyFont="1" applyBorder="1" applyAlignment="1" applyProtection="1">
      <alignment horizontal="center"/>
    </xf>
    <xf numFmtId="0" fontId="5" fillId="0" borderId="8" xfId="546" applyFont="1" applyBorder="1" applyAlignment="1" applyProtection="1">
      <alignment horizontal="center"/>
    </xf>
    <xf numFmtId="169" fontId="5"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4" fillId="0" borderId="3" xfId="546" applyNumberFormat="1" applyFont="1" applyBorder="1" applyAlignment="1" applyProtection="1">
      <alignment horizontal="center" vertical="center" wrapText="1"/>
    </xf>
    <xf numFmtId="176" fontId="14" fillId="0" borderId="4" xfId="546" applyNumberFormat="1" applyFont="1" applyBorder="1" applyAlignment="1" applyProtection="1">
      <alignment horizontal="center" vertical="center" wrapText="1"/>
    </xf>
    <xf numFmtId="176" fontId="14" fillId="0" borderId="8" xfId="546" applyNumberFormat="1" applyFont="1" applyBorder="1" applyAlignment="1" applyProtection="1">
      <alignment horizontal="center" vertical="center" wrapText="1"/>
    </xf>
    <xf numFmtId="3" fontId="37" fillId="4" borderId="0" xfId="546" applyNumberFormat="1" applyFont="1" applyFill="1" applyBorder="1" applyAlignment="1" applyProtection="1">
      <alignment horizontal="left" vertical="center" wrapText="1"/>
    </xf>
    <xf numFmtId="169" fontId="14" fillId="0" borderId="0" xfId="546" applyNumberFormat="1" applyFont="1" applyBorder="1" applyAlignment="1" applyProtection="1">
      <alignment horizontal="right" vertical="center" wrapText="1"/>
    </xf>
    <xf numFmtId="0" fontId="28" fillId="7" borderId="3" xfId="0" applyNumberFormat="1" applyFont="1" applyFill="1" applyBorder="1" applyAlignment="1" applyProtection="1">
      <alignment horizontal="right"/>
      <protection locked="0"/>
    </xf>
    <xf numFmtId="0" fontId="28" fillId="7" borderId="4" xfId="0" applyNumberFormat="1" applyFont="1" applyFill="1" applyBorder="1" applyAlignment="1" applyProtection="1">
      <alignment horizontal="right"/>
      <protection locked="0"/>
    </xf>
    <xf numFmtId="0" fontId="28"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2" fillId="0" borderId="7" xfId="546" applyFont="1" applyBorder="1" applyAlignment="1" applyProtection="1">
      <alignment horizontal="left" vertical="center" wrapText="1"/>
    </xf>
    <xf numFmtId="0" fontId="12" fillId="0" borderId="0" xfId="546" applyFont="1" applyBorder="1" applyAlignment="1" applyProtection="1">
      <alignment horizontal="left" vertical="center" wrapText="1"/>
    </xf>
    <xf numFmtId="0" fontId="12" fillId="0" borderId="13" xfId="546" applyFont="1" applyBorder="1" applyAlignment="1" applyProtection="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169" fontId="5" fillId="0" borderId="1" xfId="546" applyNumberFormat="1" applyFont="1" applyFill="1" applyBorder="1" applyAlignment="1" applyProtection="1">
      <alignment horizontal="center" vertical="center"/>
    </xf>
    <xf numFmtId="169" fontId="5" fillId="0" borderId="2" xfId="546" applyNumberFormat="1" applyFont="1" applyFill="1" applyBorder="1" applyAlignment="1" applyProtection="1">
      <alignment horizontal="center" vertical="center"/>
    </xf>
    <xf numFmtId="169" fontId="5" fillId="0" borderId="11" xfId="546" applyNumberFormat="1" applyFont="1" applyFill="1" applyBorder="1" applyAlignment="1" applyProtection="1">
      <alignment horizontal="center" vertical="center"/>
    </xf>
    <xf numFmtId="169" fontId="5" fillId="0" borderId="9" xfId="546" applyNumberFormat="1" applyFont="1" applyFill="1" applyBorder="1" applyAlignment="1" applyProtection="1">
      <alignment horizontal="center" vertical="center"/>
    </xf>
    <xf numFmtId="169" fontId="5" fillId="0" borderId="5" xfId="546" applyNumberFormat="1" applyFont="1" applyFill="1" applyBorder="1" applyAlignment="1" applyProtection="1">
      <alignment horizontal="center" vertical="center"/>
    </xf>
    <xf numFmtId="169" fontId="5" fillId="0" borderId="10" xfId="546" applyNumberFormat="1" applyFont="1" applyFill="1" applyBorder="1" applyAlignment="1" applyProtection="1">
      <alignment horizontal="center" vertical="center"/>
    </xf>
    <xf numFmtId="169" fontId="5" fillId="0" borderId="7" xfId="546" applyNumberFormat="1" applyFont="1" applyFill="1" applyBorder="1" applyAlignment="1" applyProtection="1">
      <alignment horizontal="center" vertical="center"/>
    </xf>
    <xf numFmtId="169" fontId="5" fillId="0" borderId="0" xfId="546" applyNumberFormat="1" applyFont="1" applyFill="1" applyBorder="1" applyAlignment="1" applyProtection="1">
      <alignment horizontal="center" vertical="center"/>
    </xf>
    <xf numFmtId="169" fontId="5" fillId="0" borderId="13" xfId="546" applyNumberFormat="1" applyFont="1" applyFill="1" applyBorder="1" applyAlignment="1" applyProtection="1">
      <alignment horizontal="center" vertical="center"/>
    </xf>
    <xf numFmtId="0" fontId="5" fillId="0" borderId="7" xfId="546" applyFont="1" applyBorder="1" applyAlignment="1" applyProtection="1">
      <alignment horizontal="left" vertical="top" wrapText="1"/>
    </xf>
    <xf numFmtId="0" fontId="5" fillId="0" borderId="0" xfId="546" applyFont="1" applyBorder="1" applyAlignment="1" applyProtection="1">
      <alignment horizontal="left" vertical="top" wrapText="1"/>
    </xf>
    <xf numFmtId="0" fontId="5" fillId="0" borderId="13" xfId="546" applyFont="1" applyBorder="1" applyAlignment="1" applyProtection="1">
      <alignment horizontal="left" vertical="top" wrapText="1"/>
    </xf>
    <xf numFmtId="0" fontId="5" fillId="0" borderId="9" xfId="546" applyFont="1" applyBorder="1" applyAlignment="1" applyProtection="1">
      <alignment horizontal="left" vertical="top" wrapText="1"/>
    </xf>
    <xf numFmtId="0" fontId="5" fillId="0" borderId="5" xfId="546" applyFont="1" applyBorder="1" applyAlignment="1" applyProtection="1">
      <alignment horizontal="left" vertical="top" wrapText="1"/>
    </xf>
    <xf numFmtId="0" fontId="5" fillId="0" borderId="10" xfId="546" applyFont="1" applyBorder="1" applyAlignment="1" applyProtection="1">
      <alignment horizontal="left" vertical="top" wrapText="1"/>
    </xf>
    <xf numFmtId="0" fontId="5" fillId="7" borderId="3" xfId="546" applyFont="1" applyFill="1" applyBorder="1" applyAlignment="1" applyProtection="1">
      <alignment horizontal="left" vertical="top" wrapText="1"/>
      <protection locked="0"/>
    </xf>
    <xf numFmtId="0" fontId="5" fillId="7" borderId="4" xfId="546" applyFont="1" applyFill="1" applyBorder="1" applyAlignment="1" applyProtection="1">
      <alignment horizontal="left" vertical="top" wrapText="1"/>
      <protection locked="0"/>
    </xf>
    <xf numFmtId="0" fontId="5" fillId="7" borderId="8" xfId="546" applyFont="1" applyFill="1" applyBorder="1" applyAlignment="1" applyProtection="1">
      <alignment horizontal="left" vertical="top" wrapText="1"/>
      <protection locked="0"/>
    </xf>
    <xf numFmtId="0" fontId="12" fillId="0" borderId="4" xfId="546" applyNumberFormat="1" applyFont="1" applyBorder="1" applyAlignment="1" applyProtection="1">
      <alignment horizontal="right" vertical="top" wrapText="1"/>
    </xf>
    <xf numFmtId="0" fontId="12" fillId="0" borderId="8" xfId="546" applyNumberFormat="1" applyFont="1" applyBorder="1" applyAlignment="1" applyProtection="1">
      <alignment horizontal="right" vertical="top" wrapText="1"/>
    </xf>
    <xf numFmtId="169" fontId="12" fillId="0" borderId="3" xfId="546" applyNumberFormat="1" applyFont="1" applyFill="1" applyBorder="1" applyAlignment="1" applyProtection="1">
      <alignment horizontal="center" vertical="center"/>
    </xf>
    <xf numFmtId="169" fontId="12" fillId="0" borderId="4" xfId="546" applyNumberFormat="1" applyFont="1" applyFill="1" applyBorder="1" applyAlignment="1" applyProtection="1">
      <alignment horizontal="center" vertical="center"/>
    </xf>
    <xf numFmtId="169" fontId="12" fillId="0" borderId="8" xfId="546" applyNumberFormat="1" applyFont="1" applyFill="1" applyBorder="1" applyAlignment="1" applyProtection="1">
      <alignment horizontal="center" vertical="center"/>
    </xf>
    <xf numFmtId="0" fontId="12" fillId="0" borderId="1" xfId="546" applyFont="1" applyBorder="1" applyAlignment="1" applyProtection="1">
      <alignment horizontal="left" vertical="center" wrapText="1"/>
    </xf>
    <xf numFmtId="0" fontId="12" fillId="0" borderId="2" xfId="546" applyFont="1" applyBorder="1" applyAlignment="1" applyProtection="1">
      <alignment horizontal="left" vertical="center" wrapText="1"/>
    </xf>
    <xf numFmtId="0" fontId="12" fillId="0" borderId="11" xfId="546" applyFont="1" applyBorder="1" applyAlignment="1" applyProtection="1">
      <alignment horizontal="left" vertical="center" wrapText="1"/>
    </xf>
    <xf numFmtId="0" fontId="12" fillId="0" borderId="0" xfId="0" applyFont="1" applyBorder="1" applyAlignment="1" applyProtection="1">
      <alignment horizontal="center" vertical="center"/>
    </xf>
    <xf numFmtId="9" fontId="5" fillId="7" borderId="3" xfId="573" applyFont="1" applyFill="1" applyBorder="1" applyAlignment="1" applyProtection="1">
      <alignment horizontal="center"/>
      <protection locked="0"/>
    </xf>
    <xf numFmtId="9" fontId="5" fillId="7" borderId="4" xfId="573" applyFont="1" applyFill="1" applyBorder="1" applyAlignment="1" applyProtection="1">
      <alignment horizontal="center"/>
      <protection locked="0"/>
    </xf>
    <xf numFmtId="9" fontId="5"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8" fillId="7" borderId="3" xfId="0" applyNumberFormat="1" applyFont="1" applyFill="1" applyBorder="1" applyAlignment="1" applyProtection="1">
      <alignment horizontal="center"/>
      <protection locked="0"/>
    </xf>
    <xf numFmtId="176" fontId="28" fillId="7" borderId="4" xfId="0" applyNumberFormat="1" applyFont="1" applyFill="1" applyBorder="1" applyAlignment="1" applyProtection="1">
      <alignment horizontal="center"/>
      <protection locked="0"/>
    </xf>
    <xf numFmtId="176" fontId="28"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4"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5" fillId="7" borderId="3" xfId="0" applyNumberFormat="1" applyFont="1" applyFill="1" applyBorder="1" applyAlignment="1" applyProtection="1">
      <alignment horizontal="right" vertical="top"/>
      <protection locked="0"/>
    </xf>
    <xf numFmtId="0" fontId="5" fillId="7" borderId="4" xfId="0" applyNumberFormat="1" applyFont="1" applyFill="1" applyBorder="1" applyAlignment="1" applyProtection="1">
      <alignment horizontal="right" vertical="top"/>
      <protection locked="0"/>
    </xf>
    <xf numFmtId="0" fontId="5" fillId="7" borderId="8" xfId="0" applyNumberFormat="1" applyFont="1" applyFill="1" applyBorder="1" applyAlignment="1" applyProtection="1">
      <alignment horizontal="right" vertical="top"/>
      <protection locked="0"/>
    </xf>
    <xf numFmtId="169" fontId="5" fillId="0" borderId="7" xfId="0" applyNumberFormat="1" applyFont="1" applyFill="1" applyBorder="1" applyAlignment="1" applyProtection="1">
      <alignment horizontal="left" vertical="top"/>
    </xf>
    <xf numFmtId="169" fontId="5" fillId="0" borderId="0" xfId="0" applyNumberFormat="1" applyFont="1" applyFill="1" applyBorder="1" applyAlignment="1" applyProtection="1">
      <alignment horizontal="left" vertical="top"/>
    </xf>
    <xf numFmtId="169" fontId="28" fillId="0" borderId="2" xfId="0" applyNumberFormat="1" applyFont="1" applyFill="1" applyBorder="1" applyAlignment="1" applyProtection="1">
      <alignment horizontal="left" vertical="top" wrapText="1"/>
    </xf>
    <xf numFmtId="169" fontId="28"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5"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4" fillId="0" borderId="4" xfId="0" applyFont="1" applyBorder="1" applyAlignment="1" applyProtection="1">
      <alignment horizontal="left"/>
    </xf>
    <xf numFmtId="0" fontId="14"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4" fillId="7" borderId="12" xfId="0" applyNumberFormat="1" applyFont="1" applyFill="1" applyBorder="1" applyAlignment="1" applyProtection="1">
      <alignment horizontal="center"/>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9" fontId="14" fillId="0" borderId="12" xfId="0" applyNumberFormat="1" applyFont="1" applyFill="1" applyBorder="1" applyAlignment="1" applyProtection="1">
      <alignment horizontal="center"/>
    </xf>
    <xf numFmtId="169" fontId="14" fillId="0" borderId="5" xfId="0" applyNumberFormat="1" applyFont="1" applyFill="1" applyBorder="1" applyAlignment="1" applyProtection="1">
      <alignment horizontal="center"/>
    </xf>
    <xf numFmtId="0" fontId="14" fillId="0" borderId="5" xfId="0" applyFont="1" applyFill="1" applyBorder="1" applyAlignment="1" applyProtection="1">
      <alignment horizontal="left" wrapText="1"/>
    </xf>
    <xf numFmtId="0" fontId="25"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5" fillId="7" borderId="12" xfId="0" applyNumberFormat="1" applyFont="1" applyFill="1" applyBorder="1" applyAlignment="1" applyProtection="1">
      <alignment horizontal="center"/>
      <protection locked="0"/>
    </xf>
    <xf numFmtId="0" fontId="5" fillId="7" borderId="3"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14" fillId="7" borderId="5" xfId="273" applyNumberFormat="1" applyFill="1" applyBorder="1" applyAlignment="1" applyProtection="1">
      <alignment horizontal="center"/>
      <protection locked="0"/>
    </xf>
    <xf numFmtId="169" fontId="14"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45"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3" fillId="0" borderId="0" xfId="0" applyFont="1" applyBorder="1" applyAlignment="1" applyProtection="1">
      <alignment horizontal="center"/>
    </xf>
    <xf numFmtId="0" fontId="5" fillId="0" borderId="0" xfId="0" applyFont="1" applyFill="1" applyAlignment="1" applyProtection="1">
      <alignment horizontal="center"/>
    </xf>
    <xf numFmtId="0" fontId="14" fillId="0" borderId="0" xfId="0" applyFont="1" applyFill="1" applyAlignment="1" applyProtection="1">
      <alignment horizontal="center"/>
    </xf>
    <xf numFmtId="0" fontId="13" fillId="0" borderId="0" xfId="0" applyFont="1" applyAlignment="1" applyProtection="1">
      <alignment horizontal="center"/>
    </xf>
    <xf numFmtId="0" fontId="5" fillId="7" borderId="5" xfId="0" applyFont="1" applyFill="1" applyBorder="1" applyAlignment="1" applyProtection="1">
      <alignment horizontal="left" vertical="top" wrapText="1"/>
      <protection locked="0"/>
    </xf>
    <xf numFmtId="0" fontId="5" fillId="7" borderId="0"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5" fillId="7" borderId="4" xfId="0" applyNumberFormat="1" applyFont="1" applyFill="1" applyBorder="1" applyAlignment="1" applyProtection="1">
      <alignment horizontal="right"/>
      <protection locked="0"/>
    </xf>
    <xf numFmtId="0" fontId="5"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2" fillId="0" borderId="12" xfId="0" applyFont="1" applyBorder="1" applyAlignment="1" applyProtection="1">
      <alignment horizontal="center" vertical="top" wrapText="1"/>
    </xf>
    <xf numFmtId="3" fontId="14" fillId="0" borderId="0" xfId="0" applyNumberFormat="1" applyFont="1" applyFill="1" applyBorder="1" applyAlignment="1" applyProtection="1">
      <alignment horizontal="center"/>
    </xf>
    <xf numFmtId="169" fontId="14" fillId="0" borderId="3" xfId="0" applyNumberFormat="1" applyFont="1" applyFill="1" applyBorder="1" applyAlignment="1" applyProtection="1">
      <alignment horizontal="left" vertical="top"/>
    </xf>
    <xf numFmtId="0" fontId="14" fillId="7" borderId="12" xfId="0" applyFont="1" applyFill="1" applyBorder="1" applyAlignment="1" applyProtection="1">
      <alignment horizontal="center"/>
      <protection locked="0"/>
    </xf>
    <xf numFmtId="0" fontId="5" fillId="7" borderId="8" xfId="0" applyFont="1" applyFill="1" applyBorder="1" applyAlignment="1" applyProtection="1">
      <alignment horizontal="left"/>
      <protection locked="0"/>
    </xf>
    <xf numFmtId="9" fontId="14" fillId="0" borderId="12" xfId="0" applyNumberFormat="1" applyFont="1" applyFill="1" applyBorder="1" applyAlignment="1" applyProtection="1">
      <alignment horizontal="center"/>
    </xf>
    <xf numFmtId="176" fontId="5" fillId="52" borderId="3" xfId="0" applyNumberFormat="1" applyFont="1" applyFill="1" applyBorder="1" applyAlignment="1" applyProtection="1">
      <alignment horizontal="center"/>
      <protection locked="0"/>
    </xf>
    <xf numFmtId="176" fontId="5" fillId="52" borderId="4" xfId="0" applyNumberFormat="1" applyFont="1" applyFill="1" applyBorder="1" applyAlignment="1" applyProtection="1">
      <alignment horizontal="center"/>
      <protection locked="0"/>
    </xf>
    <xf numFmtId="176" fontId="5"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3" fillId="52" borderId="3" xfId="0" applyNumberFormat="1" applyFont="1" applyFill="1" applyBorder="1" applyAlignment="1" applyProtection="1">
      <alignment horizontal="center"/>
      <protection locked="0"/>
    </xf>
    <xf numFmtId="1" fontId="13" fillId="52" borderId="4" xfId="0" applyNumberFormat="1" applyFont="1" applyFill="1" applyBorder="1" applyAlignment="1" applyProtection="1">
      <alignment horizontal="center"/>
      <protection locked="0"/>
    </xf>
    <xf numFmtId="1" fontId="13" fillId="52" borderId="8" xfId="0" applyNumberFormat="1" applyFont="1" applyFill="1" applyBorder="1" applyAlignment="1" applyProtection="1">
      <alignment horizontal="center"/>
      <protection locked="0"/>
    </xf>
    <xf numFmtId="169" fontId="5" fillId="52" borderId="3" xfId="0" applyNumberFormat="1" applyFont="1" applyFill="1" applyBorder="1" applyAlignment="1" applyProtection="1">
      <alignment horizontal="center"/>
      <protection locked="0"/>
    </xf>
    <xf numFmtId="169" fontId="5" fillId="52" borderId="4" xfId="0" applyNumberFormat="1" applyFont="1" applyFill="1" applyBorder="1" applyAlignment="1" applyProtection="1">
      <alignment horizontal="center"/>
      <protection locked="0"/>
    </xf>
    <xf numFmtId="169" fontId="5"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12" xfId="0" applyFont="1" applyBorder="1" applyAlignment="1" applyProtection="1">
      <alignment horizontal="center" vertical="center" wrapText="1"/>
    </xf>
    <xf numFmtId="173" fontId="12" fillId="0" borderId="2" xfId="0" applyNumberFormat="1" applyFont="1" applyBorder="1" applyAlignment="1" applyProtection="1">
      <alignment horizontal="center" vertical="center" wrapText="1"/>
    </xf>
    <xf numFmtId="173" fontId="12" fillId="0" borderId="11" xfId="0" applyNumberFormat="1" applyFont="1" applyBorder="1" applyAlignment="1" applyProtection="1">
      <alignment horizontal="center" vertical="center" wrapText="1"/>
    </xf>
    <xf numFmtId="173" fontId="12" fillId="0" borderId="0" xfId="0" applyNumberFormat="1" applyFont="1" applyBorder="1" applyAlignment="1" applyProtection="1">
      <alignment horizontal="center" vertical="center" wrapText="1"/>
    </xf>
    <xf numFmtId="173" fontId="12" fillId="0" borderId="13" xfId="0" applyNumberFormat="1" applyFont="1" applyBorder="1" applyAlignment="1" applyProtection="1">
      <alignment horizontal="center" vertical="center" wrapText="1"/>
    </xf>
    <xf numFmtId="173" fontId="12" fillId="0" borderId="5" xfId="0" applyNumberFormat="1" applyFont="1" applyBorder="1" applyAlignment="1" applyProtection="1">
      <alignment horizontal="center" vertical="center" wrapText="1"/>
    </xf>
    <xf numFmtId="173" fontId="12" fillId="0" borderId="10" xfId="0" applyNumberFormat="1" applyFont="1" applyBorder="1" applyAlignment="1" applyProtection="1">
      <alignment horizontal="center" vertical="center" wrapText="1"/>
    </xf>
    <xf numFmtId="0" fontId="49" fillId="0" borderId="1"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49" fillId="0" borderId="11" xfId="0" applyFont="1" applyBorder="1" applyAlignment="1" applyProtection="1">
      <alignment horizontal="center" vertical="center" wrapText="1"/>
    </xf>
    <xf numFmtId="0" fontId="49" fillId="0" borderId="7" xfId="0" applyFont="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0" borderId="13" xfId="0" applyFont="1" applyBorder="1" applyAlignment="1" applyProtection="1">
      <alignment horizontal="center" vertical="center" wrapText="1"/>
    </xf>
    <xf numFmtId="0" fontId="49" fillId="0" borderId="9" xfId="0" applyFont="1" applyBorder="1" applyAlignment="1" applyProtection="1">
      <alignment horizontal="center" vertical="center" wrapText="1"/>
    </xf>
    <xf numFmtId="0" fontId="49" fillId="0" borderId="5" xfId="0" applyFont="1" applyBorder="1" applyAlignment="1" applyProtection="1">
      <alignment horizontal="center" vertical="center" wrapText="1"/>
    </xf>
    <xf numFmtId="0" fontId="49" fillId="0" borderId="10" xfId="0" applyFont="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0" borderId="9"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2" fillId="0" borderId="9" xfId="0" applyFont="1" applyBorder="1" applyAlignment="1" applyProtection="1">
      <alignment horizontal="right"/>
    </xf>
    <xf numFmtId="0" fontId="12" fillId="0" borderId="5" xfId="0" applyFont="1" applyBorder="1" applyAlignment="1" applyProtection="1">
      <alignment horizontal="right"/>
    </xf>
    <xf numFmtId="0" fontId="12" fillId="0" borderId="10" xfId="0" applyFont="1" applyBorder="1" applyAlignment="1" applyProtection="1">
      <alignment horizontal="right"/>
    </xf>
    <xf numFmtId="0" fontId="12" fillId="0" borderId="1"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7"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9" xfId="0" applyFont="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2" fillId="0" borderId="2"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5" xfId="0" applyFont="1" applyFill="1" applyBorder="1" applyAlignment="1" applyProtection="1">
      <alignment horizontal="center" wrapText="1"/>
    </xf>
    <xf numFmtId="0" fontId="12" fillId="0" borderId="10" xfId="0" applyFont="1" applyFill="1" applyBorder="1" applyAlignment="1" applyProtection="1">
      <alignment horizontal="center" wrapText="1"/>
    </xf>
    <xf numFmtId="0" fontId="5" fillId="7" borderId="9" xfId="0" applyFont="1" applyFill="1" applyBorder="1" applyAlignment="1" applyProtection="1">
      <alignment horizontal="center"/>
      <protection locked="0"/>
    </xf>
    <xf numFmtId="0" fontId="5"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5" fillId="0" borderId="0" xfId="0" applyNumberFormat="1" applyFont="1" applyFill="1" applyBorder="1" applyAlignment="1" applyProtection="1">
      <alignment horizontal="right" vertical="top"/>
    </xf>
    <xf numFmtId="169" fontId="5" fillId="0" borderId="13" xfId="0" applyNumberFormat="1" applyFont="1" applyFill="1" applyBorder="1" applyAlignment="1" applyProtection="1">
      <alignment horizontal="right" vertical="top"/>
    </xf>
    <xf numFmtId="0" fontId="5"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169" fontId="13" fillId="0" borderId="0" xfId="0" applyNumberFormat="1" applyFont="1" applyFill="1" applyBorder="1" applyAlignment="1" applyProtection="1">
      <alignment horizontal="left" vertical="top" wrapText="1"/>
    </xf>
    <xf numFmtId="3" fontId="14" fillId="0"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4" fillId="7" borderId="3" xfId="0" applyNumberFormat="1" applyFont="1" applyFill="1" applyBorder="1" applyAlignment="1" applyProtection="1">
      <alignment horizontal="right" vertical="top"/>
      <protection locked="0"/>
    </xf>
    <xf numFmtId="0" fontId="14" fillId="7" borderId="4" xfId="0" applyNumberFormat="1" applyFont="1" applyFill="1" applyBorder="1" applyAlignment="1" applyProtection="1">
      <alignment horizontal="right" vertical="top"/>
      <protection locked="0"/>
    </xf>
    <xf numFmtId="0" fontId="14" fillId="7" borderId="8" xfId="0" applyNumberFormat="1" applyFont="1" applyFill="1" applyBorder="1" applyAlignment="1" applyProtection="1">
      <alignment horizontal="right" vertical="top"/>
      <protection locked="0"/>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0" fontId="12" fillId="0" borderId="8" xfId="0" applyFont="1" applyFill="1" applyBorder="1" applyAlignment="1" applyProtection="1">
      <alignment horizontal="center"/>
    </xf>
    <xf numFmtId="0" fontId="5" fillId="7" borderId="4" xfId="0" applyFont="1" applyFill="1" applyBorder="1" applyAlignment="1" applyProtection="1">
      <alignment horizontal="right"/>
      <protection locked="0"/>
    </xf>
    <xf numFmtId="10" fontId="5" fillId="7" borderId="4" xfId="0" applyNumberFormat="1" applyFont="1" applyFill="1" applyBorder="1" applyAlignment="1" applyProtection="1">
      <alignment horizontal="right"/>
      <protection locked="0"/>
    </xf>
    <xf numFmtId="1" fontId="5"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4"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0" fontId="5" fillId="0" borderId="3" xfId="0" applyFont="1" applyBorder="1" applyAlignment="1" applyProtection="1">
      <alignment horizontal="left"/>
    </xf>
    <xf numFmtId="169" fontId="14" fillId="0" borderId="4" xfId="0" applyNumberFormat="1" applyFont="1" applyFill="1" applyBorder="1" applyAlignment="1" applyProtection="1">
      <alignment horizontal="left" vertical="top"/>
    </xf>
    <xf numFmtId="169" fontId="14" fillId="0" borderId="8" xfId="0" applyNumberFormat="1" applyFont="1" applyFill="1" applyBorder="1" applyAlignment="1" applyProtection="1">
      <alignment horizontal="left" vertical="top"/>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3" fontId="14" fillId="7" borderId="3" xfId="0" applyNumberFormat="1" applyFont="1" applyFill="1" applyBorder="1" applyAlignment="1" applyProtection="1">
      <alignment horizontal="center"/>
      <protection locked="0"/>
    </xf>
    <xf numFmtId="3" fontId="14" fillId="7" borderId="4" xfId="0" applyNumberFormat="1" applyFont="1" applyFill="1" applyBorder="1" applyAlignment="1" applyProtection="1">
      <alignment horizontal="center"/>
      <protection locked="0"/>
    </xf>
    <xf numFmtId="3" fontId="14" fillId="7" borderId="8" xfId="0" applyNumberFormat="1" applyFon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4" fillId="2" borderId="3" xfId="0" applyFont="1" applyFill="1" applyBorder="1" applyAlignment="1" applyProtection="1">
      <alignment horizontal="center"/>
    </xf>
    <xf numFmtId="0" fontId="14" fillId="2" borderId="4" xfId="0" applyFont="1" applyFill="1" applyBorder="1" applyAlignment="1" applyProtection="1">
      <alignment horizontal="center"/>
    </xf>
    <xf numFmtId="0" fontId="14" fillId="2" borderId="8" xfId="0" applyFont="1" applyFill="1" applyBorder="1" applyAlignment="1" applyProtection="1">
      <alignment horizontal="center"/>
    </xf>
    <xf numFmtId="0" fontId="14" fillId="0" borderId="9" xfId="0" applyFont="1" applyBorder="1" applyAlignment="1" applyProtection="1">
      <alignment horizontal="center"/>
    </xf>
    <xf numFmtId="0" fontId="14" fillId="0" borderId="5" xfId="0" applyFont="1" applyBorder="1" applyAlignment="1" applyProtection="1">
      <alignment horizontal="center"/>
    </xf>
    <xf numFmtId="0" fontId="5" fillId="0" borderId="4"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8" xfId="0" applyFont="1" applyBorder="1" applyAlignment="1" applyProtection="1">
      <alignment horizontal="center"/>
    </xf>
    <xf numFmtId="0" fontId="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5" fillId="0" borderId="1" xfId="0" applyNumberFormat="1" applyFont="1" applyBorder="1" applyAlignment="1" applyProtection="1">
      <alignment horizontal="right"/>
    </xf>
    <xf numFmtId="165" fontId="5" fillId="0" borderId="2" xfId="0" applyNumberFormat="1" applyFont="1" applyBorder="1" applyAlignment="1" applyProtection="1">
      <alignment horizontal="right"/>
    </xf>
    <xf numFmtId="165" fontId="5" fillId="0" borderId="11" xfId="0" applyNumberFormat="1" applyFont="1" applyBorder="1" applyAlignment="1" applyProtection="1">
      <alignment horizontal="right"/>
    </xf>
    <xf numFmtId="165" fontId="12" fillId="0" borderId="3" xfId="574" applyNumberFormat="1" applyFont="1" applyBorder="1" applyAlignment="1" applyProtection="1">
      <alignment horizontal="center"/>
    </xf>
    <xf numFmtId="165" fontId="12" fillId="0" borderId="4" xfId="574" applyNumberFormat="1" applyFont="1" applyBorder="1" applyAlignment="1" applyProtection="1">
      <alignment horizontal="center"/>
    </xf>
    <xf numFmtId="165" fontId="12"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4" fillId="7" borderId="5" xfId="273" applyFont="1" applyFill="1" applyBorder="1" applyAlignment="1" applyProtection="1">
      <protection locked="0"/>
    </xf>
    <xf numFmtId="0" fontId="12" fillId="0" borderId="3" xfId="0" applyFont="1" applyFill="1" applyBorder="1" applyAlignment="1" applyProtection="1">
      <alignment horizontal="right"/>
    </xf>
    <xf numFmtId="0" fontId="12" fillId="0" borderId="4" xfId="0" applyFont="1" applyFill="1" applyBorder="1" applyAlignment="1" applyProtection="1">
      <alignment horizontal="right"/>
    </xf>
    <xf numFmtId="0" fontId="12" fillId="0" borderId="8" xfId="0" applyFont="1" applyFill="1" applyBorder="1" applyAlignment="1" applyProtection="1">
      <alignment horizontal="right"/>
    </xf>
    <xf numFmtId="0" fontId="12" fillId="7" borderId="12" xfId="0" applyFont="1" applyFill="1" applyBorder="1" applyAlignment="1" applyProtection="1">
      <alignment horizontal="center"/>
      <protection locked="0"/>
    </xf>
    <xf numFmtId="169" fontId="0" fillId="0" borderId="12" xfId="0" applyNumberFormat="1" applyFill="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5" fillId="7" borderId="3" xfId="0" applyFont="1" applyFill="1" applyBorder="1" applyAlignment="1" applyProtection="1">
      <protection locked="0"/>
    </xf>
    <xf numFmtId="0" fontId="14" fillId="0" borderId="4" xfId="0" applyFont="1" applyBorder="1" applyAlignment="1" applyProtection="1">
      <protection locked="0"/>
    </xf>
    <xf numFmtId="0" fontId="14"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2" fillId="0" borderId="1" xfId="0" applyFont="1" applyBorder="1" applyAlignment="1" applyProtection="1">
      <alignment horizontal="center"/>
    </xf>
    <xf numFmtId="0" fontId="12" fillId="0" borderId="2" xfId="0" applyFont="1" applyBorder="1" applyAlignment="1" applyProtection="1">
      <alignment horizontal="center"/>
    </xf>
    <xf numFmtId="0" fontId="12"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2" fillId="0" borderId="5" xfId="0" applyFont="1" applyBorder="1" applyAlignment="1" applyProtection="1">
      <alignment horizontal="center"/>
    </xf>
    <xf numFmtId="1" fontId="5" fillId="0" borderId="0" xfId="546" applyNumberFormat="1" applyFont="1" applyAlignment="1" applyProtection="1">
      <alignment horizontal="center"/>
    </xf>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left" vertical="top" wrapText="1"/>
    </xf>
    <xf numFmtId="0" fontId="12" fillId="0" borderId="11" xfId="546" applyFont="1" applyBorder="1" applyAlignment="1" applyProtection="1">
      <alignment horizontal="left" vertical="top" wrapText="1"/>
    </xf>
    <xf numFmtId="0" fontId="12" fillId="0" borderId="7" xfId="546" applyFont="1" applyBorder="1" applyAlignment="1" applyProtection="1">
      <alignment horizontal="left" vertical="top" wrapText="1"/>
    </xf>
    <xf numFmtId="0" fontId="12" fillId="0" borderId="0" xfId="546" applyFont="1" applyBorder="1" applyAlignment="1" applyProtection="1">
      <alignment horizontal="left" vertical="top" wrapText="1"/>
    </xf>
    <xf numFmtId="0" fontId="12" fillId="0" borderId="13" xfId="546" applyFont="1" applyBorder="1" applyAlignment="1" applyProtection="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Fill="1" applyBorder="1" applyAlignment="1" applyProtection="1">
      <alignment horizontal="right"/>
    </xf>
    <xf numFmtId="0" fontId="12" fillId="0" borderId="4" xfId="546" applyFont="1" applyFill="1" applyBorder="1" applyAlignment="1" applyProtection="1">
      <alignment horizontal="right"/>
    </xf>
    <xf numFmtId="0" fontId="12" fillId="0" borderId="8" xfId="546" applyFont="1" applyFill="1" applyBorder="1" applyAlignment="1" applyProtection="1">
      <alignment horizontal="right"/>
    </xf>
    <xf numFmtId="0" fontId="12" fillId="0" borderId="1" xfId="546" applyFont="1" applyFill="1" applyBorder="1" applyAlignment="1" applyProtection="1">
      <alignment horizontal="right"/>
    </xf>
    <xf numFmtId="0" fontId="12" fillId="0" borderId="2" xfId="546" applyFont="1" applyFill="1" applyBorder="1" applyAlignment="1" applyProtection="1">
      <alignment horizontal="right"/>
    </xf>
    <xf numFmtId="0" fontId="12" fillId="0" borderId="11" xfId="546" applyFont="1" applyFill="1" applyBorder="1" applyAlignment="1" applyProtection="1">
      <alignment horizontal="right"/>
    </xf>
    <xf numFmtId="0" fontId="5" fillId="2" borderId="3" xfId="546" applyFont="1" applyFill="1" applyBorder="1" applyAlignment="1" applyProtection="1">
      <alignment horizontal="center"/>
    </xf>
    <xf numFmtId="0" fontId="5" fillId="2" borderId="4" xfId="546" applyFont="1" applyFill="1" applyBorder="1" applyAlignment="1" applyProtection="1">
      <alignment horizontal="center"/>
    </xf>
    <xf numFmtId="0" fontId="5" fillId="2" borderId="8" xfId="546" applyFont="1" applyFill="1" applyBorder="1" applyAlignment="1" applyProtection="1">
      <alignment horizontal="center"/>
    </xf>
    <xf numFmtId="0" fontId="12" fillId="4" borderId="3" xfId="546" applyFont="1" applyFill="1" applyBorder="1" applyAlignment="1" applyProtection="1">
      <alignment horizontal="center"/>
    </xf>
    <xf numFmtId="0" fontId="12" fillId="4" borderId="4" xfId="546" applyFont="1" applyFill="1" applyBorder="1" applyAlignment="1" applyProtection="1">
      <alignment horizontal="center"/>
    </xf>
    <xf numFmtId="0" fontId="12" fillId="4" borderId="8" xfId="546" applyFont="1"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8" xfId="0" applyFont="1" applyFill="1" applyBorder="1" applyAlignment="1" applyProtection="1">
      <alignment horizontal="center" vertical="top"/>
    </xf>
    <xf numFmtId="0" fontId="14" fillId="0" borderId="5" xfId="0" applyFont="1" applyBorder="1" applyAlignment="1" applyProtection="1">
      <alignment vertical="top" wrapText="1"/>
    </xf>
    <xf numFmtId="178" fontId="14" fillId="7" borderId="5" xfId="0" applyNumberFormat="1" applyFont="1" applyFill="1" applyBorder="1" applyAlignment="1" applyProtection="1">
      <alignment horizontal="left" vertical="top" wrapText="1"/>
      <protection locked="0"/>
    </xf>
    <xf numFmtId="0" fontId="14" fillId="0" borderId="2" xfId="0" applyFont="1" applyBorder="1" applyAlignment="1" applyProtection="1">
      <alignment vertical="top" wrapText="1"/>
    </xf>
    <xf numFmtId="0" fontId="28" fillId="0" borderId="0" xfId="0" applyFont="1" applyBorder="1" applyAlignment="1" applyProtection="1">
      <alignment vertical="top" wrapText="1"/>
    </xf>
    <xf numFmtId="0" fontId="14" fillId="0" borderId="2" xfId="0" applyFont="1" applyBorder="1" applyAlignment="1" applyProtection="1">
      <alignment horizontal="left" vertical="top" wrapText="1"/>
    </xf>
    <xf numFmtId="0" fontId="14"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14" fillId="0" borderId="0" xfId="0" applyFont="1" applyBorder="1" applyAlignment="1" applyProtection="1">
      <alignment vertical="top" wrapText="1"/>
    </xf>
    <xf numFmtId="0" fontId="14" fillId="0" borderId="5" xfId="0" applyFont="1" applyFill="1" applyBorder="1" applyAlignment="1" applyProtection="1">
      <alignment horizontal="right" vertical="top" wrapText="1"/>
    </xf>
    <xf numFmtId="0" fontId="14" fillId="0" borderId="5" xfId="0" applyFont="1" applyFill="1" applyBorder="1" applyAlignment="1">
      <alignment vertical="top" wrapText="1"/>
    </xf>
    <xf numFmtId="0" fontId="13" fillId="0" borderId="0" xfId="0" applyFont="1" applyBorder="1" applyAlignment="1">
      <alignment horizontal="left"/>
    </xf>
    <xf numFmtId="0" fontId="12" fillId="0" borderId="12" xfId="0" applyFont="1" applyBorder="1" applyAlignment="1">
      <alignment horizontal="center"/>
    </xf>
    <xf numFmtId="0" fontId="12" fillId="0" borderId="6" xfId="0" applyFont="1" applyFill="1" applyBorder="1" applyAlignment="1">
      <alignment horizontal="center" wrapText="1"/>
    </xf>
    <xf numFmtId="0" fontId="28" fillId="0" borderId="0" xfId="0" applyFont="1" applyAlignment="1">
      <alignment horizontal="left" vertical="center" wrapText="1"/>
    </xf>
    <xf numFmtId="0" fontId="12" fillId="0" borderId="0" xfId="0" applyFont="1" applyFill="1" applyBorder="1" applyAlignment="1">
      <alignment horizontal="center" wrapText="1"/>
    </xf>
    <xf numFmtId="169" fontId="0" fillId="0" borderId="12" xfId="0" applyNumberFormat="1" applyFill="1" applyBorder="1" applyAlignment="1">
      <alignment horizontal="right"/>
    </xf>
    <xf numFmtId="0" fontId="12"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2"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8" fillId="0" borderId="2" xfId="0" applyNumberFormat="1" applyFont="1" applyBorder="1" applyAlignment="1">
      <alignment horizontal="left" vertical="top"/>
    </xf>
    <xf numFmtId="169" fontId="5"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13" fillId="0" borderId="2" xfId="0" applyFont="1" applyBorder="1" applyAlignment="1">
      <alignment horizontal="left"/>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5"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8" xfId="0" applyFont="1" applyFill="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5" fillId="0" borderId="8" xfId="0" applyNumberFormat="1" applyFont="1" applyFill="1" applyBorder="1" applyAlignment="1">
      <alignment horizontal="center"/>
    </xf>
    <xf numFmtId="169" fontId="5"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0" fontId="12" fillId="0" borderId="3" xfId="0" applyFont="1" applyFill="1" applyBorder="1" applyAlignment="1">
      <alignment horizontal="right"/>
    </xf>
    <xf numFmtId="0" fontId="12" fillId="0" borderId="4" xfId="0" applyFont="1" applyFill="1" applyBorder="1" applyAlignment="1">
      <alignment horizontal="right"/>
    </xf>
    <xf numFmtId="0" fontId="12"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5" borderId="3" xfId="0" applyFont="1" applyFill="1" applyBorder="1" applyAlignment="1" applyProtection="1">
      <alignment horizontal="left" vertical="top"/>
    </xf>
    <xf numFmtId="0" fontId="11" fillId="5" borderId="4" xfId="0" applyFont="1" applyFill="1" applyBorder="1" applyAlignment="1" applyProtection="1">
      <alignment horizontal="left" vertical="top"/>
    </xf>
    <xf numFmtId="0" fontId="11" fillId="5" borderId="8" xfId="0" applyFont="1" applyFill="1" applyBorder="1" applyAlignment="1" applyProtection="1">
      <alignment horizontal="left" vertical="top"/>
    </xf>
    <xf numFmtId="0" fontId="13"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3" fillId="7" borderId="5" xfId="0" applyNumberFormat="1" applyFont="1" applyFill="1" applyBorder="1" applyAlignment="1" applyProtection="1">
      <alignment horizontal="left"/>
      <protection locked="0"/>
    </xf>
    <xf numFmtId="9" fontId="22" fillId="0" borderId="12" xfId="0" applyNumberFormat="1" applyFont="1" applyFill="1" applyBorder="1" applyAlignment="1" applyProtection="1">
      <alignment horizontal="center"/>
    </xf>
    <xf numFmtId="0" fontId="22" fillId="0" borderId="3" xfId="0" applyNumberFormat="1" applyFont="1" applyFill="1" applyBorder="1" applyAlignment="1" applyProtection="1">
      <alignment horizontal="center"/>
    </xf>
    <xf numFmtId="0" fontId="13" fillId="7" borderId="5" xfId="0" applyFont="1" applyFill="1" applyBorder="1" applyAlignment="1" applyProtection="1">
      <alignment horizontal="left"/>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0" borderId="3" xfId="0" quotePrefix="1" applyFont="1" applyFill="1" applyBorder="1" applyAlignment="1" applyProtection="1">
      <alignment horizontal="center" wrapText="1"/>
    </xf>
    <xf numFmtId="0" fontId="13" fillId="0" borderId="4" xfId="0" quotePrefix="1" applyFont="1" applyFill="1" applyBorder="1" applyAlignment="1" applyProtection="1">
      <alignment horizontal="center" wrapText="1"/>
    </xf>
    <xf numFmtId="0" fontId="13" fillId="0" borderId="8" xfId="0" quotePrefix="1" applyFont="1" applyFill="1" applyBorder="1" applyAlignment="1" applyProtection="1">
      <alignment horizontal="center" wrapText="1"/>
    </xf>
    <xf numFmtId="166" fontId="13" fillId="0" borderId="12" xfId="0" applyNumberFormat="1" applyFont="1" applyFill="1" applyBorder="1" applyAlignment="1" applyProtection="1">
      <alignment horizontal="center"/>
    </xf>
    <xf numFmtId="1" fontId="13" fillId="0" borderId="20" xfId="0" applyNumberFormat="1" applyFont="1" applyFill="1" applyBorder="1" applyAlignment="1" applyProtection="1">
      <alignment horizontal="center"/>
    </xf>
    <xf numFmtId="1" fontId="13" fillId="0" borderId="12" xfId="0" applyNumberFormat="1" applyFont="1" applyFill="1" applyBorder="1" applyAlignment="1" applyProtection="1">
      <alignment horizontal="center"/>
    </xf>
    <xf numFmtId="166" fontId="13" fillId="0" borderId="8" xfId="0" applyNumberFormat="1" applyFont="1" applyFill="1" applyBorder="1" applyAlignment="1" applyProtection="1">
      <alignment horizontal="center"/>
    </xf>
    <xf numFmtId="166" fontId="13" fillId="0" borderId="24" xfId="0" applyNumberFormat="1" applyFont="1" applyFill="1" applyBorder="1" applyAlignment="1" applyProtection="1">
      <alignment horizontal="center"/>
    </xf>
    <xf numFmtId="2" fontId="13" fillId="0" borderId="3" xfId="0" applyNumberFormat="1" applyFont="1" applyFill="1" applyBorder="1" applyAlignment="1" applyProtection="1">
      <alignment horizontal="center"/>
    </xf>
    <xf numFmtId="2" fontId="13" fillId="0" borderId="4" xfId="0" applyNumberFormat="1" applyFont="1" applyFill="1" applyBorder="1" applyAlignment="1" applyProtection="1">
      <alignment horizontal="center"/>
    </xf>
    <xf numFmtId="2" fontId="13" fillId="0" borderId="8" xfId="0" applyNumberFormat="1" applyFont="1" applyFill="1" applyBorder="1" applyAlignment="1" applyProtection="1">
      <alignment horizontal="center"/>
    </xf>
    <xf numFmtId="166" fontId="13" fillId="47" borderId="12" xfId="0" applyNumberFormat="1" applyFont="1" applyFill="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8" xfId="0" applyFont="1" applyFill="1" applyBorder="1" applyAlignment="1" applyProtection="1">
      <alignment horizontal="center"/>
    </xf>
    <xf numFmtId="0" fontId="12" fillId="0" borderId="0" xfId="0" applyFont="1" applyFill="1" applyBorder="1" applyAlignment="1" applyProtection="1">
      <alignment horizontal="center" vertical="top"/>
    </xf>
    <xf numFmtId="1" fontId="13" fillId="0" borderId="25" xfId="0" applyNumberFormat="1" applyFont="1" applyFill="1" applyBorder="1" applyAlignment="1" applyProtection="1">
      <alignment horizontal="center"/>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0" fontId="28" fillId="0" borderId="47" xfId="0" applyFont="1" applyBorder="1" applyAlignment="1" applyProtection="1">
      <alignment horizontal="left" wrapText="1"/>
    </xf>
    <xf numFmtId="0" fontId="28" fillId="0" borderId="0" xfId="0" applyFont="1" applyBorder="1" applyAlignment="1" applyProtection="1">
      <alignment horizontal="left" wrapText="1"/>
    </xf>
    <xf numFmtId="166" fontId="13" fillId="0" borderId="15" xfId="0" applyNumberFormat="1" applyFont="1" applyFill="1" applyBorder="1" applyAlignment="1" applyProtection="1">
      <alignment horizontal="center"/>
    </xf>
    <xf numFmtId="1" fontId="13" fillId="0" borderId="22" xfId="0" applyNumberFormat="1" applyFont="1" applyFill="1" applyBorder="1" applyAlignment="1" applyProtection="1">
      <alignment horizontal="center"/>
    </xf>
    <xf numFmtId="1" fontId="13" fillId="0" borderId="15" xfId="0" applyNumberFormat="1" applyFont="1" applyFill="1" applyBorder="1" applyAlignment="1" applyProtection="1">
      <alignment horizontal="center"/>
    </xf>
    <xf numFmtId="0" fontId="13" fillId="7" borderId="5" xfId="0" applyFont="1" applyFill="1" applyBorder="1" applyAlignment="1" applyProtection="1">
      <alignment horizontal="center" vertical="center" wrapText="1" shrinkToFit="1"/>
      <protection locked="0"/>
    </xf>
    <xf numFmtId="0" fontId="13" fillId="0" borderId="0" xfId="0" applyFont="1" applyFill="1" applyBorder="1" applyAlignment="1" applyProtection="1">
      <alignment horizontal="left" vertical="top" wrapText="1"/>
    </xf>
    <xf numFmtId="1" fontId="13" fillId="0" borderId="23" xfId="0" applyNumberFormat="1" applyFont="1" applyFill="1" applyBorder="1" applyAlignment="1" applyProtection="1">
      <alignment horizontal="center"/>
    </xf>
    <xf numFmtId="1" fontId="13" fillId="0" borderId="21" xfId="0" applyNumberFormat="1" applyFont="1" applyFill="1" applyBorder="1" applyAlignment="1" applyProtection="1">
      <alignment horizontal="center"/>
    </xf>
    <xf numFmtId="2" fontId="13" fillId="47" borderId="12" xfId="0" applyNumberFormat="1" applyFont="1" applyFill="1" applyBorder="1" applyAlignment="1" applyProtection="1">
      <alignment horizontal="center"/>
    </xf>
    <xf numFmtId="1" fontId="13" fillId="0" borderId="30" xfId="0" applyNumberFormat="1" applyFont="1" applyFill="1" applyBorder="1" applyAlignment="1" applyProtection="1">
      <alignment horizontal="center"/>
    </xf>
    <xf numFmtId="9" fontId="22" fillId="0" borderId="17" xfId="0" applyNumberFormat="1" applyFont="1" applyFill="1" applyBorder="1" applyAlignment="1" applyProtection="1">
      <alignment horizontal="center"/>
    </xf>
    <xf numFmtId="0" fontId="22" fillId="0" borderId="17" xfId="0" applyNumberFormat="1" applyFont="1" applyFill="1" applyBorder="1" applyAlignment="1" applyProtection="1">
      <alignment horizontal="center"/>
    </xf>
    <xf numFmtId="44" fontId="13" fillId="0" borderId="0" xfId="164" applyFont="1" applyFill="1" applyBorder="1" applyAlignment="1" applyProtection="1">
      <alignment horizontal="left" vertical="top" wrapText="1"/>
    </xf>
    <xf numFmtId="0" fontId="13" fillId="0" borderId="0" xfId="0" applyFont="1" applyAlignment="1" applyProtection="1">
      <alignment horizontal="left" vertical="top" wrapText="1"/>
    </xf>
    <xf numFmtId="0" fontId="13" fillId="0" borderId="5" xfId="0" applyFont="1" applyBorder="1" applyAlignment="1" applyProtection="1">
      <alignment horizontal="left" vertical="top" wrapText="1"/>
    </xf>
    <xf numFmtId="1" fontId="14" fillId="0" borderId="3" xfId="0" applyNumberFormat="1" applyFont="1" applyFill="1" applyBorder="1" applyAlignment="1" applyProtection="1">
      <alignment horizontal="center"/>
    </xf>
    <xf numFmtId="1" fontId="14" fillId="0" borderId="4" xfId="0" applyNumberFormat="1" applyFont="1" applyFill="1" applyBorder="1" applyAlignment="1" applyProtection="1">
      <alignment horizontal="center"/>
    </xf>
    <xf numFmtId="1" fontId="14" fillId="0" borderId="8" xfId="0" applyNumberFormat="1" applyFont="1" applyFill="1" applyBorder="1" applyAlignment="1" applyProtection="1">
      <alignment horizontal="center"/>
    </xf>
    <xf numFmtId="0" fontId="12" fillId="0" borderId="12" xfId="0" applyFont="1" applyFill="1" applyBorder="1" applyAlignment="1" applyProtection="1">
      <alignment horizontal="right"/>
    </xf>
    <xf numFmtId="0" fontId="13" fillId="0" borderId="47" xfId="0" applyFont="1" applyBorder="1" applyAlignment="1">
      <alignment horizontal="left" vertical="top" wrapText="1"/>
    </xf>
    <xf numFmtId="0" fontId="13" fillId="0" borderId="0" xfId="0" applyFont="1" applyBorder="1" applyAlignment="1">
      <alignment horizontal="left" vertical="top" wrapText="1"/>
    </xf>
    <xf numFmtId="0" fontId="13"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2" fillId="0" borderId="7"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13"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8" fillId="0" borderId="47"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12" fillId="0" borderId="12" xfId="0" applyFont="1" applyBorder="1" applyAlignment="1" applyProtection="1">
      <alignment horizontal="center"/>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2" fillId="0" borderId="0" xfId="0" applyFont="1" applyBorder="1" applyAlignment="1" applyProtection="1">
      <alignment horizontal="center" vertical="top"/>
    </xf>
    <xf numFmtId="0" fontId="12" fillId="0" borderId="50" xfId="0" applyFont="1" applyBorder="1" applyAlignment="1" applyProtection="1">
      <alignment horizontal="center" vertical="top"/>
    </xf>
    <xf numFmtId="0" fontId="13" fillId="0" borderId="47" xfId="0" applyNumberFormat="1" applyFont="1" applyBorder="1" applyAlignment="1">
      <alignment horizontal="left" vertical="top" wrapText="1"/>
    </xf>
    <xf numFmtId="0" fontId="13" fillId="0" borderId="0" xfId="0" applyNumberFormat="1" applyFont="1" applyBorder="1" applyAlignment="1">
      <alignment horizontal="left" vertical="top" wrapText="1"/>
    </xf>
    <xf numFmtId="0" fontId="12" fillId="0" borderId="47" xfId="0" applyFont="1" applyBorder="1" applyAlignment="1" applyProtection="1">
      <alignment horizontal="center" vertical="top"/>
    </xf>
    <xf numFmtId="0" fontId="12" fillId="0" borderId="48" xfId="0" applyFont="1" applyBorder="1" applyAlignment="1" applyProtection="1">
      <alignment horizontal="center" vertical="top"/>
    </xf>
    <xf numFmtId="0" fontId="22" fillId="49" borderId="2" xfId="0" applyFont="1" applyFill="1" applyBorder="1" applyAlignment="1">
      <alignment horizontal="center"/>
    </xf>
    <xf numFmtId="0" fontId="22" fillId="49" borderId="5" xfId="0" applyFont="1" applyFill="1" applyBorder="1" applyAlignment="1">
      <alignment horizontal="center"/>
    </xf>
    <xf numFmtId="0" fontId="5"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2" fillId="0" borderId="0" xfId="0" applyFont="1" applyFill="1" applyBorder="1" applyAlignment="1" applyProtection="1">
      <alignment horizontal="right"/>
    </xf>
    <xf numFmtId="0" fontId="55" fillId="0" borderId="0" xfId="0" applyFont="1" applyAlignment="1">
      <alignment horizontal="left" vertical="top" wrapText="1"/>
    </xf>
    <xf numFmtId="0" fontId="49" fillId="0" borderId="3" xfId="0" applyFont="1" applyFill="1" applyBorder="1" applyAlignment="1" applyProtection="1">
      <alignment horizontal="left"/>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0" fontId="12" fillId="0" borderId="1" xfId="0" applyFont="1" applyFill="1" applyBorder="1" applyAlignment="1" applyProtection="1">
      <alignment horizontal="center" wrapText="1"/>
    </xf>
    <xf numFmtId="0" fontId="12" fillId="0" borderId="9" xfId="0" applyFont="1" applyFill="1" applyBorder="1" applyAlignment="1" applyProtection="1">
      <alignment horizontal="center" wrapText="1"/>
    </xf>
    <xf numFmtId="1" fontId="14" fillId="0" borderId="12" xfId="0" applyNumberFormat="1" applyFont="1" applyFill="1" applyBorder="1" applyAlignment="1" applyProtection="1">
      <alignment horizontal="center"/>
    </xf>
    <xf numFmtId="0" fontId="13" fillId="4" borderId="3" xfId="0" applyFont="1" applyFill="1" applyBorder="1" applyAlignment="1" applyProtection="1">
      <alignment horizontal="center"/>
    </xf>
    <xf numFmtId="0" fontId="13" fillId="4" borderId="4" xfId="0" applyFont="1" applyFill="1" applyBorder="1" applyAlignment="1" applyProtection="1">
      <alignment horizontal="center"/>
    </xf>
    <xf numFmtId="0" fontId="13" fillId="4" borderId="8" xfId="0" applyFont="1" applyFill="1" applyBorder="1" applyAlignment="1" applyProtection="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164" fontId="20" fillId="0" borderId="1" xfId="0" applyNumberFormat="1" applyFont="1" applyFill="1" applyBorder="1" applyAlignment="1" applyProtection="1">
      <alignment horizontal="right" vertical="center"/>
    </xf>
    <xf numFmtId="164" fontId="20" fillId="0" borderId="2" xfId="0" applyNumberFormat="1" applyFont="1" applyFill="1" applyBorder="1" applyAlignment="1" applyProtection="1">
      <alignment horizontal="right" vertical="center"/>
    </xf>
    <xf numFmtId="164" fontId="20" fillId="0" borderId="11" xfId="0" applyNumberFormat="1" applyFont="1" applyFill="1" applyBorder="1" applyAlignment="1" applyProtection="1">
      <alignment horizontal="right" vertical="center"/>
    </xf>
    <xf numFmtId="164" fontId="20" fillId="0" borderId="9" xfId="0" applyNumberFormat="1" applyFont="1" applyFill="1" applyBorder="1" applyAlignment="1" applyProtection="1">
      <alignment horizontal="right" vertical="center"/>
    </xf>
    <xf numFmtId="164" fontId="20" fillId="0" borderId="5" xfId="0" applyNumberFormat="1" applyFont="1" applyFill="1" applyBorder="1" applyAlignment="1" applyProtection="1">
      <alignment horizontal="right" vertical="center"/>
    </xf>
    <xf numFmtId="164" fontId="20" fillId="0" borderId="10" xfId="0" applyNumberFormat="1" applyFont="1" applyFill="1" applyBorder="1" applyAlignment="1" applyProtection="1">
      <alignment horizontal="right" vertical="center"/>
    </xf>
    <xf numFmtId="0" fontId="12" fillId="0" borderId="0" xfId="0" applyFont="1" applyFill="1" applyBorder="1" applyAlignment="1" applyProtection="1">
      <alignment horizontal="center"/>
    </xf>
    <xf numFmtId="0" fontId="13" fillId="47" borderId="3" xfId="0" applyFont="1" applyFill="1" applyBorder="1" applyAlignment="1" applyProtection="1">
      <alignment horizontal="right"/>
    </xf>
    <xf numFmtId="0" fontId="13" fillId="47" borderId="4" xfId="0" applyFont="1" applyFill="1" applyBorder="1" applyAlignment="1" applyProtection="1">
      <alignment horizontal="right"/>
    </xf>
    <xf numFmtId="49" fontId="13" fillId="47" borderId="4" xfId="0" applyNumberFormat="1" applyFont="1" applyFill="1" applyBorder="1" applyAlignment="1" applyProtection="1">
      <alignment horizontal="left"/>
    </xf>
    <xf numFmtId="49" fontId="13" fillId="47" borderId="8" xfId="0" applyNumberFormat="1" applyFont="1" applyFill="1" applyBorder="1" applyAlignment="1" applyProtection="1">
      <alignment horizontal="left"/>
    </xf>
    <xf numFmtId="0" fontId="13" fillId="47" borderId="3" xfId="0" applyFont="1" applyFill="1" applyBorder="1" applyAlignment="1" applyProtection="1">
      <alignment horizontal="center"/>
      <protection locked="0"/>
    </xf>
    <xf numFmtId="0" fontId="13" fillId="47" borderId="4" xfId="0" applyFont="1" applyFill="1" applyBorder="1" applyAlignment="1" applyProtection="1">
      <alignment horizontal="center"/>
      <protection locked="0"/>
    </xf>
    <xf numFmtId="0" fontId="13" fillId="47" borderId="8" xfId="0" applyFont="1" applyFill="1" applyBorder="1" applyAlignment="1" applyProtection="1">
      <alignment horizontal="center"/>
      <protection locked="0"/>
    </xf>
    <xf numFmtId="1" fontId="12" fillId="0" borderId="12" xfId="0" applyNumberFormat="1" applyFont="1" applyFill="1" applyBorder="1" applyAlignment="1" applyProtection="1">
      <alignment horizontal="center"/>
    </xf>
    <xf numFmtId="166" fontId="14" fillId="0" borderId="9" xfId="0" applyNumberFormat="1" applyFont="1" applyFill="1" applyBorder="1" applyAlignment="1" applyProtection="1">
      <alignment horizontal="center"/>
    </xf>
    <xf numFmtId="166" fontId="14" fillId="0" borderId="5" xfId="0" applyNumberFormat="1" applyFont="1" applyFill="1" applyBorder="1" applyAlignment="1" applyProtection="1">
      <alignment horizontal="center"/>
    </xf>
    <xf numFmtId="166" fontId="14" fillId="0" borderId="10" xfId="0" applyNumberFormat="1" applyFont="1" applyFill="1" applyBorder="1" applyAlignment="1" applyProtection="1">
      <alignment horizontal="center"/>
    </xf>
    <xf numFmtId="0" fontId="14"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3" fillId="0" borderId="21" xfId="0" applyNumberFormat="1" applyFont="1" applyFill="1" applyBorder="1" applyAlignment="1" applyProtection="1">
      <alignment horizontal="center"/>
    </xf>
    <xf numFmtId="1" fontId="5" fillId="0" borderId="3" xfId="546" applyNumberFormat="1" applyFont="1" applyBorder="1" applyAlignment="1" applyProtection="1">
      <alignment horizontal="center"/>
    </xf>
    <xf numFmtId="1" fontId="5" fillId="0" borderId="4" xfId="546" applyNumberFormat="1" applyFont="1" applyBorder="1" applyAlignment="1" applyProtection="1">
      <alignment horizontal="center"/>
    </xf>
    <xf numFmtId="1" fontId="5"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3" fillId="0" borderId="25" xfId="0" applyNumberFormat="1" applyFont="1" applyFill="1" applyBorder="1" applyAlignment="1" applyProtection="1">
      <alignment horizontal="center"/>
    </xf>
    <xf numFmtId="173" fontId="5" fillId="0" borderId="3" xfId="546" applyNumberFormat="1" applyFont="1" applyBorder="1" applyAlignment="1" applyProtection="1">
      <alignment horizontal="center"/>
    </xf>
    <xf numFmtId="173" fontId="5" fillId="0" borderId="4" xfId="546" applyNumberFormat="1" applyFont="1" applyBorder="1" applyAlignment="1" applyProtection="1">
      <alignment horizontal="center"/>
    </xf>
    <xf numFmtId="173" fontId="5" fillId="0" borderId="8" xfId="546" applyNumberFormat="1" applyFont="1" applyBorder="1" applyAlignment="1" applyProtection="1">
      <alignment horizontal="center"/>
    </xf>
    <xf numFmtId="0" fontId="25" fillId="0" borderId="3" xfId="0" applyFont="1" applyBorder="1" applyAlignment="1" applyProtection="1">
      <alignment horizontal="center"/>
    </xf>
    <xf numFmtId="0" fontId="25" fillId="0" borderId="4" xfId="0" applyFont="1" applyBorder="1" applyAlignment="1" applyProtection="1">
      <alignment horizontal="center"/>
    </xf>
    <xf numFmtId="0" fontId="25" fillId="0" borderId="8" xfId="0" applyFont="1" applyBorder="1" applyAlignment="1" applyProtection="1">
      <alignment horizontal="center"/>
    </xf>
    <xf numFmtId="0" fontId="5"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2" fillId="0" borderId="0" xfId="0" applyNumberFormat="1" applyFont="1" applyFill="1" applyBorder="1" applyAlignment="1" applyProtection="1">
      <alignment horizontal="left" vertical="top" wrapText="1"/>
    </xf>
    <xf numFmtId="1" fontId="13"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7" fillId="2" borderId="3" xfId="0" applyFont="1" applyFill="1" applyBorder="1" applyAlignment="1" applyProtection="1">
      <alignment horizontal="center"/>
    </xf>
    <xf numFmtId="0" fontId="37" fillId="2" borderId="8" xfId="0" applyFont="1" applyFill="1" applyBorder="1" applyAlignment="1" applyProtection="1">
      <alignment horizontal="center"/>
    </xf>
    <xf numFmtId="0" fontId="37" fillId="0" borderId="3" xfId="0" applyFont="1" applyBorder="1" applyAlignment="1" applyProtection="1">
      <alignment horizontal="center"/>
    </xf>
    <xf numFmtId="0" fontId="37" fillId="0" borderId="8" xfId="0" applyFont="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13" fillId="0" borderId="1"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1" fontId="13" fillId="0" borderId="44" xfId="0" applyNumberFormat="1" applyFont="1" applyFill="1" applyBorder="1" applyAlignment="1" applyProtection="1">
      <alignment horizontal="center"/>
    </xf>
    <xf numFmtId="1" fontId="13" fillId="0" borderId="26" xfId="0" applyNumberFormat="1" applyFont="1" applyFill="1" applyBorder="1" applyAlignment="1" applyProtection="1">
      <alignment horizontal="center"/>
    </xf>
    <xf numFmtId="9" fontId="22" fillId="0" borderId="3" xfId="0" applyNumberFormat="1" applyFont="1" applyFill="1" applyBorder="1" applyAlignment="1" applyProtection="1">
      <alignment horizontal="center"/>
    </xf>
    <xf numFmtId="9" fontId="22"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3" fillId="0" borderId="8" xfId="0" applyNumberFormat="1" applyFont="1" applyFill="1" applyBorder="1" applyAlignment="1" applyProtection="1">
      <alignment horizontal="center"/>
    </xf>
    <xf numFmtId="1" fontId="13" fillId="0" borderId="24" xfId="0" applyNumberFormat="1" applyFont="1" applyFill="1" applyBorder="1" applyAlignment="1" applyProtection="1">
      <alignment horizontal="center"/>
    </xf>
    <xf numFmtId="1" fontId="13" fillId="0" borderId="10" xfId="0" applyNumberFormat="1" applyFont="1" applyFill="1" applyBorder="1" applyAlignment="1" applyProtection="1">
      <alignment horizontal="center"/>
    </xf>
    <xf numFmtId="1" fontId="13"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2" fillId="4" borderId="3" xfId="0" applyFont="1" applyFill="1" applyBorder="1" applyAlignment="1" applyProtection="1">
      <alignment horizontal="right"/>
    </xf>
    <xf numFmtId="0" fontId="22" fillId="4" borderId="4" xfId="0" applyFont="1" applyFill="1" applyBorder="1" applyAlignment="1" applyProtection="1">
      <alignment horizontal="right"/>
    </xf>
    <xf numFmtId="0" fontId="22" fillId="4" borderId="8" xfId="0" applyFont="1" applyFill="1" applyBorder="1" applyAlignment="1" applyProtection="1">
      <alignment horizontal="right"/>
    </xf>
    <xf numFmtId="0" fontId="12" fillId="0" borderId="1" xfId="0" applyFont="1" applyBorder="1" applyAlignment="1" applyProtection="1">
      <alignment horizontal="right" vertical="center" wrapText="1"/>
    </xf>
    <xf numFmtId="0" fontId="12" fillId="0" borderId="2" xfId="0" applyFont="1" applyBorder="1" applyAlignment="1" applyProtection="1">
      <alignment horizontal="right" vertical="center" wrapText="1"/>
    </xf>
    <xf numFmtId="0" fontId="12" fillId="0" borderId="11" xfId="0" applyFont="1" applyBorder="1" applyAlignment="1" applyProtection="1">
      <alignment horizontal="right" vertical="center" wrapText="1"/>
    </xf>
    <xf numFmtId="0" fontId="12" fillId="0" borderId="9" xfId="0" applyFont="1" applyBorder="1" applyAlignment="1" applyProtection="1">
      <alignment horizontal="right" vertical="center" wrapText="1"/>
    </xf>
    <xf numFmtId="0" fontId="12" fillId="0" borderId="5" xfId="0" applyFont="1" applyBorder="1" applyAlignment="1" applyProtection="1">
      <alignment horizontal="right" vertical="center" wrapText="1"/>
    </xf>
    <xf numFmtId="0" fontId="12" fillId="0" borderId="10" xfId="0" applyFont="1" applyBorder="1" applyAlignment="1" applyProtection="1">
      <alignment horizontal="right" vertical="center" wrapText="1"/>
    </xf>
    <xf numFmtId="0" fontId="12" fillId="0" borderId="0" xfId="0" applyFont="1" applyAlignment="1" applyProtection="1">
      <alignment horizontal="right"/>
    </xf>
    <xf numFmtId="0" fontId="14" fillId="0" borderId="12" xfId="0" applyNumberFormat="1" applyFont="1" applyFill="1" applyBorder="1" applyAlignment="1" applyProtection="1">
      <alignment horizontal="center"/>
    </xf>
    <xf numFmtId="0" fontId="13" fillId="0" borderId="5" xfId="0" applyFont="1" applyBorder="1" applyAlignment="1" applyProtection="1">
      <alignment horizontal="left"/>
    </xf>
    <xf numFmtId="0" fontId="13" fillId="7" borderId="5" xfId="0" applyFont="1" applyFill="1" applyBorder="1" applyAlignment="1" applyProtection="1">
      <alignment horizontal="center"/>
      <protection locked="0"/>
    </xf>
    <xf numFmtId="0" fontId="13" fillId="0" borderId="0" xfId="0" applyFont="1" applyFill="1" applyBorder="1" applyAlignment="1" applyProtection="1">
      <alignment horizontal="left" vertical="center" wrapText="1" shrinkToFit="1"/>
    </xf>
    <xf numFmtId="0" fontId="13" fillId="0" borderId="5" xfId="0" applyFont="1" applyFill="1" applyBorder="1" applyAlignment="1" applyProtection="1">
      <alignment horizontal="left" vertical="top" wrapText="1"/>
    </xf>
    <xf numFmtId="0" fontId="13" fillId="7" borderId="5" xfId="0" applyFont="1" applyFill="1" applyBorder="1" applyAlignment="1" applyProtection="1">
      <alignment horizontal="left" wrapText="1" shrinkToFit="1"/>
      <protection locked="0"/>
    </xf>
    <xf numFmtId="0" fontId="25" fillId="7" borderId="5" xfId="0" applyFont="1" applyFill="1" applyBorder="1" applyAlignment="1" applyProtection="1">
      <alignment horizontal="center"/>
      <protection locked="0"/>
    </xf>
    <xf numFmtId="0" fontId="13" fillId="0" borderId="0" xfId="0" applyFont="1" applyFill="1" applyBorder="1" applyAlignment="1" applyProtection="1">
      <alignment horizontal="left" vertical="top" wrapText="1" shrinkToFit="1"/>
    </xf>
    <xf numFmtId="172" fontId="25" fillId="2" borderId="3" xfId="546" applyNumberFormat="1" applyFont="1" applyFill="1" applyBorder="1" applyAlignment="1" applyProtection="1">
      <alignment horizontal="center"/>
    </xf>
    <xf numFmtId="172" fontId="25" fillId="2" borderId="4" xfId="546" applyNumberFormat="1" applyFont="1" applyFill="1" applyBorder="1" applyAlignment="1" applyProtection="1">
      <alignment horizontal="center"/>
    </xf>
    <xf numFmtId="172" fontId="25" fillId="2" borderId="8" xfId="546" applyNumberFormat="1" applyFont="1" applyFill="1" applyBorder="1" applyAlignment="1" applyProtection="1">
      <alignment horizontal="center"/>
    </xf>
    <xf numFmtId="0" fontId="12" fillId="0" borderId="0" xfId="0" applyFont="1" applyFill="1" applyBorder="1" applyAlignment="1" applyProtection="1">
      <alignment horizontal="left" vertical="top"/>
    </xf>
    <xf numFmtId="0" fontId="22" fillId="0" borderId="1" xfId="0" applyFont="1" applyFill="1" applyBorder="1" applyAlignment="1" applyProtection="1">
      <alignment horizontal="center" wrapText="1"/>
    </xf>
    <xf numFmtId="0" fontId="22" fillId="0" borderId="2" xfId="0" applyFont="1" applyFill="1" applyBorder="1" applyAlignment="1" applyProtection="1">
      <alignment horizontal="center" wrapText="1"/>
    </xf>
    <xf numFmtId="0" fontId="22" fillId="0" borderId="11" xfId="0" applyFont="1" applyFill="1" applyBorder="1" applyAlignment="1" applyProtection="1">
      <alignment horizontal="center" wrapText="1"/>
    </xf>
    <xf numFmtId="0" fontId="22" fillId="0" borderId="7" xfId="0" applyFont="1" applyFill="1" applyBorder="1" applyAlignment="1" applyProtection="1">
      <alignment horizontal="center" wrapText="1"/>
    </xf>
    <xf numFmtId="0" fontId="22" fillId="0" borderId="0" xfId="0" applyFont="1" applyFill="1" applyBorder="1" applyAlignment="1" applyProtection="1">
      <alignment horizontal="center" wrapText="1"/>
    </xf>
    <xf numFmtId="0" fontId="22" fillId="0" borderId="13" xfId="0" applyFont="1" applyFill="1" applyBorder="1" applyAlignment="1" applyProtection="1">
      <alignment horizontal="center" wrapText="1"/>
    </xf>
    <xf numFmtId="164" fontId="13" fillId="0" borderId="46" xfId="0" applyNumberFormat="1" applyFont="1" applyFill="1" applyBorder="1" applyAlignment="1" applyProtection="1">
      <alignment horizontal="center" vertical="top" wrapText="1"/>
    </xf>
    <xf numFmtId="164" fontId="13" fillId="0" borderId="47" xfId="0" applyNumberFormat="1" applyFont="1" applyFill="1" applyBorder="1" applyAlignment="1" applyProtection="1">
      <alignment horizontal="center" vertical="top" wrapText="1"/>
    </xf>
    <xf numFmtId="164" fontId="13" fillId="0" borderId="48" xfId="0" applyNumberFormat="1" applyFont="1" applyFill="1" applyBorder="1" applyAlignment="1" applyProtection="1">
      <alignment horizontal="center" vertical="top" wrapText="1"/>
    </xf>
    <xf numFmtId="164" fontId="13" fillId="0" borderId="49" xfId="0" applyNumberFormat="1" applyFont="1" applyFill="1" applyBorder="1" applyAlignment="1" applyProtection="1">
      <alignment horizontal="center" vertical="top" wrapText="1"/>
    </xf>
    <xf numFmtId="164" fontId="13" fillId="0" borderId="0" xfId="0" applyNumberFormat="1" applyFont="1" applyFill="1" applyBorder="1" applyAlignment="1" applyProtection="1">
      <alignment horizontal="center" vertical="top" wrapText="1"/>
    </xf>
    <xf numFmtId="164" fontId="13" fillId="0" borderId="50" xfId="0" applyNumberFormat="1" applyFont="1" applyFill="1" applyBorder="1" applyAlignment="1" applyProtection="1">
      <alignment horizontal="center" vertical="top" wrapText="1"/>
    </xf>
    <xf numFmtId="164" fontId="13" fillId="0" borderId="52" xfId="0" applyNumberFormat="1" applyFont="1" applyFill="1" applyBorder="1" applyAlignment="1" applyProtection="1">
      <alignment horizontal="center" vertical="top" wrapText="1"/>
    </xf>
    <xf numFmtId="164" fontId="13" fillId="0" borderId="53" xfId="0" applyNumberFormat="1" applyFont="1" applyFill="1" applyBorder="1" applyAlignment="1" applyProtection="1">
      <alignment horizontal="center" vertical="top" wrapText="1"/>
    </xf>
    <xf numFmtId="164" fontId="13" fillId="0" borderId="54" xfId="0" applyNumberFormat="1" applyFont="1" applyFill="1" applyBorder="1" applyAlignment="1" applyProtection="1">
      <alignment horizontal="center" vertical="top" wrapText="1"/>
    </xf>
    <xf numFmtId="166" fontId="12" fillId="0" borderId="8"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 fontId="14" fillId="13" borderId="9" xfId="0" applyNumberFormat="1" applyFont="1" applyFill="1" applyBorder="1" applyAlignment="1" applyProtection="1">
      <alignment horizontal="center"/>
    </xf>
    <xf numFmtId="1" fontId="14" fillId="13" borderId="5" xfId="0" applyNumberFormat="1" applyFont="1" applyFill="1" applyBorder="1" applyAlignment="1" applyProtection="1">
      <alignment horizontal="center"/>
    </xf>
    <xf numFmtId="1" fontId="14" fillId="13" borderId="10" xfId="0" applyNumberFormat="1" applyFont="1" applyFill="1" applyBorder="1" applyAlignment="1" applyProtection="1">
      <alignment horizontal="center"/>
    </xf>
    <xf numFmtId="49" fontId="11" fillId="5" borderId="2" xfId="0" applyNumberFormat="1" applyFont="1" applyFill="1" applyBorder="1" applyAlignment="1" applyProtection="1">
      <alignment horizontal="center" vertical="center"/>
    </xf>
    <xf numFmtId="49" fontId="11" fillId="5" borderId="0" xfId="0" applyNumberFormat="1" applyFont="1" applyFill="1" applyBorder="1" applyAlignment="1" applyProtection="1">
      <alignment horizontal="center" vertical="center"/>
    </xf>
    <xf numFmtId="1" fontId="14" fillId="13" borderId="12" xfId="0" applyNumberFormat="1" applyFont="1" applyFill="1" applyBorder="1" applyAlignment="1" applyProtection="1">
      <alignment horizontal="center"/>
    </xf>
    <xf numFmtId="166" fontId="20" fillId="0" borderId="1" xfId="0" applyNumberFormat="1" applyFont="1" applyFill="1" applyBorder="1" applyAlignment="1" applyProtection="1">
      <alignment horizontal="center" vertical="center"/>
    </xf>
    <xf numFmtId="166" fontId="20" fillId="0" borderId="2" xfId="0" applyNumberFormat="1" applyFont="1" applyFill="1" applyBorder="1" applyAlignment="1" applyProtection="1">
      <alignment horizontal="center" vertical="center"/>
    </xf>
    <xf numFmtId="166" fontId="20" fillId="0" borderId="11" xfId="0" applyNumberFormat="1" applyFont="1" applyFill="1" applyBorder="1" applyAlignment="1" applyProtection="1">
      <alignment horizontal="center" vertical="center"/>
    </xf>
    <xf numFmtId="166" fontId="20" fillId="0" borderId="9" xfId="0" applyNumberFormat="1" applyFont="1" applyFill="1" applyBorder="1" applyAlignment="1" applyProtection="1">
      <alignment horizontal="center" vertical="center"/>
    </xf>
    <xf numFmtId="166" fontId="20" fillId="0" borderId="5" xfId="0" applyNumberFormat="1" applyFont="1" applyFill="1" applyBorder="1" applyAlignment="1" applyProtection="1">
      <alignment horizontal="center" vertical="center"/>
    </xf>
    <xf numFmtId="166" fontId="20" fillId="0" borderId="10" xfId="0" applyNumberFormat="1" applyFont="1" applyFill="1" applyBorder="1" applyAlignment="1" applyProtection="1">
      <alignment horizontal="center" vertical="center"/>
    </xf>
    <xf numFmtId="0" fontId="14" fillId="7" borderId="3" xfId="0" applyFont="1" applyFill="1" applyBorder="1" applyAlignment="1" applyProtection="1">
      <alignment horizontal="center" wrapText="1"/>
      <protection locked="0"/>
    </xf>
    <xf numFmtId="0" fontId="14" fillId="7" borderId="8" xfId="0" applyFont="1" applyFill="1" applyBorder="1" applyAlignment="1" applyProtection="1">
      <alignment horizontal="center" wrapText="1"/>
      <protection locked="0"/>
    </xf>
    <xf numFmtId="0" fontId="12" fillId="0" borderId="4" xfId="0" applyFont="1" applyBorder="1"/>
    <xf numFmtId="0" fontId="12" fillId="0" borderId="8" xfId="0" applyFont="1" applyBorder="1"/>
    <xf numFmtId="1" fontId="14" fillId="13" borderId="3" xfId="0" applyNumberFormat="1" applyFont="1" applyFill="1" applyBorder="1" applyAlignment="1" applyProtection="1">
      <alignment horizontal="center"/>
    </xf>
    <xf numFmtId="1" fontId="14" fillId="13" borderId="4" xfId="0" applyNumberFormat="1" applyFont="1" applyFill="1" applyBorder="1" applyAlignment="1" applyProtection="1">
      <alignment horizontal="center"/>
    </xf>
    <xf numFmtId="1" fontId="14" fillId="13" borderId="8" xfId="0" applyNumberFormat="1" applyFont="1" applyFill="1" applyBorder="1" applyAlignment="1" applyProtection="1">
      <alignment horizontal="center"/>
    </xf>
    <xf numFmtId="0" fontId="13" fillId="0" borderId="0" xfId="0" applyNumberFormat="1" applyFont="1" applyFill="1" applyBorder="1" applyAlignment="1" applyProtection="1">
      <alignment horizontal="left" vertical="top" wrapText="1"/>
    </xf>
    <xf numFmtId="0" fontId="25" fillId="0" borderId="3" xfId="546" applyFont="1" applyBorder="1" applyAlignment="1" applyProtection="1">
      <alignment horizontal="center"/>
    </xf>
    <xf numFmtId="0" fontId="25" fillId="0" borderId="4" xfId="546" applyFont="1" applyBorder="1" applyAlignment="1" applyProtection="1">
      <alignment horizontal="center"/>
    </xf>
    <xf numFmtId="0" fontId="25" fillId="0" borderId="8" xfId="546" applyFont="1" applyBorder="1" applyAlignment="1" applyProtection="1">
      <alignment horizontal="center"/>
    </xf>
    <xf numFmtId="0" fontId="12" fillId="0" borderId="3" xfId="546" applyFont="1" applyBorder="1" applyAlignment="1" applyProtection="1">
      <alignment horizontal="right"/>
    </xf>
    <xf numFmtId="0" fontId="12" fillId="0" borderId="4" xfId="546" applyFont="1" applyBorder="1" applyAlignment="1" applyProtection="1">
      <alignment horizontal="right"/>
    </xf>
    <xf numFmtId="0" fontId="12" fillId="0" borderId="8" xfId="546" applyFont="1" applyBorder="1" applyAlignment="1" applyProtection="1">
      <alignment horizontal="right"/>
    </xf>
    <xf numFmtId="0" fontId="22" fillId="0" borderId="1"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164" fontId="13" fillId="0" borderId="0" xfId="0" applyNumberFormat="1" applyFont="1" applyFill="1" applyBorder="1" applyAlignment="1" applyProtection="1">
      <alignment horizontal="left" vertical="top" wrapText="1"/>
    </xf>
    <xf numFmtId="0" fontId="22" fillId="0" borderId="12" xfId="0" applyFont="1" applyFill="1" applyBorder="1" applyAlignment="1" applyProtection="1">
      <alignment horizontal="center" vertical="center" wrapText="1"/>
    </xf>
    <xf numFmtId="0" fontId="13" fillId="11" borderId="3" xfId="0" applyFont="1" applyFill="1" applyBorder="1" applyAlignment="1" applyProtection="1">
      <alignment horizontal="center"/>
    </xf>
    <xf numFmtId="0" fontId="13" fillId="11" borderId="4" xfId="0" applyFont="1" applyFill="1" applyBorder="1" applyAlignment="1" applyProtection="1">
      <alignment horizontal="center"/>
    </xf>
    <xf numFmtId="0" fontId="13" fillId="11"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10" xfId="0" applyFont="1" applyBorder="1" applyAlignment="1" applyProtection="1">
      <alignment horizontal="center"/>
    </xf>
    <xf numFmtId="0" fontId="12" fillId="4" borderId="3" xfId="0" applyFont="1" applyFill="1" applyBorder="1" applyAlignment="1" applyProtection="1">
      <alignment horizontal="center" wrapText="1"/>
    </xf>
    <xf numFmtId="0" fontId="12" fillId="4" borderId="4" xfId="0" applyFont="1" applyFill="1" applyBorder="1" applyAlignment="1" applyProtection="1">
      <alignment horizontal="center" wrapText="1"/>
    </xf>
    <xf numFmtId="0" fontId="12" fillId="4" borderId="8" xfId="0" applyFont="1" applyFill="1" applyBorder="1" applyAlignment="1" applyProtection="1">
      <alignment horizontal="center" wrapText="1"/>
    </xf>
    <xf numFmtId="1" fontId="14" fillId="0" borderId="3" xfId="0" applyNumberFormat="1" applyFont="1" applyBorder="1" applyAlignment="1" applyProtection="1">
      <alignment horizontal="center"/>
    </xf>
    <xf numFmtId="1" fontId="14" fillId="0" borderId="4" xfId="0" applyNumberFormat="1" applyFont="1" applyBorder="1" applyAlignment="1" applyProtection="1">
      <alignment horizontal="center"/>
    </xf>
    <xf numFmtId="1" fontId="14" fillId="0" borderId="8" xfId="0" applyNumberFormat="1" applyFont="1" applyBorder="1" applyAlignment="1" applyProtection="1">
      <alignment horizontal="center"/>
    </xf>
    <xf numFmtId="0" fontId="22" fillId="47" borderId="17" xfId="0" applyNumberFormat="1" applyFont="1" applyFill="1" applyBorder="1" applyAlignment="1" applyProtection="1">
      <alignment horizontal="center"/>
    </xf>
    <xf numFmtId="0" fontId="22" fillId="0" borderId="0" xfId="0" applyFont="1" applyFill="1" applyBorder="1" applyAlignment="1" applyProtection="1">
      <alignment horizontal="left" vertical="top" wrapText="1"/>
    </xf>
    <xf numFmtId="1" fontId="13" fillId="47" borderId="15" xfId="0" applyNumberFormat="1" applyFont="1" applyFill="1" applyBorder="1" applyAlignment="1" applyProtection="1">
      <alignment horizontal="center"/>
    </xf>
    <xf numFmtId="0" fontId="13" fillId="0" borderId="0" xfId="0" applyFont="1" applyFill="1" applyBorder="1" applyAlignment="1" applyProtection="1">
      <alignment horizontal="center"/>
    </xf>
    <xf numFmtId="1" fontId="14" fillId="11" borderId="3" xfId="0" applyNumberFormat="1" applyFont="1" applyFill="1" applyBorder="1" applyAlignment="1" applyProtection="1">
      <alignment horizontal="center" vertical="center"/>
    </xf>
    <xf numFmtId="1" fontId="14" fillId="11" borderId="8" xfId="0" applyNumberFormat="1" applyFont="1" applyFill="1" applyBorder="1" applyAlignment="1" applyProtection="1">
      <alignment horizontal="center" vertical="center"/>
    </xf>
    <xf numFmtId="1" fontId="39" fillId="0" borderId="3" xfId="0" quotePrefix="1" applyNumberFormat="1" applyFont="1" applyFill="1" applyBorder="1" applyAlignment="1" applyProtection="1">
      <alignment horizontal="center" wrapText="1"/>
    </xf>
    <xf numFmtId="1" fontId="39" fillId="0" borderId="4" xfId="0" quotePrefix="1" applyNumberFormat="1" applyFont="1" applyFill="1" applyBorder="1" applyAlignment="1" applyProtection="1">
      <alignment horizontal="center" wrapText="1"/>
    </xf>
    <xf numFmtId="1" fontId="39" fillId="0" borderId="8" xfId="0" quotePrefix="1" applyNumberFormat="1" applyFont="1" applyFill="1" applyBorder="1" applyAlignment="1" applyProtection="1">
      <alignment horizontal="center" wrapText="1"/>
    </xf>
    <xf numFmtId="0" fontId="22" fillId="0" borderId="3" xfId="0" applyFont="1" applyFill="1" applyBorder="1" applyAlignment="1" applyProtection="1">
      <alignment horizontal="center" wrapText="1"/>
    </xf>
    <xf numFmtId="0" fontId="22" fillId="0" borderId="4" xfId="0" applyFont="1" applyFill="1" applyBorder="1" applyAlignment="1" applyProtection="1">
      <alignment horizontal="center" wrapText="1"/>
    </xf>
    <xf numFmtId="0" fontId="22" fillId="0" borderId="8" xfId="0" applyFont="1" applyFill="1" applyBorder="1" applyAlignment="1" applyProtection="1">
      <alignment horizontal="center" wrapText="1"/>
    </xf>
    <xf numFmtId="0" fontId="12" fillId="11" borderId="4" xfId="0" applyFont="1" applyFill="1" applyBorder="1" applyAlignment="1" applyProtection="1">
      <alignment horizontal="center"/>
    </xf>
    <xf numFmtId="0" fontId="13" fillId="0" borderId="47" xfId="574" applyFont="1" applyBorder="1" applyAlignment="1">
      <alignment horizontal="left" vertical="top" wrapText="1"/>
    </xf>
    <xf numFmtId="0" fontId="13" fillId="0" borderId="0" xfId="574" applyFont="1" applyBorder="1" applyAlignment="1">
      <alignment horizontal="left" vertical="top" wrapText="1"/>
    </xf>
    <xf numFmtId="0" fontId="22" fillId="10" borderId="7" xfId="0" applyFont="1" applyFill="1" applyBorder="1" applyAlignment="1" applyProtection="1">
      <alignment horizontal="center" wrapText="1"/>
    </xf>
    <xf numFmtId="0" fontId="22" fillId="10" borderId="0" xfId="0" applyFont="1" applyFill="1" applyBorder="1" applyAlignment="1" applyProtection="1">
      <alignment horizontal="center" wrapText="1"/>
    </xf>
    <xf numFmtId="0" fontId="13"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3"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4" fillId="0" borderId="13" xfId="0" applyFont="1" applyFill="1" applyBorder="1" applyAlignment="1" applyProtection="1">
      <alignment horizontal="left" vertical="top" wrapText="1"/>
    </xf>
    <xf numFmtId="166" fontId="13" fillId="0" borderId="45" xfId="0" applyNumberFormat="1" applyFont="1" applyFill="1" applyBorder="1" applyAlignment="1" applyProtection="1">
      <alignment horizontal="center"/>
    </xf>
    <xf numFmtId="166" fontId="13" fillId="0" borderId="28" xfId="0" applyNumberFormat="1" applyFont="1" applyFill="1" applyBorder="1" applyAlignment="1" applyProtection="1">
      <alignment horizontal="center"/>
    </xf>
    <xf numFmtId="0" fontId="35" fillId="0" borderId="1" xfId="0"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xf>
    <xf numFmtId="1" fontId="128" fillId="0" borderId="0" xfId="575" applyNumberFormat="1" applyFont="1" applyFill="1" applyBorder="1" applyAlignment="1">
      <alignment horizontal="center"/>
    </xf>
    <xf numFmtId="1" fontId="128" fillId="0" borderId="5" xfId="575" applyNumberFormat="1" applyFont="1" applyFill="1" applyBorder="1" applyAlignment="1">
      <alignment horizontal="center"/>
    </xf>
    <xf numFmtId="182" fontId="129" fillId="0" borderId="3" xfId="575" applyNumberFormat="1" applyFont="1" applyFill="1" applyBorder="1" applyAlignment="1">
      <alignment horizontal="center"/>
    </xf>
    <xf numFmtId="182" fontId="129" fillId="0" borderId="4" xfId="575" applyNumberFormat="1" applyFont="1" applyFill="1" applyBorder="1" applyAlignment="1">
      <alignment horizontal="center"/>
    </xf>
    <xf numFmtId="182" fontId="129" fillId="0" borderId="8" xfId="575" applyNumberFormat="1" applyFont="1" applyFill="1" applyBorder="1" applyAlignment="1">
      <alignment horizontal="center"/>
    </xf>
    <xf numFmtId="2" fontId="128" fillId="0" borderId="0" xfId="575" applyNumberFormat="1" applyFont="1" applyFill="1" applyAlignment="1">
      <alignment horizontal="center"/>
    </xf>
    <xf numFmtId="2" fontId="128" fillId="0" borderId="0" xfId="575" applyNumberFormat="1" applyFont="1" applyFill="1" applyBorder="1" applyAlignment="1">
      <alignment horizontal="center"/>
    </xf>
    <xf numFmtId="2" fontId="128" fillId="0" borderId="5" xfId="575" applyNumberFormat="1" applyFont="1" applyFill="1" applyBorder="1" applyAlignment="1">
      <alignment horizontal="center"/>
    </xf>
    <xf numFmtId="0" fontId="128" fillId="0" borderId="0" xfId="575" applyFont="1" applyFill="1" applyAlignment="1">
      <alignment horizontal="center"/>
    </xf>
    <xf numFmtId="0" fontId="128" fillId="0" borderId="5" xfId="575" applyFont="1" applyBorder="1" applyAlignment="1">
      <alignment horizontal="center"/>
    </xf>
    <xf numFmtId="2" fontId="128" fillId="0" borderId="2" xfId="575" applyNumberFormat="1" applyFont="1" applyFill="1" applyBorder="1" applyAlignment="1">
      <alignment horizontal="center"/>
    </xf>
    <xf numFmtId="0" fontId="128" fillId="52" borderId="5" xfId="575" applyFont="1" applyFill="1" applyBorder="1" applyAlignment="1" applyProtection="1">
      <alignment horizontal="center"/>
      <protection locked="0"/>
    </xf>
    <xf numFmtId="0" fontId="132" fillId="53" borderId="0" xfId="575" applyFont="1" applyFill="1" applyAlignment="1">
      <alignment horizontal="center"/>
    </xf>
    <xf numFmtId="49" fontId="11" fillId="5" borderId="0" xfId="278" applyNumberFormat="1" applyFont="1" applyFill="1" applyBorder="1" applyAlignment="1" applyProtection="1">
      <alignment horizontal="center" vertical="center"/>
    </xf>
    <xf numFmtId="44" fontId="129" fillId="0" borderId="3" xfId="164" applyFont="1" applyFill="1" applyBorder="1" applyAlignment="1">
      <alignment horizontal="center"/>
    </xf>
    <xf numFmtId="44" fontId="129" fillId="0" borderId="4" xfId="164" applyFont="1" applyFill="1" applyBorder="1" applyAlignment="1">
      <alignment horizontal="center"/>
    </xf>
    <xf numFmtId="44" fontId="129" fillId="0" borderId="8" xfId="164" applyFont="1" applyFill="1" applyBorder="1" applyAlignment="1">
      <alignment horizontal="center"/>
    </xf>
    <xf numFmtId="49" fontId="128" fillId="52" borderId="5" xfId="575" applyNumberFormat="1" applyFont="1" applyFill="1" applyBorder="1" applyAlignment="1" applyProtection="1">
      <alignment horizontal="center"/>
      <protection locked="0"/>
    </xf>
    <xf numFmtId="176" fontId="128" fillId="0" borderId="5" xfId="575" applyNumberFormat="1" applyFont="1" applyBorder="1" applyAlignment="1">
      <alignment horizontal="center"/>
    </xf>
    <xf numFmtId="0" fontId="128" fillId="52" borderId="5" xfId="575" applyFont="1" applyFill="1" applyBorder="1" applyAlignment="1" applyProtection="1">
      <alignment horizontal="left"/>
      <protection locked="0"/>
    </xf>
    <xf numFmtId="169" fontId="128" fillId="0" borderId="0" xfId="577" applyNumberFormat="1" applyFont="1" applyFill="1" applyBorder="1" applyAlignment="1" applyProtection="1">
      <alignment horizontal="center" vertical="center"/>
    </xf>
    <xf numFmtId="1" fontId="128" fillId="0" borderId="2" xfId="575" applyNumberFormat="1" applyFont="1" applyBorder="1" applyAlignment="1">
      <alignment horizontal="center"/>
    </xf>
    <xf numFmtId="0" fontId="128" fillId="0" borderId="2" xfId="575" applyFont="1" applyBorder="1" applyAlignment="1">
      <alignment horizontal="center"/>
    </xf>
    <xf numFmtId="181" fontId="128" fillId="0" borderId="0" xfId="575" applyNumberFormat="1" applyFont="1" applyFill="1" applyAlignment="1">
      <alignment horizontal="center"/>
    </xf>
    <xf numFmtId="1" fontId="128" fillId="0" borderId="2" xfId="575" applyNumberFormat="1" applyFont="1" applyFill="1" applyBorder="1" applyAlignment="1">
      <alignment horizontal="center"/>
    </xf>
    <xf numFmtId="169" fontId="10" fillId="0" borderId="0" xfId="273" applyNumberFormat="1" applyFont="1" applyFill="1" applyBorder="1" applyAlignment="1" applyProtection="1">
      <alignment horizontal="right"/>
    </xf>
    <xf numFmtId="0" fontId="10" fillId="0" borderId="2" xfId="273" applyFont="1" applyFill="1" applyBorder="1" applyAlignment="1" applyProtection="1">
      <alignment horizontal="center" vertical="center"/>
    </xf>
    <xf numFmtId="0" fontId="10"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10" fillId="7" borderId="5" xfId="273" applyNumberFormat="1" applyFont="1" applyFill="1" applyBorder="1" applyAlignment="1" applyProtection="1">
      <alignment horizontal="right"/>
      <protection locked="0"/>
    </xf>
    <xf numFmtId="169" fontId="10" fillId="0" borderId="4" xfId="273" applyNumberFormat="1" applyFont="1" applyFill="1" applyBorder="1" applyAlignment="1" applyProtection="1">
      <alignment horizontal="right"/>
    </xf>
    <xf numFmtId="169" fontId="10" fillId="0" borderId="5" xfId="273" applyNumberFormat="1" applyFont="1" applyFill="1" applyBorder="1" applyAlignment="1" applyProtection="1">
      <alignment horizontal="right"/>
    </xf>
    <xf numFmtId="1" fontId="10" fillId="7" borderId="4" xfId="273" applyNumberFormat="1" applyFont="1" applyFill="1" applyBorder="1" applyAlignment="1" applyProtection="1">
      <alignment horizontal="right"/>
      <protection locked="0"/>
    </xf>
    <xf numFmtId="0" fontId="10" fillId="0" borderId="4" xfId="273" applyFont="1" applyBorder="1" applyAlignment="1" applyProtection="1">
      <alignment horizontal="left"/>
    </xf>
    <xf numFmtId="3" fontId="10" fillId="0" borderId="5" xfId="273" applyNumberFormat="1" applyFont="1" applyFill="1" applyBorder="1" applyAlignment="1" applyProtection="1">
      <alignment horizontal="center"/>
    </xf>
    <xf numFmtId="3" fontId="14" fillId="0" borderId="5" xfId="273" applyNumberFormat="1" applyFill="1" applyBorder="1" applyProtection="1"/>
    <xf numFmtId="0" fontId="10" fillId="0" borderId="0" xfId="273" applyFont="1" applyAlignment="1" applyProtection="1">
      <alignment horizontal="center" vertical="center"/>
    </xf>
    <xf numFmtId="0" fontId="56" fillId="0" borderId="0" xfId="273" applyFont="1" applyAlignment="1" applyProtection="1">
      <alignment horizontal="center" vertical="center"/>
    </xf>
    <xf numFmtId="3" fontId="10" fillId="0" borderId="2" xfId="273" applyNumberFormat="1" applyFont="1" applyFill="1" applyBorder="1" applyAlignment="1" applyProtection="1">
      <alignment horizontal="center"/>
    </xf>
    <xf numFmtId="3" fontId="14" fillId="0" borderId="0" xfId="273" applyNumberFormat="1" applyFill="1" applyProtection="1"/>
    <xf numFmtId="0" fontId="58" fillId="0" borderId="0" xfId="273" applyFont="1" applyFill="1" applyBorder="1" applyAlignment="1" applyProtection="1">
      <alignment horizontal="left" vertical="top" wrapText="1"/>
    </xf>
    <xf numFmtId="0" fontId="10"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10" fillId="0" borderId="5" xfId="273" applyFont="1" applyBorder="1" applyAlignment="1" applyProtection="1">
      <alignment horizontal="left"/>
    </xf>
    <xf numFmtId="1" fontId="10"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58"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10" fillId="0" borderId="3" xfId="273" applyNumberFormat="1" applyFont="1" applyFill="1" applyBorder="1" applyAlignment="1" applyProtection="1">
      <alignment horizontal="center"/>
    </xf>
    <xf numFmtId="165" fontId="10" fillId="0" borderId="4" xfId="273" applyNumberFormat="1" applyFont="1" applyFill="1" applyBorder="1" applyAlignment="1" applyProtection="1">
      <alignment horizontal="center"/>
    </xf>
    <xf numFmtId="165" fontId="10" fillId="0" borderId="8" xfId="273" applyNumberFormat="1" applyFont="1" applyFill="1" applyBorder="1" applyAlignment="1" applyProtection="1">
      <alignment horizontal="center"/>
    </xf>
    <xf numFmtId="0" fontId="10" fillId="0" borderId="5" xfId="273" applyFont="1" applyFill="1" applyBorder="1" applyAlignment="1" applyProtection="1">
      <alignment horizontal="left"/>
    </xf>
    <xf numFmtId="0" fontId="10"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10" fillId="0" borderId="0" xfId="273" applyFont="1" applyAlignment="1" applyProtection="1">
      <alignment horizontal="left"/>
    </xf>
    <xf numFmtId="169" fontId="10" fillId="0" borderId="0" xfId="273" applyNumberFormat="1" applyFont="1" applyFill="1" applyBorder="1" applyAlignment="1" applyProtection="1">
      <alignment horizontal="left"/>
    </xf>
    <xf numFmtId="49" fontId="57" fillId="5" borderId="0" xfId="273" applyNumberFormat="1" applyFont="1" applyFill="1" applyBorder="1" applyAlignment="1" applyProtection="1">
      <alignment horizontal="center" vertical="center"/>
    </xf>
    <xf numFmtId="0" fontId="58" fillId="0" borderId="0" xfId="273" applyFont="1" applyFill="1" applyAlignment="1" applyProtection="1">
      <alignment horizontal="left" vertical="top" wrapText="1"/>
    </xf>
    <xf numFmtId="0" fontId="58" fillId="0" borderId="0" xfId="273" applyFont="1" applyBorder="1" applyAlignment="1" applyProtection="1">
      <alignment horizontal="left" vertical="top" wrapText="1"/>
    </xf>
    <xf numFmtId="0" fontId="58" fillId="0" borderId="0" xfId="273" applyFont="1" applyAlignment="1" applyProtection="1">
      <alignment horizontal="left" vertical="top" wrapText="1"/>
    </xf>
    <xf numFmtId="169" fontId="58" fillId="0" borderId="5" xfId="273" applyNumberFormat="1" applyFont="1" applyFill="1" applyBorder="1" applyAlignment="1" applyProtection="1">
      <alignment horizontal="right"/>
    </xf>
    <xf numFmtId="169" fontId="10" fillId="7" borderId="4" xfId="273" applyNumberFormat="1" applyFont="1" applyFill="1" applyBorder="1" applyAlignment="1" applyProtection="1">
      <alignment horizontal="right"/>
      <protection locked="0"/>
    </xf>
    <xf numFmtId="0" fontId="10" fillId="0" borderId="0" xfId="273" applyFont="1" applyBorder="1" applyAlignment="1" applyProtection="1">
      <alignment horizontal="center" wrapText="1"/>
    </xf>
    <xf numFmtId="0" fontId="10" fillId="0" borderId="5" xfId="273" applyFont="1" applyBorder="1" applyAlignment="1" applyProtection="1">
      <alignment horizontal="center" wrapText="1"/>
    </xf>
    <xf numFmtId="0" fontId="10" fillId="0" borderId="0" xfId="0" applyFont="1" applyBorder="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pplyProtection="1">
      <alignment horizontal="right" vertical="center"/>
    </xf>
    <xf numFmtId="2" fontId="10" fillId="0" borderId="31" xfId="273" applyNumberFormat="1" applyFont="1" applyBorder="1" applyAlignment="1" applyProtection="1">
      <alignment horizontal="center" vertical="center"/>
    </xf>
    <xf numFmtId="2" fontId="10"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0" borderId="31" xfId="273" applyNumberFormat="1" applyFont="1" applyFill="1" applyBorder="1" applyAlignment="1" applyProtection="1">
      <alignment horizontal="center" vertical="center"/>
    </xf>
    <xf numFmtId="2" fontId="58" fillId="50" borderId="32" xfId="273" applyNumberFormat="1" applyFont="1" applyFill="1" applyBorder="1" applyAlignment="1" applyProtection="1">
      <alignment horizontal="center" vertical="center"/>
    </xf>
    <xf numFmtId="3" fontId="14" fillId="0" borderId="0" xfId="273" applyNumberFormat="1" applyFont="1" applyAlignment="1">
      <alignment horizontal="left" vertical="top" wrapText="1"/>
    </xf>
    <xf numFmtId="0" fontId="10" fillId="0" borderId="5" xfId="0" applyFont="1" applyBorder="1" applyAlignment="1" applyProtection="1">
      <alignment horizontal="center"/>
    </xf>
    <xf numFmtId="0" fontId="28"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9965">
    <cellStyle name="20% - Accent1" xfId="1" builtinId="30" customBuiltin="1"/>
    <cellStyle name="20% - Accent1 10" xfId="5748" xr:uid="{D311F44E-AA88-46A9-985C-6E87DAA2EA1E}"/>
    <cellStyle name="20% - Accent1 11" xfId="1444" xr:uid="{83A25690-D24D-44A1-A8C9-46C258DCCEF2}"/>
    <cellStyle name="20% - Accent1 2" xfId="2" xr:uid="{00000000-0005-0000-0000-000001000000}"/>
    <cellStyle name="20% - Accent1 2 10" xfId="1445" xr:uid="{194F1B18-FB44-4AAC-BBC1-2059B222D702}"/>
    <cellStyle name="20% - Accent1 2 2" xfId="3" xr:uid="{00000000-0005-0000-0000-000002000000}"/>
    <cellStyle name="20% - Accent1 2 2 2" xfId="4" xr:uid="{00000000-0005-0000-0000-000003000000}"/>
    <cellStyle name="20% - Accent1 2 2 2 2" xfId="581" xr:uid="{00000000-0005-0000-0000-000004000000}"/>
    <cellStyle name="20% - Accent1 2 2 2 2 2" xfId="4092" xr:uid="{D485EC31-099A-4D19-B7FD-25BB7DC21B2A}"/>
    <cellStyle name="20% - Accent1 2 2 2 2 2 2" xfId="8310" xr:uid="{E673BB1B-BFEB-4677-879A-B8A1868C2234}"/>
    <cellStyle name="20% - Accent1 2 2 2 2 3" xfId="6165" xr:uid="{21B824C6-9FDF-40AA-8AF5-1F48886D4A35}"/>
    <cellStyle name="20% - Accent1 2 2 2 2 4" xfId="1861" xr:uid="{15889F14-632D-4616-BF3A-481B120F3BA0}"/>
    <cellStyle name="20% - Accent1 2 2 2 3" xfId="1034" xr:uid="{D5110583-0402-446B-ADCC-83DCE1619F8D}"/>
    <cellStyle name="20% - Accent1 2 2 2 3 2" xfId="4505" xr:uid="{A3730CE1-3574-45DA-96B9-156332AB341F}"/>
    <cellStyle name="20% - Accent1 2 2 2 3 2 2" xfId="8723" xr:uid="{69D033F5-8F6D-4C70-A393-681C04C2C09F}"/>
    <cellStyle name="20% - Accent1 2 2 2 3 3" xfId="6578" xr:uid="{28FF4615-1214-42FD-B7FD-AA89E793C79F}"/>
    <cellStyle name="20% - Accent1 2 2 2 3 4" xfId="2276" xr:uid="{1781C688-5CC1-4540-B39B-15A06865F46E}"/>
    <cellStyle name="20% - Accent1 2 2 2 4" xfId="2689" xr:uid="{26A42940-02F8-4B36-BFA5-000DD509BA33}"/>
    <cellStyle name="20% - Accent1 2 2 2 4 2" xfId="4918" xr:uid="{E847B6B1-D61D-49BE-A2DD-EE073EA0C68C}"/>
    <cellStyle name="20% - Accent1 2 2 2 4 2 2" xfId="9136" xr:uid="{F73346A3-1091-4013-B475-C4BE414CDBB9}"/>
    <cellStyle name="20% - Accent1 2 2 2 4 3" xfId="6991" xr:uid="{BEFEDB45-097F-4FC7-BDF8-E6DE35BAF22D}"/>
    <cellStyle name="20% - Accent1 2 2 2 5" xfId="3102" xr:uid="{BC095CF5-DA9B-4B32-AE4B-99DE6DE3FF28}"/>
    <cellStyle name="20% - Accent1 2 2 2 5 2" xfId="5331" xr:uid="{9DCAF310-67E0-4A9B-8E5E-E5F64CA2C0D1}"/>
    <cellStyle name="20% - Accent1 2 2 2 5 2 2" xfId="9549" xr:uid="{04E55DC1-F657-4C97-8FF8-08A425926ADB}"/>
    <cellStyle name="20% - Accent1 2 2 2 5 3" xfId="7404" xr:uid="{4B4F4C73-71B6-471E-8658-26C1602E082F}"/>
    <cellStyle name="20% - Accent1 2 2 2 6" xfId="3515" xr:uid="{BAF6B50B-F8D2-47CF-8D56-9F572DE0E974}"/>
    <cellStyle name="20% - Accent1 2 2 2 6 2" xfId="7817" xr:uid="{43308FBF-A440-4B8E-8027-106B55E9728E}"/>
    <cellStyle name="20% - Accent1 2 2 2 7" xfId="5751" xr:uid="{82CFF0CD-D16E-4918-8682-1310E2068C89}"/>
    <cellStyle name="20% - Accent1 2 2 2 8" xfId="1447" xr:uid="{3C51753C-2400-423D-9A06-6D4EB4225814}"/>
    <cellStyle name="20% - Accent1 2 2 3" xfId="580" xr:uid="{00000000-0005-0000-0000-000005000000}"/>
    <cellStyle name="20% - Accent1 2 2 3 2" xfId="4091" xr:uid="{B77348D2-CC12-4D5F-95F4-0533E2A7A735}"/>
    <cellStyle name="20% - Accent1 2 2 3 2 2" xfId="8309" xr:uid="{6B4042B9-E012-4F45-8085-95EE5BCEBC06}"/>
    <cellStyle name="20% - Accent1 2 2 3 3" xfId="6164" xr:uid="{A4CD6B78-9865-4DE4-89D6-690B48BE50DC}"/>
    <cellStyle name="20% - Accent1 2 2 3 4" xfId="1860" xr:uid="{2F9B1237-0F20-4EFF-A3EA-942E40C28435}"/>
    <cellStyle name="20% - Accent1 2 2 4" xfId="1033" xr:uid="{08DE9949-ED9B-4722-A67A-924513216962}"/>
    <cellStyle name="20% - Accent1 2 2 4 2" xfId="4504" xr:uid="{2C8998CF-0D09-426A-8C94-B916F92302DE}"/>
    <cellStyle name="20% - Accent1 2 2 4 2 2" xfId="8722" xr:uid="{031B1A29-92F9-4BC6-B4B8-23E9E9CC4B6F}"/>
    <cellStyle name="20% - Accent1 2 2 4 3" xfId="6577" xr:uid="{AEF284DE-490A-4C5F-9141-56B130766AFA}"/>
    <cellStyle name="20% - Accent1 2 2 4 4" xfId="2275" xr:uid="{63EFBDD7-855E-417F-BE9A-650D4E617BA4}"/>
    <cellStyle name="20% - Accent1 2 2 5" xfId="2688" xr:uid="{E6235AD0-F4DA-4053-9D42-6373D379778C}"/>
    <cellStyle name="20% - Accent1 2 2 5 2" xfId="4917" xr:uid="{9497CB18-3538-4202-B991-0E980B36B566}"/>
    <cellStyle name="20% - Accent1 2 2 5 2 2" xfId="9135" xr:uid="{1AEE4E92-E08C-4CA9-96FB-D590A1B797B2}"/>
    <cellStyle name="20% - Accent1 2 2 5 3" xfId="6990" xr:uid="{54292D09-2783-4455-93B5-F1FA6D40E87C}"/>
    <cellStyle name="20% - Accent1 2 2 6" xfId="3101" xr:uid="{791B224C-4FD7-47C7-82F0-3856D4399E99}"/>
    <cellStyle name="20% - Accent1 2 2 6 2" xfId="5330" xr:uid="{738F965D-CA5C-42D9-BD3C-34EE01452533}"/>
    <cellStyle name="20% - Accent1 2 2 6 2 2" xfId="9548" xr:uid="{26BE08CF-1C37-4DB2-8C58-B581FC9FB288}"/>
    <cellStyle name="20% - Accent1 2 2 6 3" xfId="7403" xr:uid="{6B9C79F5-B3AC-4918-A81E-02C1091F4D8E}"/>
    <cellStyle name="20% - Accent1 2 2 7" xfId="3514" xr:uid="{4BB525D5-266E-47CC-B796-BBA4CD3FDB65}"/>
    <cellStyle name="20% - Accent1 2 2 7 2" xfId="7816" xr:uid="{545A6DD8-9F91-427D-B016-5331442A7055}"/>
    <cellStyle name="20% - Accent1 2 2 8" xfId="5750" xr:uid="{A0879A48-00E3-44C4-BA03-FBFE10831CED}"/>
    <cellStyle name="20% - Accent1 2 2 9" xfId="1446" xr:uid="{25F98AC4-EC48-42B6-B092-E735E9A241DE}"/>
    <cellStyle name="20% - Accent1 2 3" xfId="5" xr:uid="{00000000-0005-0000-0000-000006000000}"/>
    <cellStyle name="20% - Accent1 2 3 2" xfId="582" xr:uid="{00000000-0005-0000-0000-000007000000}"/>
    <cellStyle name="20% - Accent1 2 3 2 2" xfId="4093" xr:uid="{B879FCAF-48DE-4BA9-B0D1-A3AC27305D68}"/>
    <cellStyle name="20% - Accent1 2 3 2 2 2" xfId="8311" xr:uid="{C6F0D174-F935-421C-AD08-C01FF09EC42F}"/>
    <cellStyle name="20% - Accent1 2 3 2 3" xfId="6166" xr:uid="{98432DB5-C40B-456B-B327-B9567A459BC2}"/>
    <cellStyle name="20% - Accent1 2 3 2 4" xfId="1862" xr:uid="{09F7270A-4ABD-4F5F-983D-6D6B60F9F841}"/>
    <cellStyle name="20% - Accent1 2 3 3" xfId="1035" xr:uid="{845C3EFB-AD69-4C7E-AAB1-1D0BA4E29A56}"/>
    <cellStyle name="20% - Accent1 2 3 3 2" xfId="4506" xr:uid="{A70AA984-3FFC-4216-80B7-89F7605C4791}"/>
    <cellStyle name="20% - Accent1 2 3 3 2 2" xfId="8724" xr:uid="{D141CADC-5E10-4632-BADF-BC1ACB872256}"/>
    <cellStyle name="20% - Accent1 2 3 3 3" xfId="6579" xr:uid="{5B1C776F-4361-467D-BC44-66C13F40977F}"/>
    <cellStyle name="20% - Accent1 2 3 3 4" xfId="2277" xr:uid="{D81B3D44-478C-467D-9134-9307688E35BE}"/>
    <cellStyle name="20% - Accent1 2 3 4" xfId="2690" xr:uid="{5A9D4370-655A-4E6C-9ED8-84EFA71FB720}"/>
    <cellStyle name="20% - Accent1 2 3 4 2" xfId="4919" xr:uid="{4D5AD52C-019B-4DBB-9B88-687E8F9576E8}"/>
    <cellStyle name="20% - Accent1 2 3 4 2 2" xfId="9137" xr:uid="{ACD9D313-7DEC-444D-BB1D-553EEEB5E384}"/>
    <cellStyle name="20% - Accent1 2 3 4 3" xfId="6992" xr:uid="{CB0362CB-4793-445F-B3D6-E3DD1BC7F7C1}"/>
    <cellStyle name="20% - Accent1 2 3 5" xfId="3103" xr:uid="{EB530146-516F-4A30-8631-00D0DA2036EF}"/>
    <cellStyle name="20% - Accent1 2 3 5 2" xfId="5332" xr:uid="{100B2894-94B8-4181-B12D-7F3D647C7072}"/>
    <cellStyle name="20% - Accent1 2 3 5 2 2" xfId="9550" xr:uid="{1FAEC4AC-FC2F-4FFB-8115-D28B2442B12C}"/>
    <cellStyle name="20% - Accent1 2 3 5 3" xfId="7405" xr:uid="{7EC84BA0-CDF3-4C4B-9E34-BD6F2955979A}"/>
    <cellStyle name="20% - Accent1 2 3 6" xfId="3516" xr:uid="{B0B30107-B068-4A73-B9EC-C03260F1E4A9}"/>
    <cellStyle name="20% - Accent1 2 3 6 2" xfId="7818" xr:uid="{497E96EB-890F-4574-B3D7-F3A24765424B}"/>
    <cellStyle name="20% - Accent1 2 3 7" xfId="5752" xr:uid="{42658374-36BB-4F9E-8AF9-B036C6D62FE4}"/>
    <cellStyle name="20% - Accent1 2 3 8" xfId="1448" xr:uid="{E82CC733-C465-4851-AEC1-828373BC64D3}"/>
    <cellStyle name="20% - Accent1 2 4" xfId="579" xr:uid="{00000000-0005-0000-0000-000008000000}"/>
    <cellStyle name="20% - Accent1 2 4 2" xfId="4090" xr:uid="{770D058A-D6FA-4ADB-8D85-5FDF182AB661}"/>
    <cellStyle name="20% - Accent1 2 4 2 2" xfId="8308" xr:uid="{6A427A49-B2A1-4221-96CD-842716BEF2E9}"/>
    <cellStyle name="20% - Accent1 2 4 3" xfId="6163" xr:uid="{DCB93A11-E87D-4F3C-9C0B-7B28A8797EF7}"/>
    <cellStyle name="20% - Accent1 2 4 4" xfId="1859" xr:uid="{013E80A5-26A5-4E38-9936-88BA13F698E9}"/>
    <cellStyle name="20% - Accent1 2 5" xfId="1032" xr:uid="{D2AC3A13-8DC9-481A-89D9-3A0698F061FC}"/>
    <cellStyle name="20% - Accent1 2 5 2" xfId="4503" xr:uid="{E289F075-66E6-49AD-AB1A-10484468CAC7}"/>
    <cellStyle name="20% - Accent1 2 5 2 2" xfId="8721" xr:uid="{9B7959B9-8423-49E8-9100-9B74A8B688D5}"/>
    <cellStyle name="20% - Accent1 2 5 3" xfId="6576" xr:uid="{A0818294-1E94-44FF-A86F-4AAE2FF68A0D}"/>
    <cellStyle name="20% - Accent1 2 5 4" xfId="2274" xr:uid="{53CA6139-EFF5-4F5A-8624-4DFDEF0F4900}"/>
    <cellStyle name="20% - Accent1 2 6" xfId="2687" xr:uid="{F12D0806-4CBB-4049-A9DB-508C808AB04A}"/>
    <cellStyle name="20% - Accent1 2 6 2" xfId="4916" xr:uid="{89C9D940-AE20-47A6-99B5-E179D70DCF34}"/>
    <cellStyle name="20% - Accent1 2 6 2 2" xfId="9134" xr:uid="{109C39D0-BC3A-4929-B731-6D69E4349E2E}"/>
    <cellStyle name="20% - Accent1 2 6 3" xfId="6989" xr:uid="{27229E68-FEA4-42E8-A1F5-88BAB6244C5E}"/>
    <cellStyle name="20% - Accent1 2 7" xfId="3100" xr:uid="{7643AB5B-B018-45BD-8846-84FD5A0DAD9D}"/>
    <cellStyle name="20% - Accent1 2 7 2" xfId="5329" xr:uid="{EADB930E-D817-4CA1-87CB-174760889867}"/>
    <cellStyle name="20% - Accent1 2 7 2 2" xfId="9547" xr:uid="{49292491-F9C3-463E-9CD1-32C32AF24DED}"/>
    <cellStyle name="20% - Accent1 2 7 3" xfId="7402" xr:uid="{F74EA73A-728A-42DE-8CA4-D94032FB6563}"/>
    <cellStyle name="20% - Accent1 2 8" xfId="3513" xr:uid="{2052659A-4430-4D54-AD8C-3373972A650C}"/>
    <cellStyle name="20% - Accent1 2 8 2" xfId="7815" xr:uid="{06E1C909-0618-445D-9E1A-2517595C3E29}"/>
    <cellStyle name="20% - Accent1 2 9" xfId="5749" xr:uid="{6693DE24-0E10-469C-8680-ADC37250137D}"/>
    <cellStyle name="20% - Accent1 3" xfId="6" xr:uid="{00000000-0005-0000-0000-000009000000}"/>
    <cellStyle name="20% - Accent1 3 2" xfId="7" xr:uid="{00000000-0005-0000-0000-00000A000000}"/>
    <cellStyle name="20% - Accent1 3 2 2" xfId="584" xr:uid="{00000000-0005-0000-0000-00000B000000}"/>
    <cellStyle name="20% - Accent1 3 2 2 2" xfId="4095" xr:uid="{ADDBB7F7-954C-40AE-A508-4B92F1EB9847}"/>
    <cellStyle name="20% - Accent1 3 2 2 2 2" xfId="8313" xr:uid="{70D3ED71-3B91-417F-B413-251D529AE8D1}"/>
    <cellStyle name="20% - Accent1 3 2 2 3" xfId="6168" xr:uid="{3B7923D7-54BE-4A34-B1EF-637D60B4A61A}"/>
    <cellStyle name="20% - Accent1 3 2 2 4" xfId="1864" xr:uid="{733BCF98-1722-4D66-91CF-3BD10D3869DB}"/>
    <cellStyle name="20% - Accent1 3 2 3" xfId="1037" xr:uid="{E2746FC8-FE2F-41BD-88EA-89FA544DC900}"/>
    <cellStyle name="20% - Accent1 3 2 3 2" xfId="4508" xr:uid="{76265CAB-1882-4177-909F-F9875C253CA1}"/>
    <cellStyle name="20% - Accent1 3 2 3 2 2" xfId="8726" xr:uid="{8C0B3152-EA64-420D-B2DA-4201D3A4BABB}"/>
    <cellStyle name="20% - Accent1 3 2 3 3" xfId="6581" xr:uid="{FAB9F2AA-9F3C-44A2-9004-088BA9F86A51}"/>
    <cellStyle name="20% - Accent1 3 2 3 4" xfId="2279" xr:uid="{1CA78BA9-3176-4987-ABE4-36488E37CF01}"/>
    <cellStyle name="20% - Accent1 3 2 4" xfId="2692" xr:uid="{E88C2FEF-D224-4F74-BDF3-B0AC6ED79332}"/>
    <cellStyle name="20% - Accent1 3 2 4 2" xfId="4921" xr:uid="{439A202D-256E-4C5B-8535-931B68F5D3C7}"/>
    <cellStyle name="20% - Accent1 3 2 4 2 2" xfId="9139" xr:uid="{DDACC836-2A36-4B4A-8652-5EB7605DF78E}"/>
    <cellStyle name="20% - Accent1 3 2 4 3" xfId="6994" xr:uid="{376DF74A-7386-4801-946B-3EEF7E18A0C5}"/>
    <cellStyle name="20% - Accent1 3 2 5" xfId="3105" xr:uid="{639A5FC0-D69A-4803-AF4F-B6A3AF3C5373}"/>
    <cellStyle name="20% - Accent1 3 2 5 2" xfId="5334" xr:uid="{003C7F56-CEB4-4B6B-A241-DDE6ACF20E39}"/>
    <cellStyle name="20% - Accent1 3 2 5 2 2" xfId="9552" xr:uid="{7652C30B-AEF4-42A8-913B-1410EE140B2D}"/>
    <cellStyle name="20% - Accent1 3 2 5 3" xfId="7407" xr:uid="{B99B950D-2CE1-4004-A556-424BACE7B43E}"/>
    <cellStyle name="20% - Accent1 3 2 6" xfId="3518" xr:uid="{AFBA5721-C065-4E30-A892-2AF7232217EC}"/>
    <cellStyle name="20% - Accent1 3 2 6 2" xfId="7820" xr:uid="{2DA3ECB2-E48A-4A0B-AFDE-931875C36B00}"/>
    <cellStyle name="20% - Accent1 3 2 7" xfId="5754" xr:uid="{3CE8E3B2-9C41-4303-886B-816CA7EF118A}"/>
    <cellStyle name="20% - Accent1 3 2 8" xfId="1450" xr:uid="{B4837C56-4D61-4755-96A6-3F82365BB0B2}"/>
    <cellStyle name="20% - Accent1 3 3" xfId="583" xr:uid="{00000000-0005-0000-0000-00000C000000}"/>
    <cellStyle name="20% - Accent1 3 3 2" xfId="4094" xr:uid="{68A8D4C1-7164-47B0-AB8E-750B8D2F1C48}"/>
    <cellStyle name="20% - Accent1 3 3 2 2" xfId="8312" xr:uid="{461667CA-ABC3-46CC-872A-209CCD7743EB}"/>
    <cellStyle name="20% - Accent1 3 3 3" xfId="6167" xr:uid="{F37D448C-1D7C-4F3E-8341-25DDEA96CBD9}"/>
    <cellStyle name="20% - Accent1 3 3 4" xfId="1863" xr:uid="{04D8EE7E-6218-4D5E-9CB5-05B426ABD66C}"/>
    <cellStyle name="20% - Accent1 3 4" xfId="1036" xr:uid="{7B5D6835-D7F6-4B4A-8AA5-9D4C636594F6}"/>
    <cellStyle name="20% - Accent1 3 4 2" xfId="4507" xr:uid="{030179EA-5E37-489F-89E0-7FDCE6BB5CE7}"/>
    <cellStyle name="20% - Accent1 3 4 2 2" xfId="8725" xr:uid="{3298CD14-27A6-4C36-937C-99ACF4B4D71A}"/>
    <cellStyle name="20% - Accent1 3 4 3" xfId="6580" xr:uid="{CA720104-B2BF-432D-91FE-6717713BC9FA}"/>
    <cellStyle name="20% - Accent1 3 4 4" xfId="2278" xr:uid="{DE82F1C2-8C28-4B08-BFDE-B0A7E3731C0A}"/>
    <cellStyle name="20% - Accent1 3 5" xfId="2691" xr:uid="{6C9BC62B-990D-4F6E-8E5C-9D6E76785A5F}"/>
    <cellStyle name="20% - Accent1 3 5 2" xfId="4920" xr:uid="{48A8B8EB-A098-4AA0-BF72-B914BAB4B0F9}"/>
    <cellStyle name="20% - Accent1 3 5 2 2" xfId="9138" xr:uid="{14543171-FC6B-473F-8635-329002617D7F}"/>
    <cellStyle name="20% - Accent1 3 5 3" xfId="6993" xr:uid="{6DF849F4-4F6B-4B66-AB05-D4E9BE3C4C0D}"/>
    <cellStyle name="20% - Accent1 3 6" xfId="3104" xr:uid="{968B8F80-C10D-417C-B207-21B2952FDF4F}"/>
    <cellStyle name="20% - Accent1 3 6 2" xfId="5333" xr:uid="{E1B8BA7B-1E6A-46C1-888F-2006E5C06D60}"/>
    <cellStyle name="20% - Accent1 3 6 2 2" xfId="9551" xr:uid="{8A122BA4-34EA-4C60-A145-1B3310B49A26}"/>
    <cellStyle name="20% - Accent1 3 6 3" xfId="7406" xr:uid="{6394014D-F45D-41FA-B37E-E1BB4C9F51F3}"/>
    <cellStyle name="20% - Accent1 3 7" xfId="3517" xr:uid="{540CDA1B-5667-47C5-B558-940C5A248063}"/>
    <cellStyle name="20% - Accent1 3 7 2" xfId="7819" xr:uid="{7AEAA2C4-6B82-4A31-B0DD-BC99D47BFB52}"/>
    <cellStyle name="20% - Accent1 3 8" xfId="5753" xr:uid="{5722CAD4-B135-4C0C-A8F0-EAC7F8C7F1DD}"/>
    <cellStyle name="20% - Accent1 3 9" xfId="1449" xr:uid="{FCB02193-D51D-4183-9371-AB28E290BF44}"/>
    <cellStyle name="20% - Accent1 4" xfId="8" xr:uid="{00000000-0005-0000-0000-00000D000000}"/>
    <cellStyle name="20% - Accent1 4 2" xfId="585" xr:uid="{00000000-0005-0000-0000-00000E000000}"/>
    <cellStyle name="20% - Accent1 4 2 2" xfId="4096" xr:uid="{122432E9-BB22-4F4A-A471-59DA0C51ABC3}"/>
    <cellStyle name="20% - Accent1 4 2 2 2" xfId="8314" xr:uid="{8E8C42AD-32EB-4C17-9BEB-A5EE18C6129B}"/>
    <cellStyle name="20% - Accent1 4 2 3" xfId="6169" xr:uid="{3C3F556E-FE30-4FA2-86BD-E14E6BF5EB65}"/>
    <cellStyle name="20% - Accent1 4 2 4" xfId="1865" xr:uid="{89CF691B-D79D-4C03-840B-689BDD4E29B9}"/>
    <cellStyle name="20% - Accent1 4 3" xfId="1038" xr:uid="{DB72DBF0-7E10-4412-91E4-8513E94E6264}"/>
    <cellStyle name="20% - Accent1 4 3 2" xfId="4509" xr:uid="{A127E932-2245-46A2-8572-F92DDD711718}"/>
    <cellStyle name="20% - Accent1 4 3 2 2" xfId="8727" xr:uid="{8C8980AA-288B-4EEA-B90C-729F790203BE}"/>
    <cellStyle name="20% - Accent1 4 3 3" xfId="6582" xr:uid="{D27B8781-72C7-4309-B3BA-9305931DB940}"/>
    <cellStyle name="20% - Accent1 4 3 4" xfId="2280" xr:uid="{8CB57035-5CBD-497A-B953-C05E50B932AF}"/>
    <cellStyle name="20% - Accent1 4 4" xfId="2693" xr:uid="{9A865335-F3E8-42AA-801C-183253991CE3}"/>
    <cellStyle name="20% - Accent1 4 4 2" xfId="4922" xr:uid="{CD46601C-19CE-4775-894E-5956DEA12544}"/>
    <cellStyle name="20% - Accent1 4 4 2 2" xfId="9140" xr:uid="{AA2C8C07-E5E5-4D82-BE6C-6E8F147F88E2}"/>
    <cellStyle name="20% - Accent1 4 4 3" xfId="6995" xr:uid="{8B7C202B-D9AD-41A6-BAF2-E17958F8A5BB}"/>
    <cellStyle name="20% - Accent1 4 5" xfId="3106" xr:uid="{BD2AEBD4-7DE6-46AD-974D-9BB3ACF27922}"/>
    <cellStyle name="20% - Accent1 4 5 2" xfId="5335" xr:uid="{1B5EA374-34BF-4B2D-805B-3C175EBF7807}"/>
    <cellStyle name="20% - Accent1 4 5 2 2" xfId="9553" xr:uid="{7DC74025-8F6A-4C9F-BA57-76C71EF58716}"/>
    <cellStyle name="20% - Accent1 4 5 3" xfId="7408" xr:uid="{5822F3DF-1EA7-42A4-94AB-B1B18CDE73B8}"/>
    <cellStyle name="20% - Accent1 4 6" xfId="3519" xr:uid="{B53F3E1C-1A2D-4EB5-B901-24C885AD74A0}"/>
    <cellStyle name="20% - Accent1 4 6 2" xfId="7821" xr:uid="{70C1D97D-0CF0-4E7B-B935-C38B2A537E70}"/>
    <cellStyle name="20% - Accent1 4 7" xfId="5755" xr:uid="{2ED3244E-A0C5-414C-BD20-8B77F6D677A1}"/>
    <cellStyle name="20% - Accent1 4 8" xfId="1451" xr:uid="{446FAFCC-0C97-434A-A960-61BAE064CB60}"/>
    <cellStyle name="20% - Accent1 5" xfId="578" xr:uid="{00000000-0005-0000-0000-00000F000000}"/>
    <cellStyle name="20% - Accent1 5 2" xfId="4089" xr:uid="{90556B01-EDE5-4753-BE6F-C8C50BF95825}"/>
    <cellStyle name="20% - Accent1 5 2 2" xfId="8307" xr:uid="{953D1510-B60C-489F-8E42-7E809B004CED}"/>
    <cellStyle name="20% - Accent1 5 3" xfId="6162" xr:uid="{75344D68-D666-407D-A64E-2222296E300C}"/>
    <cellStyle name="20% - Accent1 5 4" xfId="1858" xr:uid="{4B7C4303-48A6-4B5D-807A-99D6616882DC}"/>
    <cellStyle name="20% - Accent1 6" xfId="1031" xr:uid="{5A806CBF-86CA-4895-8F0C-84F110ADC5DE}"/>
    <cellStyle name="20% - Accent1 6 2" xfId="4502" xr:uid="{F0385D08-5BF2-42B4-808F-2807255886B5}"/>
    <cellStyle name="20% - Accent1 6 2 2" xfId="8720" xr:uid="{1730B90E-E2BC-4EE5-9295-8DF2255E5367}"/>
    <cellStyle name="20% - Accent1 6 3" xfId="6575" xr:uid="{3C1A34A8-B13D-40BA-B81F-357E41EEE3C5}"/>
    <cellStyle name="20% - Accent1 6 4" xfId="2273" xr:uid="{82E90E49-779C-499C-A84E-DB24BB507343}"/>
    <cellStyle name="20% - Accent1 7" xfId="2686" xr:uid="{2FB43819-515C-478B-8F0D-24A3B3C98653}"/>
    <cellStyle name="20% - Accent1 7 2" xfId="4915" xr:uid="{829F938A-679C-485F-B860-6E5C4CBB0474}"/>
    <cellStyle name="20% - Accent1 7 2 2" xfId="9133" xr:uid="{88F278E9-F2D0-473E-8225-7D8D8D760982}"/>
    <cellStyle name="20% - Accent1 7 3" xfId="6988" xr:uid="{1DF8D94D-EB5B-4988-8B12-2C86C90BA33A}"/>
    <cellStyle name="20% - Accent1 8" xfId="3099" xr:uid="{62BDCCDC-F300-4C73-A841-4B8E6C5FBC64}"/>
    <cellStyle name="20% - Accent1 8 2" xfId="5328" xr:uid="{E96A09E3-23C5-4293-9C8A-6CF99B7BF775}"/>
    <cellStyle name="20% - Accent1 8 2 2" xfId="9546" xr:uid="{40A62634-CF99-48D0-B49E-B327AB7A53D4}"/>
    <cellStyle name="20% - Accent1 8 3" xfId="7401" xr:uid="{F5988BC3-E570-4489-A37A-29F07CA3943E}"/>
    <cellStyle name="20% - Accent1 9" xfId="3512" xr:uid="{90438D10-8281-4436-83AA-5D321E4F4516}"/>
    <cellStyle name="20% - Accent1 9 2" xfId="7814" xr:uid="{1A557176-9E54-4D7C-8412-BDB7475759A1}"/>
    <cellStyle name="20% - Accent2" xfId="9" builtinId="34" customBuiltin="1"/>
    <cellStyle name="20% - Accent2 10" xfId="5756" xr:uid="{DFE91F1F-1F04-4C47-882D-05ECDAF82CDA}"/>
    <cellStyle name="20% - Accent2 11" xfId="1452" xr:uid="{F250A05F-DF26-4A0B-AB1A-240FB679087A}"/>
    <cellStyle name="20% - Accent2 2" xfId="10" xr:uid="{00000000-0005-0000-0000-000011000000}"/>
    <cellStyle name="20% - Accent2 2 10" xfId="1453" xr:uid="{AA09A136-F1D3-4A99-A57A-2679475254FF}"/>
    <cellStyle name="20% - Accent2 2 2" xfId="11" xr:uid="{00000000-0005-0000-0000-000012000000}"/>
    <cellStyle name="20% - Accent2 2 2 2" xfId="12" xr:uid="{00000000-0005-0000-0000-000013000000}"/>
    <cellStyle name="20% - Accent2 2 2 2 2" xfId="589" xr:uid="{00000000-0005-0000-0000-000014000000}"/>
    <cellStyle name="20% - Accent2 2 2 2 2 2" xfId="4100" xr:uid="{B184C6FA-0001-4869-B56D-F288BF0A8B15}"/>
    <cellStyle name="20% - Accent2 2 2 2 2 2 2" xfId="8318" xr:uid="{C2833ED6-DA9E-459E-AA78-46AEA093DB13}"/>
    <cellStyle name="20% - Accent2 2 2 2 2 3" xfId="6173" xr:uid="{3938E4CE-B804-49F8-8CA1-CE3B53E4501E}"/>
    <cellStyle name="20% - Accent2 2 2 2 2 4" xfId="1869" xr:uid="{07FDE885-507D-4D7A-A4A6-FA5C69C75688}"/>
    <cellStyle name="20% - Accent2 2 2 2 3" xfId="1042" xr:uid="{80189821-062B-48AA-B65D-1E8FAACD6D68}"/>
    <cellStyle name="20% - Accent2 2 2 2 3 2" xfId="4513" xr:uid="{8C242FEF-95CC-4211-833C-ADC0CE8F31D7}"/>
    <cellStyle name="20% - Accent2 2 2 2 3 2 2" xfId="8731" xr:uid="{C8D2C00F-D00C-4D0D-BD56-58094FAECEDC}"/>
    <cellStyle name="20% - Accent2 2 2 2 3 3" xfId="6586" xr:uid="{1796B582-417A-4B86-9705-776DE810F400}"/>
    <cellStyle name="20% - Accent2 2 2 2 3 4" xfId="2284" xr:uid="{06170DD8-CA2B-4F34-96F0-52333E4DB06C}"/>
    <cellStyle name="20% - Accent2 2 2 2 4" xfId="2697" xr:uid="{5F36A295-EC66-448A-B85A-D7FF25289960}"/>
    <cellStyle name="20% - Accent2 2 2 2 4 2" xfId="4926" xr:uid="{6FA1C158-CDED-4F9D-B49E-B6B870E2A1B5}"/>
    <cellStyle name="20% - Accent2 2 2 2 4 2 2" xfId="9144" xr:uid="{6CD1CAE0-7E34-42B7-A88C-CA4F81508EB9}"/>
    <cellStyle name="20% - Accent2 2 2 2 4 3" xfId="6999" xr:uid="{E5309AF9-1178-4DCE-ADE3-1B3AA13AFC5B}"/>
    <cellStyle name="20% - Accent2 2 2 2 5" xfId="3110" xr:uid="{3AC5A427-EFAE-4D3D-B4A2-3AD5763C9844}"/>
    <cellStyle name="20% - Accent2 2 2 2 5 2" xfId="5339" xr:uid="{90CFCC10-08C2-47C9-A85C-8C1F91E31F16}"/>
    <cellStyle name="20% - Accent2 2 2 2 5 2 2" xfId="9557" xr:uid="{7DFBE20A-93DA-4076-82E5-C63E5482CB8C}"/>
    <cellStyle name="20% - Accent2 2 2 2 5 3" xfId="7412" xr:uid="{A726A999-4837-4E84-A600-A6E2BD9CF49B}"/>
    <cellStyle name="20% - Accent2 2 2 2 6" xfId="3523" xr:uid="{609B944F-0C28-4530-8932-01BF4BA352AB}"/>
    <cellStyle name="20% - Accent2 2 2 2 6 2" xfId="7825" xr:uid="{6779A4B8-E605-4A0C-BA12-5E3AB67D7DAE}"/>
    <cellStyle name="20% - Accent2 2 2 2 7" xfId="5759" xr:uid="{2EA84BAE-7446-48CE-8830-A79781AD93E7}"/>
    <cellStyle name="20% - Accent2 2 2 2 8" xfId="1455" xr:uid="{929067DF-EF51-42A2-ACBD-D33FD91D2532}"/>
    <cellStyle name="20% - Accent2 2 2 3" xfId="588" xr:uid="{00000000-0005-0000-0000-000015000000}"/>
    <cellStyle name="20% - Accent2 2 2 3 2" xfId="4099" xr:uid="{B707B1D0-189A-4A6F-B05F-27FE0546E723}"/>
    <cellStyle name="20% - Accent2 2 2 3 2 2" xfId="8317" xr:uid="{96CA696D-D0C5-4107-BC73-DF8C01F5E099}"/>
    <cellStyle name="20% - Accent2 2 2 3 3" xfId="6172" xr:uid="{0C8FDB2A-665E-4057-B50A-9A469896F67C}"/>
    <cellStyle name="20% - Accent2 2 2 3 4" xfId="1868" xr:uid="{DB2244F1-A036-4140-BEF4-7C3619F6A65C}"/>
    <cellStyle name="20% - Accent2 2 2 4" xfId="1041" xr:uid="{3313EC3D-C4EC-4EDA-9BF0-8F426593A005}"/>
    <cellStyle name="20% - Accent2 2 2 4 2" xfId="4512" xr:uid="{DC062964-C92D-40D6-A66B-F658199A824A}"/>
    <cellStyle name="20% - Accent2 2 2 4 2 2" xfId="8730" xr:uid="{58FFF548-9CFF-453B-BB92-8317197D88EA}"/>
    <cellStyle name="20% - Accent2 2 2 4 3" xfId="6585" xr:uid="{381970C3-4F52-4602-8B28-8A53FD1260F6}"/>
    <cellStyle name="20% - Accent2 2 2 4 4" xfId="2283" xr:uid="{001BBE5A-F8F8-4C80-ACC2-E09995EF71BE}"/>
    <cellStyle name="20% - Accent2 2 2 5" xfId="2696" xr:uid="{DC4EA496-7DD8-494D-9AF4-5AFBCF016B55}"/>
    <cellStyle name="20% - Accent2 2 2 5 2" xfId="4925" xr:uid="{3092B8C8-D2B1-4FEC-AA54-C07E89066DDE}"/>
    <cellStyle name="20% - Accent2 2 2 5 2 2" xfId="9143" xr:uid="{938C0AB4-7CE9-463F-A6BC-D8F620EA9873}"/>
    <cellStyle name="20% - Accent2 2 2 5 3" xfId="6998" xr:uid="{52B62CE0-E764-48CC-8B28-4DA9B99A29C7}"/>
    <cellStyle name="20% - Accent2 2 2 6" xfId="3109" xr:uid="{3B387D90-84F5-456B-AA58-56D639F4D627}"/>
    <cellStyle name="20% - Accent2 2 2 6 2" xfId="5338" xr:uid="{17B10221-B862-4EC9-8E8A-B91BCEF2576B}"/>
    <cellStyle name="20% - Accent2 2 2 6 2 2" xfId="9556" xr:uid="{9E1055A7-87ED-4B70-A07F-85183A94D32E}"/>
    <cellStyle name="20% - Accent2 2 2 6 3" xfId="7411" xr:uid="{E12A4E03-2DAF-40C8-81B4-7007816AFE40}"/>
    <cellStyle name="20% - Accent2 2 2 7" xfId="3522" xr:uid="{F0A8961F-ED1A-4ADD-91C1-43F49945E0D0}"/>
    <cellStyle name="20% - Accent2 2 2 7 2" xfId="7824" xr:uid="{B41AC71C-01CB-4A69-A042-21E5AD88D374}"/>
    <cellStyle name="20% - Accent2 2 2 8" xfId="5758" xr:uid="{B786CABF-276E-41B6-A7B0-B1CF9CBD74F0}"/>
    <cellStyle name="20% - Accent2 2 2 9" xfId="1454" xr:uid="{47371CE6-B86D-438E-8693-EB48318AC993}"/>
    <cellStyle name="20% - Accent2 2 3" xfId="13" xr:uid="{00000000-0005-0000-0000-000016000000}"/>
    <cellStyle name="20% - Accent2 2 3 2" xfId="590" xr:uid="{00000000-0005-0000-0000-000017000000}"/>
    <cellStyle name="20% - Accent2 2 3 2 2" xfId="4101" xr:uid="{C82B75F5-F37D-4C42-A5C2-5C0088BD6F26}"/>
    <cellStyle name="20% - Accent2 2 3 2 2 2" xfId="8319" xr:uid="{7C40CA38-2BD7-48B4-AEF1-571B2AE4F12B}"/>
    <cellStyle name="20% - Accent2 2 3 2 3" xfId="6174" xr:uid="{1488BB1F-3E29-490F-9581-FFD6C49092B9}"/>
    <cellStyle name="20% - Accent2 2 3 2 4" xfId="1870" xr:uid="{787A348C-803B-4F8E-8545-AEFA7E0B2A25}"/>
    <cellStyle name="20% - Accent2 2 3 3" xfId="1043" xr:uid="{ACFB1402-6499-4630-AB0E-BFD8ABDF2FC7}"/>
    <cellStyle name="20% - Accent2 2 3 3 2" xfId="4514" xr:uid="{90C1A82E-75C6-4889-B2E8-9F91ED77BDA2}"/>
    <cellStyle name="20% - Accent2 2 3 3 2 2" xfId="8732" xr:uid="{6B9A05B1-8427-402D-9AA2-290801928C03}"/>
    <cellStyle name="20% - Accent2 2 3 3 3" xfId="6587" xr:uid="{D48F31C7-1504-4461-85D0-C28FAB27C58D}"/>
    <cellStyle name="20% - Accent2 2 3 3 4" xfId="2285" xr:uid="{EE3F190F-26BF-41DE-8955-10F066F00C01}"/>
    <cellStyle name="20% - Accent2 2 3 4" xfId="2698" xr:uid="{4750EF0D-2229-4F5B-8693-4DF3C78D9625}"/>
    <cellStyle name="20% - Accent2 2 3 4 2" xfId="4927" xr:uid="{B5028B66-8897-4FCE-9033-A6835FCFC9C1}"/>
    <cellStyle name="20% - Accent2 2 3 4 2 2" xfId="9145" xr:uid="{3985E0E7-ECBB-498B-8A06-36E8F43F25E5}"/>
    <cellStyle name="20% - Accent2 2 3 4 3" xfId="7000" xr:uid="{11E328FD-9D7C-4FCF-B2EB-CC138FDD1882}"/>
    <cellStyle name="20% - Accent2 2 3 5" xfId="3111" xr:uid="{AEB43E78-2839-4522-B70E-43500C8310B8}"/>
    <cellStyle name="20% - Accent2 2 3 5 2" xfId="5340" xr:uid="{C559EA28-CBE7-405F-8D00-A2483E13EF6E}"/>
    <cellStyle name="20% - Accent2 2 3 5 2 2" xfId="9558" xr:uid="{4F8B3653-2F55-4BF7-9095-4C68C8670519}"/>
    <cellStyle name="20% - Accent2 2 3 5 3" xfId="7413" xr:uid="{CEF3E278-54BE-4726-8D32-9D6D68CD99D8}"/>
    <cellStyle name="20% - Accent2 2 3 6" xfId="3524" xr:uid="{4EBAF1E3-7428-44E5-B843-4CB986F3839F}"/>
    <cellStyle name="20% - Accent2 2 3 6 2" xfId="7826" xr:uid="{B836D862-E8F0-44F9-ADB4-92CA789BA085}"/>
    <cellStyle name="20% - Accent2 2 3 7" xfId="5760" xr:uid="{AA6FBAC9-4FAA-49DE-B79F-68FBA1CC96DC}"/>
    <cellStyle name="20% - Accent2 2 3 8" xfId="1456" xr:uid="{FD0AF00A-A36B-46E1-AD80-E07D8E675D53}"/>
    <cellStyle name="20% - Accent2 2 4" xfId="587" xr:uid="{00000000-0005-0000-0000-000018000000}"/>
    <cellStyle name="20% - Accent2 2 4 2" xfId="4098" xr:uid="{E26CBDDD-01BE-4B4D-8E5E-36EFAAA58A2D}"/>
    <cellStyle name="20% - Accent2 2 4 2 2" xfId="8316" xr:uid="{35AD581A-A399-492F-BF3D-BB10D14ED5BA}"/>
    <cellStyle name="20% - Accent2 2 4 3" xfId="6171" xr:uid="{682CA388-80A4-4DBA-B458-07D64AC1CD6E}"/>
    <cellStyle name="20% - Accent2 2 4 4" xfId="1867" xr:uid="{A76BA1BC-07E0-46F8-BACF-BF8D0E659F05}"/>
    <cellStyle name="20% - Accent2 2 5" xfId="1040" xr:uid="{6CF8823D-F6A3-4E17-B813-EC9DEE2E643B}"/>
    <cellStyle name="20% - Accent2 2 5 2" xfId="4511" xr:uid="{84D228BA-A033-4659-99F7-38DDEA5B56A0}"/>
    <cellStyle name="20% - Accent2 2 5 2 2" xfId="8729" xr:uid="{3CAE1AE2-201E-470D-BE24-DA89B11C209D}"/>
    <cellStyle name="20% - Accent2 2 5 3" xfId="6584" xr:uid="{12DE2198-8EEB-4A09-BA11-3FB8D9055BF9}"/>
    <cellStyle name="20% - Accent2 2 5 4" xfId="2282" xr:uid="{F540EA35-6D75-4958-B1E3-0057E4686E85}"/>
    <cellStyle name="20% - Accent2 2 6" xfId="2695" xr:uid="{B7631729-499E-4769-8B33-AA2C9F062A47}"/>
    <cellStyle name="20% - Accent2 2 6 2" xfId="4924" xr:uid="{27547B13-BA35-4EA1-B3BC-7704393AFFC7}"/>
    <cellStyle name="20% - Accent2 2 6 2 2" xfId="9142" xr:uid="{A13F13ED-20C8-4320-A5A8-B9359F0E37AB}"/>
    <cellStyle name="20% - Accent2 2 6 3" xfId="6997" xr:uid="{204965E2-6029-4B33-A65C-0FF82330F25F}"/>
    <cellStyle name="20% - Accent2 2 7" xfId="3108" xr:uid="{BC02EDC4-4875-4324-9149-70D85F92BB01}"/>
    <cellStyle name="20% - Accent2 2 7 2" xfId="5337" xr:uid="{96A985D1-8090-4AAC-B925-3020F30A3924}"/>
    <cellStyle name="20% - Accent2 2 7 2 2" xfId="9555" xr:uid="{912562EF-E231-444F-8002-1CD14D599C4A}"/>
    <cellStyle name="20% - Accent2 2 7 3" xfId="7410" xr:uid="{DF138C6F-47C0-44BC-B290-0B2C88D8B982}"/>
    <cellStyle name="20% - Accent2 2 8" xfId="3521" xr:uid="{39F387BC-D7CD-4B54-B856-11E6142C01B9}"/>
    <cellStyle name="20% - Accent2 2 8 2" xfId="7823" xr:uid="{5F91E0CA-D861-4540-8A4C-3A9DCD43536D}"/>
    <cellStyle name="20% - Accent2 2 9" xfId="5757" xr:uid="{77137362-6D40-431F-A49C-D915FED81709}"/>
    <cellStyle name="20% - Accent2 3" xfId="14" xr:uid="{00000000-0005-0000-0000-000019000000}"/>
    <cellStyle name="20% - Accent2 3 2" xfId="15" xr:uid="{00000000-0005-0000-0000-00001A000000}"/>
    <cellStyle name="20% - Accent2 3 2 2" xfId="592" xr:uid="{00000000-0005-0000-0000-00001B000000}"/>
    <cellStyle name="20% - Accent2 3 2 2 2" xfId="4103" xr:uid="{89467216-CC86-4AE6-943C-F4A7B5ACFDCC}"/>
    <cellStyle name="20% - Accent2 3 2 2 2 2" xfId="8321" xr:uid="{A253A22F-DE6D-4722-BA6E-9FE0665FE1B7}"/>
    <cellStyle name="20% - Accent2 3 2 2 3" xfId="6176" xr:uid="{77EE6CC3-5C78-4803-95A8-CA95F0BD7DDA}"/>
    <cellStyle name="20% - Accent2 3 2 2 4" xfId="1872" xr:uid="{F34C04F6-29BC-461B-92C7-91338ADEE997}"/>
    <cellStyle name="20% - Accent2 3 2 3" xfId="1045" xr:uid="{0003F49B-E336-4AA7-B786-3BEB3A29FF10}"/>
    <cellStyle name="20% - Accent2 3 2 3 2" xfId="4516" xr:uid="{F0B89B90-C502-4532-8415-7D76C068122C}"/>
    <cellStyle name="20% - Accent2 3 2 3 2 2" xfId="8734" xr:uid="{01A914EE-EC0A-4E67-BF31-198EB420FB57}"/>
    <cellStyle name="20% - Accent2 3 2 3 3" xfId="6589" xr:uid="{F73E7DE3-1B60-4737-A3B9-0B098C1BB076}"/>
    <cellStyle name="20% - Accent2 3 2 3 4" xfId="2287" xr:uid="{E4DC397A-0C8B-4530-92AA-127BE8B64D39}"/>
    <cellStyle name="20% - Accent2 3 2 4" xfId="2700" xr:uid="{927AF0E8-0DA8-4592-86BC-B3D6A386B98B}"/>
    <cellStyle name="20% - Accent2 3 2 4 2" xfId="4929" xr:uid="{2165631D-D2CF-4D49-82D4-AFA5AFEA97F8}"/>
    <cellStyle name="20% - Accent2 3 2 4 2 2" xfId="9147" xr:uid="{95DD2640-42F2-4A9C-8C1F-8B24E7580BF9}"/>
    <cellStyle name="20% - Accent2 3 2 4 3" xfId="7002" xr:uid="{810E23EE-6294-4617-B312-1021541B4869}"/>
    <cellStyle name="20% - Accent2 3 2 5" xfId="3113" xr:uid="{A2A03E5A-70E0-4F12-B0FE-78E4E3E0346C}"/>
    <cellStyle name="20% - Accent2 3 2 5 2" xfId="5342" xr:uid="{56EF930F-5234-46FF-A43B-4C6FD3F0D4D3}"/>
    <cellStyle name="20% - Accent2 3 2 5 2 2" xfId="9560" xr:uid="{AE02ECCD-A732-4FBD-8B65-DB1291E42CFC}"/>
    <cellStyle name="20% - Accent2 3 2 5 3" xfId="7415" xr:uid="{953CB019-9E17-45BB-A32E-97C16A5B6A39}"/>
    <cellStyle name="20% - Accent2 3 2 6" xfId="3526" xr:uid="{B44D852C-729C-4A20-861B-9188F57DDE41}"/>
    <cellStyle name="20% - Accent2 3 2 6 2" xfId="7828" xr:uid="{1A6BC574-A92D-4F5B-97B5-2CCFEA40D753}"/>
    <cellStyle name="20% - Accent2 3 2 7" xfId="5762" xr:uid="{334C0EAA-1CDE-48D3-AC05-A11F6DCFE728}"/>
    <cellStyle name="20% - Accent2 3 2 8" xfId="1458" xr:uid="{E242333B-CB79-4040-B45C-3EB2CD77F818}"/>
    <cellStyle name="20% - Accent2 3 3" xfId="591" xr:uid="{00000000-0005-0000-0000-00001C000000}"/>
    <cellStyle name="20% - Accent2 3 3 2" xfId="4102" xr:uid="{0CE552C5-5076-4F25-ADB2-4BEEF56E6E6B}"/>
    <cellStyle name="20% - Accent2 3 3 2 2" xfId="8320" xr:uid="{F6CAE094-E00F-455F-B389-25C2D44BA591}"/>
    <cellStyle name="20% - Accent2 3 3 3" xfId="6175" xr:uid="{12FF13BC-9216-4B2F-B387-9B490FED2229}"/>
    <cellStyle name="20% - Accent2 3 3 4" xfId="1871" xr:uid="{6240C8A0-CB7A-4BA9-B47D-3A0E6617A64E}"/>
    <cellStyle name="20% - Accent2 3 4" xfId="1044" xr:uid="{537804B9-1F5E-40D1-961D-5F0F28EB90B8}"/>
    <cellStyle name="20% - Accent2 3 4 2" xfId="4515" xr:uid="{76730D9C-69E5-471D-86B5-3D564E88129C}"/>
    <cellStyle name="20% - Accent2 3 4 2 2" xfId="8733" xr:uid="{89973A99-49C4-48BE-AA86-DB5869EB828F}"/>
    <cellStyle name="20% - Accent2 3 4 3" xfId="6588" xr:uid="{DA48334E-281D-4AEF-8886-6C969A0FB7C4}"/>
    <cellStyle name="20% - Accent2 3 4 4" xfId="2286" xr:uid="{B7CA2F60-5F81-466A-963F-7D57A0338C4B}"/>
    <cellStyle name="20% - Accent2 3 5" xfId="2699" xr:uid="{4FB4541D-45CD-4EDC-AA1F-89657B4AEC81}"/>
    <cellStyle name="20% - Accent2 3 5 2" xfId="4928" xr:uid="{AF4D75A0-36CE-4A8E-8857-8EC41799CA51}"/>
    <cellStyle name="20% - Accent2 3 5 2 2" xfId="9146" xr:uid="{9119AD09-3EBC-4972-B460-6CC3A1334C7F}"/>
    <cellStyle name="20% - Accent2 3 5 3" xfId="7001" xr:uid="{B4555D2D-B47A-496A-AEE7-948E5C325DA4}"/>
    <cellStyle name="20% - Accent2 3 6" xfId="3112" xr:uid="{417508BC-E44F-401D-9B62-5F34843D8AA5}"/>
    <cellStyle name="20% - Accent2 3 6 2" xfId="5341" xr:uid="{99FCFD37-1E36-4B30-AA52-3835441AADE8}"/>
    <cellStyle name="20% - Accent2 3 6 2 2" xfId="9559" xr:uid="{84B5D2E1-55FE-448A-93EB-E528E5F435F7}"/>
    <cellStyle name="20% - Accent2 3 6 3" xfId="7414" xr:uid="{58010352-DAB1-4227-A6C5-B01EA360D752}"/>
    <cellStyle name="20% - Accent2 3 7" xfId="3525" xr:uid="{32F3B65E-CA59-4DBF-A22B-F8279D2C493E}"/>
    <cellStyle name="20% - Accent2 3 7 2" xfId="7827" xr:uid="{53398398-55B9-4CD3-9430-CECC5471EC9F}"/>
    <cellStyle name="20% - Accent2 3 8" xfId="5761" xr:uid="{532B53DA-06DA-4B11-A3D5-7E67348ED166}"/>
    <cellStyle name="20% - Accent2 3 9" xfId="1457" xr:uid="{AB838812-F0ED-4DAA-8DC2-882E1D89F68E}"/>
    <cellStyle name="20% - Accent2 4" xfId="16" xr:uid="{00000000-0005-0000-0000-00001D000000}"/>
    <cellStyle name="20% - Accent2 4 2" xfId="593" xr:uid="{00000000-0005-0000-0000-00001E000000}"/>
    <cellStyle name="20% - Accent2 4 2 2" xfId="4104" xr:uid="{293ED6C7-1BB9-4A36-8427-1ED3E9A5A53C}"/>
    <cellStyle name="20% - Accent2 4 2 2 2" xfId="8322" xr:uid="{1AB25BD0-4B06-4C81-9013-D2BDCBFCF271}"/>
    <cellStyle name="20% - Accent2 4 2 3" xfId="6177" xr:uid="{0200BA48-FDC5-4739-BACA-0DABF1E3823D}"/>
    <cellStyle name="20% - Accent2 4 2 4" xfId="1873" xr:uid="{FD90EF62-3B53-4A6C-A372-666227E9439D}"/>
    <cellStyle name="20% - Accent2 4 3" xfId="1046" xr:uid="{A4CAE949-4AB4-4EEC-BEE5-CB95527157A0}"/>
    <cellStyle name="20% - Accent2 4 3 2" xfId="4517" xr:uid="{22D57D29-A954-456B-83A4-10BFAE036F6E}"/>
    <cellStyle name="20% - Accent2 4 3 2 2" xfId="8735" xr:uid="{E3FB219F-8FB4-4304-930F-7300287241B2}"/>
    <cellStyle name="20% - Accent2 4 3 3" xfId="6590" xr:uid="{59C5BA9E-8BEC-4050-A2B0-EB45A057A4DC}"/>
    <cellStyle name="20% - Accent2 4 3 4" xfId="2288" xr:uid="{D34ED9B0-1844-45F7-AB75-CEF7252E0D12}"/>
    <cellStyle name="20% - Accent2 4 4" xfId="2701" xr:uid="{438E8313-7C91-4C31-BBBD-55F41526364C}"/>
    <cellStyle name="20% - Accent2 4 4 2" xfId="4930" xr:uid="{9A4254D8-A9A3-45BB-86A5-48C80C98C579}"/>
    <cellStyle name="20% - Accent2 4 4 2 2" xfId="9148" xr:uid="{A352507B-9A78-4C13-B031-DB30ACF6EED1}"/>
    <cellStyle name="20% - Accent2 4 4 3" xfId="7003" xr:uid="{865E089F-6338-4291-A934-05EA300BB73B}"/>
    <cellStyle name="20% - Accent2 4 5" xfId="3114" xr:uid="{0A6EA017-E0BA-4F0C-A8D1-1810BF24D353}"/>
    <cellStyle name="20% - Accent2 4 5 2" xfId="5343" xr:uid="{16EE924A-DD11-4EB0-A5A9-976A94895A58}"/>
    <cellStyle name="20% - Accent2 4 5 2 2" xfId="9561" xr:uid="{CB11DFAF-C977-4E69-8307-39A723791F10}"/>
    <cellStyle name="20% - Accent2 4 5 3" xfId="7416" xr:uid="{FE5FAA7F-D79F-4245-8E06-0C7B02B7CE29}"/>
    <cellStyle name="20% - Accent2 4 6" xfId="3527" xr:uid="{1B33B3F5-5E3F-46D6-8BAE-8F899A7D4FA3}"/>
    <cellStyle name="20% - Accent2 4 6 2" xfId="7829" xr:uid="{5090529C-A42B-453F-822D-84EA0E16387B}"/>
    <cellStyle name="20% - Accent2 4 7" xfId="5763" xr:uid="{323BBED9-ED56-4496-8D57-06FE1A476AF3}"/>
    <cellStyle name="20% - Accent2 4 8" xfId="1459" xr:uid="{1879F9B4-685B-439F-A99F-07E35C8A2F18}"/>
    <cellStyle name="20% - Accent2 5" xfId="586" xr:uid="{00000000-0005-0000-0000-00001F000000}"/>
    <cellStyle name="20% - Accent2 5 2" xfId="4097" xr:uid="{7FBDCDA7-1794-4FBB-B9A3-F0E282695D66}"/>
    <cellStyle name="20% - Accent2 5 2 2" xfId="8315" xr:uid="{6B6DCCAD-547A-416B-AEAC-240377DB8409}"/>
    <cellStyle name="20% - Accent2 5 3" xfId="6170" xr:uid="{47A92A24-6F30-4FF9-AB71-485E32423FB7}"/>
    <cellStyle name="20% - Accent2 5 4" xfId="1866" xr:uid="{2519721E-1D3D-4791-B5FD-555041B504FF}"/>
    <cellStyle name="20% - Accent2 6" xfId="1039" xr:uid="{D819AD84-0695-4B07-8609-F28D5B7E9A50}"/>
    <cellStyle name="20% - Accent2 6 2" xfId="4510" xr:uid="{AA191A4B-3DCD-4F0E-AD62-09F3AD5AF5BA}"/>
    <cellStyle name="20% - Accent2 6 2 2" xfId="8728" xr:uid="{DD94A766-DDFE-4285-AA2D-5DA61DC83DCE}"/>
    <cellStyle name="20% - Accent2 6 3" xfId="6583" xr:uid="{EF03B363-2D71-481F-993C-85FAA55637C7}"/>
    <cellStyle name="20% - Accent2 6 4" xfId="2281" xr:uid="{BD510A8C-0349-4ADE-B702-D64E4F77C366}"/>
    <cellStyle name="20% - Accent2 7" xfId="2694" xr:uid="{621F6F69-526E-44D6-BDAF-CA5F70206B9D}"/>
    <cellStyle name="20% - Accent2 7 2" xfId="4923" xr:uid="{D8068066-D97F-4EF0-A59A-21F52F5E6E51}"/>
    <cellStyle name="20% - Accent2 7 2 2" xfId="9141" xr:uid="{AFF1E070-1307-4BEF-9608-E754A7A8F409}"/>
    <cellStyle name="20% - Accent2 7 3" xfId="6996" xr:uid="{9B839D9E-AE83-44F8-B041-59FF903B9DE2}"/>
    <cellStyle name="20% - Accent2 8" xfId="3107" xr:uid="{04CCE076-2901-46E6-89EC-7AF03F58E5B5}"/>
    <cellStyle name="20% - Accent2 8 2" xfId="5336" xr:uid="{69A84DF0-6FBD-484E-A7D2-C1FC3622AE80}"/>
    <cellStyle name="20% - Accent2 8 2 2" xfId="9554" xr:uid="{68732D01-EE6C-4CB3-9D12-3D120C61A0FA}"/>
    <cellStyle name="20% - Accent2 8 3" xfId="7409" xr:uid="{1D916C5F-ECED-4E58-BEE5-6F0D9348EAE4}"/>
    <cellStyle name="20% - Accent2 9" xfId="3520" xr:uid="{5B3BC7C5-08BE-4609-B2BA-18E5C3117330}"/>
    <cellStyle name="20% - Accent2 9 2" xfId="7822" xr:uid="{AFCF1994-1B67-4072-BF5C-DB82A1D82198}"/>
    <cellStyle name="20% - Accent3" xfId="17" builtinId="38" customBuiltin="1"/>
    <cellStyle name="20% - Accent3 10" xfId="5764" xr:uid="{D6EB27EC-0E1F-4593-8978-05A3E46539B1}"/>
    <cellStyle name="20% - Accent3 11" xfId="1460" xr:uid="{E3F415F2-7069-4B2A-BFBB-11DF510A51B2}"/>
    <cellStyle name="20% - Accent3 2" xfId="18" xr:uid="{00000000-0005-0000-0000-000021000000}"/>
    <cellStyle name="20% - Accent3 2 10" xfId="1461" xr:uid="{7372A35E-1E92-4211-8A01-6B1F8313C35A}"/>
    <cellStyle name="20% - Accent3 2 2" xfId="19" xr:uid="{00000000-0005-0000-0000-000022000000}"/>
    <cellStyle name="20% - Accent3 2 2 2" xfId="20" xr:uid="{00000000-0005-0000-0000-000023000000}"/>
    <cellStyle name="20% - Accent3 2 2 2 2" xfId="597" xr:uid="{00000000-0005-0000-0000-000024000000}"/>
    <cellStyle name="20% - Accent3 2 2 2 2 2" xfId="4108" xr:uid="{3013E9E5-342F-40CC-B117-47E761C13E6B}"/>
    <cellStyle name="20% - Accent3 2 2 2 2 2 2" xfId="8326" xr:uid="{5A2232A0-F3AB-473C-A177-ADE4B6DF8A24}"/>
    <cellStyle name="20% - Accent3 2 2 2 2 3" xfId="6181" xr:uid="{BDA62BB9-695E-4A54-AECD-02FF8CDAB57F}"/>
    <cellStyle name="20% - Accent3 2 2 2 2 4" xfId="1877" xr:uid="{0FA70ADA-22F0-4166-A9EF-508550D02589}"/>
    <cellStyle name="20% - Accent3 2 2 2 3" xfId="1050" xr:uid="{D4C68538-665E-4D4E-8E82-974B131BF941}"/>
    <cellStyle name="20% - Accent3 2 2 2 3 2" xfId="4521" xr:uid="{B123B3A2-C353-455D-9C74-6B8D4E80799A}"/>
    <cellStyle name="20% - Accent3 2 2 2 3 2 2" xfId="8739" xr:uid="{32798095-C128-4DA4-AA1C-5EAF378B038D}"/>
    <cellStyle name="20% - Accent3 2 2 2 3 3" xfId="6594" xr:uid="{2B960AC9-34E3-4C3A-9800-22F26FF03C0C}"/>
    <cellStyle name="20% - Accent3 2 2 2 3 4" xfId="2292" xr:uid="{91AB5F3E-AD58-4F5A-9461-CE0F95EEDAE9}"/>
    <cellStyle name="20% - Accent3 2 2 2 4" xfId="2705" xr:uid="{D3B0E3F9-C491-463B-9025-A85588633699}"/>
    <cellStyle name="20% - Accent3 2 2 2 4 2" xfId="4934" xr:uid="{31086FEE-B910-456A-8626-50139CC62146}"/>
    <cellStyle name="20% - Accent3 2 2 2 4 2 2" xfId="9152" xr:uid="{D9596D9A-ABFA-47BF-B266-F7673A50C663}"/>
    <cellStyle name="20% - Accent3 2 2 2 4 3" xfId="7007" xr:uid="{C71DBA55-7526-48D0-B0E0-18D30865E331}"/>
    <cellStyle name="20% - Accent3 2 2 2 5" xfId="3118" xr:uid="{8964C838-9267-436D-9AAA-E1D53239312D}"/>
    <cellStyle name="20% - Accent3 2 2 2 5 2" xfId="5347" xr:uid="{8B02A144-1BA4-44B0-BF00-8822C2F4D18A}"/>
    <cellStyle name="20% - Accent3 2 2 2 5 2 2" xfId="9565" xr:uid="{66E46172-0098-46CB-8F7C-5B4446E3B3DE}"/>
    <cellStyle name="20% - Accent3 2 2 2 5 3" xfId="7420" xr:uid="{95E49277-55FF-4B44-9B12-38F9833008B1}"/>
    <cellStyle name="20% - Accent3 2 2 2 6" xfId="3531" xr:uid="{1E39AF74-8D3C-4008-A11C-9B99F5D26B29}"/>
    <cellStyle name="20% - Accent3 2 2 2 6 2" xfId="7833" xr:uid="{FC8187BB-1B4B-46C4-8FDD-E19493EFFC20}"/>
    <cellStyle name="20% - Accent3 2 2 2 7" xfId="5767" xr:uid="{47883932-3365-4B8E-AA16-EAEBFE9E45A3}"/>
    <cellStyle name="20% - Accent3 2 2 2 8" xfId="1463" xr:uid="{404302F6-BD9F-4B71-B660-F4E7A33C6E12}"/>
    <cellStyle name="20% - Accent3 2 2 3" xfId="596" xr:uid="{00000000-0005-0000-0000-000025000000}"/>
    <cellStyle name="20% - Accent3 2 2 3 2" xfId="4107" xr:uid="{E33E6952-DCFD-41DF-8B42-D55E145EADDE}"/>
    <cellStyle name="20% - Accent3 2 2 3 2 2" xfId="8325" xr:uid="{EA2CFCF9-432C-43E8-ADC5-D44E86D83B79}"/>
    <cellStyle name="20% - Accent3 2 2 3 3" xfId="6180" xr:uid="{20FF2D7F-6E73-48D4-8FA1-4CFBFD5F9E69}"/>
    <cellStyle name="20% - Accent3 2 2 3 4" xfId="1876" xr:uid="{0E07F6C7-71A4-445F-B7B7-3DCC481524D5}"/>
    <cellStyle name="20% - Accent3 2 2 4" xfId="1049" xr:uid="{A948C8DA-BC76-47C7-9DE5-D1894FA639F4}"/>
    <cellStyle name="20% - Accent3 2 2 4 2" xfId="4520" xr:uid="{80A177CD-B3D0-4E91-9E4D-AA0B53485DFC}"/>
    <cellStyle name="20% - Accent3 2 2 4 2 2" xfId="8738" xr:uid="{B5AD40DB-1BB1-4A93-9DB4-30B829BBD631}"/>
    <cellStyle name="20% - Accent3 2 2 4 3" xfId="6593" xr:uid="{E1C96B49-CAF0-4AEC-82B9-AEB420372C5B}"/>
    <cellStyle name="20% - Accent3 2 2 4 4" xfId="2291" xr:uid="{21612F1B-E200-4EA5-B454-2C2EEA6F95DD}"/>
    <cellStyle name="20% - Accent3 2 2 5" xfId="2704" xr:uid="{66E480FF-7CC7-4FE9-B436-034C4E0E53B0}"/>
    <cellStyle name="20% - Accent3 2 2 5 2" xfId="4933" xr:uid="{67BB64D7-E964-48D4-97B2-5AC3F55891C5}"/>
    <cellStyle name="20% - Accent3 2 2 5 2 2" xfId="9151" xr:uid="{A0ABA8AB-416C-40C9-83BE-76230BBAE16B}"/>
    <cellStyle name="20% - Accent3 2 2 5 3" xfId="7006" xr:uid="{398F20AB-90D9-4960-8C14-16C1866097BB}"/>
    <cellStyle name="20% - Accent3 2 2 6" xfId="3117" xr:uid="{B0E145BB-3475-439B-B2D5-B8AE0DD26F56}"/>
    <cellStyle name="20% - Accent3 2 2 6 2" xfId="5346" xr:uid="{49390BDB-A726-4A62-834F-F58CAFBE8EAE}"/>
    <cellStyle name="20% - Accent3 2 2 6 2 2" xfId="9564" xr:uid="{D3A0103A-9C8E-4FC4-ABFA-59EF7D3AFA43}"/>
    <cellStyle name="20% - Accent3 2 2 6 3" xfId="7419" xr:uid="{A289985E-27B7-48B7-A0E1-208B1FA116B5}"/>
    <cellStyle name="20% - Accent3 2 2 7" xfId="3530" xr:uid="{A1F35480-C5EB-4CD8-B1C2-A2FB20FE2F75}"/>
    <cellStyle name="20% - Accent3 2 2 7 2" xfId="7832" xr:uid="{72D99A83-589D-4AFD-8295-8F7B535E5DCF}"/>
    <cellStyle name="20% - Accent3 2 2 8" xfId="5766" xr:uid="{2C476126-EB8F-4768-89B1-2A1FFC1CD1D8}"/>
    <cellStyle name="20% - Accent3 2 2 9" xfId="1462" xr:uid="{25413525-DA18-4920-BC1D-FCEF5ADF2554}"/>
    <cellStyle name="20% - Accent3 2 3" xfId="21" xr:uid="{00000000-0005-0000-0000-000026000000}"/>
    <cellStyle name="20% - Accent3 2 3 2" xfId="598" xr:uid="{00000000-0005-0000-0000-000027000000}"/>
    <cellStyle name="20% - Accent3 2 3 2 2" xfId="4109" xr:uid="{95819DA4-9AA6-41F8-851E-34564E53DE5A}"/>
    <cellStyle name="20% - Accent3 2 3 2 2 2" xfId="8327" xr:uid="{41C60484-7DFC-4B33-9D1A-004DB44C4AB2}"/>
    <cellStyle name="20% - Accent3 2 3 2 3" xfId="6182" xr:uid="{703824E3-25C5-4BD2-9037-C084117AC89D}"/>
    <cellStyle name="20% - Accent3 2 3 2 4" xfId="1878" xr:uid="{F46B4F0F-8AC5-48C3-8D7F-E432100AFB3D}"/>
    <cellStyle name="20% - Accent3 2 3 3" xfId="1051" xr:uid="{6CEFD500-FC61-404C-A602-38216687C9CA}"/>
    <cellStyle name="20% - Accent3 2 3 3 2" xfId="4522" xr:uid="{8A8A0F60-29D5-48E6-ACFB-054B5A0407DA}"/>
    <cellStyle name="20% - Accent3 2 3 3 2 2" xfId="8740" xr:uid="{2593F8F7-564C-4FFC-831A-EE3943B550EF}"/>
    <cellStyle name="20% - Accent3 2 3 3 3" xfId="6595" xr:uid="{10B5840E-7A50-4125-8174-348BA9D597AD}"/>
    <cellStyle name="20% - Accent3 2 3 3 4" xfId="2293" xr:uid="{9B09AD78-B5DD-44AC-A02C-D5A7F606A38D}"/>
    <cellStyle name="20% - Accent3 2 3 4" xfId="2706" xr:uid="{E5503D03-0E62-47EB-B360-6CFAF182DFE6}"/>
    <cellStyle name="20% - Accent3 2 3 4 2" xfId="4935" xr:uid="{97538A40-FDF0-4F7F-AB12-7821473DC3B4}"/>
    <cellStyle name="20% - Accent3 2 3 4 2 2" xfId="9153" xr:uid="{48504D67-6EBC-49D9-90CD-24EFC4DF7FD2}"/>
    <cellStyle name="20% - Accent3 2 3 4 3" xfId="7008" xr:uid="{A3A23945-8A0D-4911-BFF4-895448AC2C89}"/>
    <cellStyle name="20% - Accent3 2 3 5" xfId="3119" xr:uid="{1950E52C-EB1D-421B-93C3-E41B5C1FBD11}"/>
    <cellStyle name="20% - Accent3 2 3 5 2" xfId="5348" xr:uid="{C5732AA3-7B71-4253-B246-4A4173B07BE6}"/>
    <cellStyle name="20% - Accent3 2 3 5 2 2" xfId="9566" xr:uid="{4E32553E-3AAC-4160-BD78-EF70367AB92C}"/>
    <cellStyle name="20% - Accent3 2 3 5 3" xfId="7421" xr:uid="{025E98A5-18A8-4326-93CC-6790549E331F}"/>
    <cellStyle name="20% - Accent3 2 3 6" xfId="3532" xr:uid="{4F30D512-1EBF-4D20-9648-93EEE3D9B6A6}"/>
    <cellStyle name="20% - Accent3 2 3 6 2" xfId="7834" xr:uid="{DFFE8990-35E5-48C1-984D-1920DB922395}"/>
    <cellStyle name="20% - Accent3 2 3 7" xfId="5768" xr:uid="{A99828A1-43B2-497B-9A5E-9007E73E414F}"/>
    <cellStyle name="20% - Accent3 2 3 8" xfId="1464" xr:uid="{BFFB077A-6755-45F2-86AA-880777149F35}"/>
    <cellStyle name="20% - Accent3 2 4" xfId="595" xr:uid="{00000000-0005-0000-0000-000028000000}"/>
    <cellStyle name="20% - Accent3 2 4 2" xfId="4106" xr:uid="{DF18A1C7-F35B-4930-A50D-2D29A305E494}"/>
    <cellStyle name="20% - Accent3 2 4 2 2" xfId="8324" xr:uid="{2DEFC3C6-2B2C-4AEC-91C1-D217ACC736C3}"/>
    <cellStyle name="20% - Accent3 2 4 3" xfId="6179" xr:uid="{CCC2EA64-915F-468D-970F-0F5CAE7CE7A4}"/>
    <cellStyle name="20% - Accent3 2 4 4" xfId="1875" xr:uid="{A6DC7E59-1E56-4355-B394-40392E300382}"/>
    <cellStyle name="20% - Accent3 2 5" xfId="1048" xr:uid="{5B091B73-284C-4685-B619-28CE6C4DD28E}"/>
    <cellStyle name="20% - Accent3 2 5 2" xfId="4519" xr:uid="{2BEE3ABC-498B-4547-8349-2B75E1A58B91}"/>
    <cellStyle name="20% - Accent3 2 5 2 2" xfId="8737" xr:uid="{DF9B4A44-E4B4-43B6-9971-DFD107A0C868}"/>
    <cellStyle name="20% - Accent3 2 5 3" xfId="6592" xr:uid="{82877A0C-49FC-4308-98FF-F7C781F211EC}"/>
    <cellStyle name="20% - Accent3 2 5 4" xfId="2290" xr:uid="{8868489B-0F0B-4003-8DC3-9A3828093FD4}"/>
    <cellStyle name="20% - Accent3 2 6" xfId="2703" xr:uid="{23D3B75F-E81C-4203-91BC-EEBCA5F95A86}"/>
    <cellStyle name="20% - Accent3 2 6 2" xfId="4932" xr:uid="{F183BDDB-911B-42C7-9E03-518C8698519A}"/>
    <cellStyle name="20% - Accent3 2 6 2 2" xfId="9150" xr:uid="{0DEE004A-0C2E-45E4-A7D6-B7A2BCE1D1B6}"/>
    <cellStyle name="20% - Accent3 2 6 3" xfId="7005" xr:uid="{69B48A99-DF0E-4543-846C-09A03EEDBC4E}"/>
    <cellStyle name="20% - Accent3 2 7" xfId="3116" xr:uid="{514C0E01-4AE0-4305-86B9-4FEE967029EE}"/>
    <cellStyle name="20% - Accent3 2 7 2" xfId="5345" xr:uid="{AE682D4F-7388-4D0A-B794-5AA4E71DD3B3}"/>
    <cellStyle name="20% - Accent3 2 7 2 2" xfId="9563" xr:uid="{6F37A968-C5AD-47AB-9032-0938602B11FD}"/>
    <cellStyle name="20% - Accent3 2 7 3" xfId="7418" xr:uid="{9AFD09C1-AFDE-4182-8355-1DD99220DA9A}"/>
    <cellStyle name="20% - Accent3 2 8" xfId="3529" xr:uid="{CE254FD9-7E57-4B50-9AF7-FB9D6F688BF9}"/>
    <cellStyle name="20% - Accent3 2 8 2" xfId="7831" xr:uid="{61C3E086-E097-401B-A937-81B02872C3D1}"/>
    <cellStyle name="20% - Accent3 2 9" xfId="5765" xr:uid="{BA0E95CD-BBCA-46BB-AB4E-94C2EC12CDC9}"/>
    <cellStyle name="20% - Accent3 3" xfId="22" xr:uid="{00000000-0005-0000-0000-000029000000}"/>
    <cellStyle name="20% - Accent3 3 2" xfId="23" xr:uid="{00000000-0005-0000-0000-00002A000000}"/>
    <cellStyle name="20% - Accent3 3 2 2" xfId="600" xr:uid="{00000000-0005-0000-0000-00002B000000}"/>
    <cellStyle name="20% - Accent3 3 2 2 2" xfId="4111" xr:uid="{AFDEC67C-4BE7-4AC8-B468-3E028CCE8724}"/>
    <cellStyle name="20% - Accent3 3 2 2 2 2" xfId="8329" xr:uid="{87FE919C-F85B-41B7-B1FC-8D90B7A9D45B}"/>
    <cellStyle name="20% - Accent3 3 2 2 3" xfId="6184" xr:uid="{096942E1-7DEA-45DE-AD48-84E1D56E7E2E}"/>
    <cellStyle name="20% - Accent3 3 2 2 4" xfId="1880" xr:uid="{319F5563-D51F-4095-8053-F2E086323ED6}"/>
    <cellStyle name="20% - Accent3 3 2 3" xfId="1053" xr:uid="{99AD2704-7ADD-47A6-99BB-3E336D7EFA1C}"/>
    <cellStyle name="20% - Accent3 3 2 3 2" xfId="4524" xr:uid="{0F10FB83-283F-45B4-9B5D-FE3111DC19A2}"/>
    <cellStyle name="20% - Accent3 3 2 3 2 2" xfId="8742" xr:uid="{F99900F1-81D8-4BDE-B8E1-168E16570839}"/>
    <cellStyle name="20% - Accent3 3 2 3 3" xfId="6597" xr:uid="{B2F6E201-883C-4618-98DA-900C3AFB84BE}"/>
    <cellStyle name="20% - Accent3 3 2 3 4" xfId="2295" xr:uid="{584C7C06-5C26-45A5-A8BD-4AEF1AE4ED2B}"/>
    <cellStyle name="20% - Accent3 3 2 4" xfId="2708" xr:uid="{ED76A0BB-CBDD-4DD7-8A25-95EFAD541200}"/>
    <cellStyle name="20% - Accent3 3 2 4 2" xfId="4937" xr:uid="{D85445A5-0D94-4B3B-AC95-D09D0C02C9FC}"/>
    <cellStyle name="20% - Accent3 3 2 4 2 2" xfId="9155" xr:uid="{533A62B5-608C-4EAE-8540-B9132DE1F1B5}"/>
    <cellStyle name="20% - Accent3 3 2 4 3" xfId="7010" xr:uid="{7CBAAB43-EF8D-41F6-A657-158AD2C7FC63}"/>
    <cellStyle name="20% - Accent3 3 2 5" xfId="3121" xr:uid="{6B4B38DF-69A3-4500-B74C-FA97A8C07A2C}"/>
    <cellStyle name="20% - Accent3 3 2 5 2" xfId="5350" xr:uid="{D7C51019-AC89-467E-A5CD-2A8F16F8B7E5}"/>
    <cellStyle name="20% - Accent3 3 2 5 2 2" xfId="9568" xr:uid="{0391FD5A-EEAC-40AB-BFD1-03CFFCDAB439}"/>
    <cellStyle name="20% - Accent3 3 2 5 3" xfId="7423" xr:uid="{1612C1E5-B6AA-4851-9BCD-B4D6F8828688}"/>
    <cellStyle name="20% - Accent3 3 2 6" xfId="3534" xr:uid="{A9C1D9E7-84E5-4D3E-913C-77742ADD6CFF}"/>
    <cellStyle name="20% - Accent3 3 2 6 2" xfId="7836" xr:uid="{3866DC45-7B41-4A7F-A162-15F947011F99}"/>
    <cellStyle name="20% - Accent3 3 2 7" xfId="5770" xr:uid="{B7766666-FF2F-4A07-BAC4-382E0DD6B88B}"/>
    <cellStyle name="20% - Accent3 3 2 8" xfId="1466" xr:uid="{BE752D94-F51F-4959-A4F1-B17EF67D335B}"/>
    <cellStyle name="20% - Accent3 3 3" xfId="599" xr:uid="{00000000-0005-0000-0000-00002C000000}"/>
    <cellStyle name="20% - Accent3 3 3 2" xfId="4110" xr:uid="{85E2CAAC-CC8A-4822-B4BF-4ADCD0AAF143}"/>
    <cellStyle name="20% - Accent3 3 3 2 2" xfId="8328" xr:uid="{4DED32A6-6D79-4AA6-BEE7-07161305B3F2}"/>
    <cellStyle name="20% - Accent3 3 3 3" xfId="6183" xr:uid="{E3CBF35D-2ED5-4CBD-A373-93B87CCB65F2}"/>
    <cellStyle name="20% - Accent3 3 3 4" xfId="1879" xr:uid="{D83D4876-665D-40E8-8308-9B59B2AA35C7}"/>
    <cellStyle name="20% - Accent3 3 4" xfId="1052" xr:uid="{A737EFD2-1B7F-4C16-B1F1-073CD68091D4}"/>
    <cellStyle name="20% - Accent3 3 4 2" xfId="4523" xr:uid="{650DB2E9-8A2D-4C35-987E-03DCC355D728}"/>
    <cellStyle name="20% - Accent3 3 4 2 2" xfId="8741" xr:uid="{8C7B58CE-FD37-4266-9A12-50795D14C739}"/>
    <cellStyle name="20% - Accent3 3 4 3" xfId="6596" xr:uid="{5DA3288C-AC2F-4EB0-91B8-F5E42E1B0114}"/>
    <cellStyle name="20% - Accent3 3 4 4" xfId="2294" xr:uid="{A07E1B89-295A-45B3-9D3D-3A09509B0A99}"/>
    <cellStyle name="20% - Accent3 3 5" xfId="2707" xr:uid="{A0EB51D2-E08D-4410-B8CF-E1B947F9A76D}"/>
    <cellStyle name="20% - Accent3 3 5 2" xfId="4936" xr:uid="{22BFF390-982D-4C2F-B02C-A686FED41BA5}"/>
    <cellStyle name="20% - Accent3 3 5 2 2" xfId="9154" xr:uid="{C725196C-ED74-432F-86DD-99B1B0C51C18}"/>
    <cellStyle name="20% - Accent3 3 5 3" xfId="7009" xr:uid="{3E7AEE66-F314-456B-B89D-64F05129E30D}"/>
    <cellStyle name="20% - Accent3 3 6" xfId="3120" xr:uid="{3ADD79A9-BD2D-4F17-B164-93D5050B7F0D}"/>
    <cellStyle name="20% - Accent3 3 6 2" xfId="5349" xr:uid="{4AD35DB0-272A-4EFE-9200-0243A098EC2A}"/>
    <cellStyle name="20% - Accent3 3 6 2 2" xfId="9567" xr:uid="{F4FD285F-E2C5-4CBA-B545-B79E54230130}"/>
    <cellStyle name="20% - Accent3 3 6 3" xfId="7422" xr:uid="{3BE2AA48-F940-4295-88D3-A4878E0366F5}"/>
    <cellStyle name="20% - Accent3 3 7" xfId="3533" xr:uid="{EE9B43B0-2240-491A-8275-7A66FEA34B2C}"/>
    <cellStyle name="20% - Accent3 3 7 2" xfId="7835" xr:uid="{EC1D4329-3F15-4426-8D55-1713F03401BF}"/>
    <cellStyle name="20% - Accent3 3 8" xfId="5769" xr:uid="{420B0956-5B26-4F00-91ED-FB0D64FB15A4}"/>
    <cellStyle name="20% - Accent3 3 9" xfId="1465" xr:uid="{56C7EC7D-39C7-4E52-84E3-E90A32E5B1DA}"/>
    <cellStyle name="20% - Accent3 4" xfId="24" xr:uid="{00000000-0005-0000-0000-00002D000000}"/>
    <cellStyle name="20% - Accent3 4 2" xfId="601" xr:uid="{00000000-0005-0000-0000-00002E000000}"/>
    <cellStyle name="20% - Accent3 4 2 2" xfId="4112" xr:uid="{7904AD58-9D2F-4F96-9F7D-DDC6C314520C}"/>
    <cellStyle name="20% - Accent3 4 2 2 2" xfId="8330" xr:uid="{A98C361F-DA9F-44BE-85E0-5678C2D758E2}"/>
    <cellStyle name="20% - Accent3 4 2 3" xfId="6185" xr:uid="{98D4CD01-62E8-4F20-BE48-45D9E8CE8441}"/>
    <cellStyle name="20% - Accent3 4 2 4" xfId="1881" xr:uid="{AB128D87-861F-4080-A521-05499CA4C306}"/>
    <cellStyle name="20% - Accent3 4 3" xfId="1054" xr:uid="{C1DEF9FC-26A3-4303-9DDF-0592F4612471}"/>
    <cellStyle name="20% - Accent3 4 3 2" xfId="4525" xr:uid="{6EB5ED67-A48D-4B57-983A-D4D2CD9BCDC5}"/>
    <cellStyle name="20% - Accent3 4 3 2 2" xfId="8743" xr:uid="{2EC2D2D9-B9B3-4D92-9C46-D4186872478B}"/>
    <cellStyle name="20% - Accent3 4 3 3" xfId="6598" xr:uid="{D286AB0D-F5D9-464F-97FA-7055D233E001}"/>
    <cellStyle name="20% - Accent3 4 3 4" xfId="2296" xr:uid="{12D99AC1-7183-43BE-AAC8-EDA0DB2F2C56}"/>
    <cellStyle name="20% - Accent3 4 4" xfId="2709" xr:uid="{FB7786E3-A2F2-4CD4-AC12-EC24A85C0C6A}"/>
    <cellStyle name="20% - Accent3 4 4 2" xfId="4938" xr:uid="{3D38500A-D8D2-4B6F-B130-768111EAE92D}"/>
    <cellStyle name="20% - Accent3 4 4 2 2" xfId="9156" xr:uid="{35B61EE0-5071-47E8-8D37-537EB753A78F}"/>
    <cellStyle name="20% - Accent3 4 4 3" xfId="7011" xr:uid="{D56C7ADC-3EC9-4484-B37A-D4497D120691}"/>
    <cellStyle name="20% - Accent3 4 5" xfId="3122" xr:uid="{49AFB9E3-8D04-4C34-94B9-1E11D13E0307}"/>
    <cellStyle name="20% - Accent3 4 5 2" xfId="5351" xr:uid="{62175093-4123-4525-816D-62F0293E738E}"/>
    <cellStyle name="20% - Accent3 4 5 2 2" xfId="9569" xr:uid="{64482397-A5E5-4DC0-9154-9DBDE74E0635}"/>
    <cellStyle name="20% - Accent3 4 5 3" xfId="7424" xr:uid="{5DDDF076-3C8B-424D-81D0-76CFF3E16816}"/>
    <cellStyle name="20% - Accent3 4 6" xfId="3535" xr:uid="{5E04C6BE-3538-4103-96EA-83E97B95B9C2}"/>
    <cellStyle name="20% - Accent3 4 6 2" xfId="7837" xr:uid="{6F583E1B-E230-4B2A-8E2A-D7A74DD562A1}"/>
    <cellStyle name="20% - Accent3 4 7" xfId="5771" xr:uid="{77A52486-5BD3-4083-870F-1443974C00C0}"/>
    <cellStyle name="20% - Accent3 4 8" xfId="1467" xr:uid="{F45138D4-C396-4C1A-B854-B73833279506}"/>
    <cellStyle name="20% - Accent3 5" xfId="594" xr:uid="{00000000-0005-0000-0000-00002F000000}"/>
    <cellStyle name="20% - Accent3 5 2" xfId="4105" xr:uid="{80E4A3EE-24A5-4F9A-896B-2593BDFEF6A6}"/>
    <cellStyle name="20% - Accent3 5 2 2" xfId="8323" xr:uid="{327A14C5-68E8-4728-A5D8-863971D2A9AA}"/>
    <cellStyle name="20% - Accent3 5 3" xfId="6178" xr:uid="{D966D3A7-3C8A-4A02-B086-DC8D91AC4C4E}"/>
    <cellStyle name="20% - Accent3 5 4" xfId="1874" xr:uid="{8C46BD8C-1918-4EC1-B036-E6129F0E4C41}"/>
    <cellStyle name="20% - Accent3 6" xfId="1047" xr:uid="{FAE31C01-DDE9-47F6-B23B-9B0D20B23C19}"/>
    <cellStyle name="20% - Accent3 6 2" xfId="4518" xr:uid="{CBD49D59-7DBC-460E-B8D0-5F3F0FA8F776}"/>
    <cellStyle name="20% - Accent3 6 2 2" xfId="8736" xr:uid="{C12A97A4-685C-48DD-A585-2575F7A0C013}"/>
    <cellStyle name="20% - Accent3 6 3" xfId="6591" xr:uid="{A2D48867-3778-415A-92B0-588E5F8DC029}"/>
    <cellStyle name="20% - Accent3 6 4" xfId="2289" xr:uid="{37034E46-D624-4B4F-922A-2B9CE3087049}"/>
    <cellStyle name="20% - Accent3 7" xfId="2702" xr:uid="{E76070CB-23B1-4575-8F7C-DB7C3B428B57}"/>
    <cellStyle name="20% - Accent3 7 2" xfId="4931" xr:uid="{673FB3CA-D02C-48D7-9D7D-DFA1A7E9E18D}"/>
    <cellStyle name="20% - Accent3 7 2 2" xfId="9149" xr:uid="{6F3CF6D7-CA51-4E29-AEF1-E4E7EB278314}"/>
    <cellStyle name="20% - Accent3 7 3" xfId="7004" xr:uid="{FD703529-1942-48E7-BB7E-57BF5208659D}"/>
    <cellStyle name="20% - Accent3 8" xfId="3115" xr:uid="{33900F7C-A339-4488-8994-C6519D886629}"/>
    <cellStyle name="20% - Accent3 8 2" xfId="5344" xr:uid="{BD54EFA4-968B-4ACE-AB3D-19CDF4DCD5E1}"/>
    <cellStyle name="20% - Accent3 8 2 2" xfId="9562" xr:uid="{74688A61-E9D6-4A72-AE1B-AC7041BB6637}"/>
    <cellStyle name="20% - Accent3 8 3" xfId="7417" xr:uid="{B2AC2BAB-4ABC-4036-B2B5-9375A33CE957}"/>
    <cellStyle name="20% - Accent3 9" xfId="3528" xr:uid="{51EBF7A6-FB05-4FDF-A9D0-0FB77AEEBF93}"/>
    <cellStyle name="20% - Accent3 9 2" xfId="7830" xr:uid="{56D06E7B-4898-4CAF-A190-A5D3B87069BC}"/>
    <cellStyle name="20% - Accent4" xfId="25" builtinId="42" customBuiltin="1"/>
    <cellStyle name="20% - Accent4 10" xfId="5772" xr:uid="{E6EEC4CF-D5BC-4586-A9EB-BD4B16FFC625}"/>
    <cellStyle name="20% - Accent4 11" xfId="1468" xr:uid="{FEAAE81F-7FB1-4933-AFF9-D94020033A51}"/>
    <cellStyle name="20% - Accent4 2" xfId="26" xr:uid="{00000000-0005-0000-0000-000031000000}"/>
    <cellStyle name="20% - Accent4 2 10" xfId="1469" xr:uid="{AA1B531A-D78D-4A91-B08F-F7298E1C53D7}"/>
    <cellStyle name="20% - Accent4 2 2" xfId="27" xr:uid="{00000000-0005-0000-0000-000032000000}"/>
    <cellStyle name="20% - Accent4 2 2 2" xfId="28" xr:uid="{00000000-0005-0000-0000-000033000000}"/>
    <cellStyle name="20% - Accent4 2 2 2 2" xfId="605" xr:uid="{00000000-0005-0000-0000-000034000000}"/>
    <cellStyle name="20% - Accent4 2 2 2 2 2" xfId="4116" xr:uid="{F331B128-3A82-44A8-8D0D-621CCBD1DE9F}"/>
    <cellStyle name="20% - Accent4 2 2 2 2 2 2" xfId="8334" xr:uid="{86127799-6806-44C4-A364-0260F1C4CAFE}"/>
    <cellStyle name="20% - Accent4 2 2 2 2 3" xfId="6189" xr:uid="{564BC21F-D39F-4132-8E4C-10E2A0D2C05A}"/>
    <cellStyle name="20% - Accent4 2 2 2 2 4" xfId="1885" xr:uid="{E610D618-3423-43CF-841F-A85928B3C127}"/>
    <cellStyle name="20% - Accent4 2 2 2 3" xfId="1058" xr:uid="{28D89B74-ECD4-451C-9C1E-4AED4F900C6F}"/>
    <cellStyle name="20% - Accent4 2 2 2 3 2" xfId="4529" xr:uid="{EF864D23-6EF8-4A22-A4A5-8EA40CA55912}"/>
    <cellStyle name="20% - Accent4 2 2 2 3 2 2" xfId="8747" xr:uid="{27F9029A-BD26-441C-A4A2-AA5EA259CF11}"/>
    <cellStyle name="20% - Accent4 2 2 2 3 3" xfId="6602" xr:uid="{B0466798-6A5D-42BF-B303-28AA473ADC07}"/>
    <cellStyle name="20% - Accent4 2 2 2 3 4" xfId="2300" xr:uid="{8873EE6B-F501-496F-ADA7-C18E194DAE6E}"/>
    <cellStyle name="20% - Accent4 2 2 2 4" xfId="2713" xr:uid="{CA20D189-6742-4B4B-90A9-D1A819804ABB}"/>
    <cellStyle name="20% - Accent4 2 2 2 4 2" xfId="4942" xr:uid="{2247F382-EF03-4873-87F1-6133B83A625D}"/>
    <cellStyle name="20% - Accent4 2 2 2 4 2 2" xfId="9160" xr:uid="{2FBA115F-7A70-47FC-94D9-ACD117B990CA}"/>
    <cellStyle name="20% - Accent4 2 2 2 4 3" xfId="7015" xr:uid="{81FDA92E-9F1C-49F2-8695-F13497F3E015}"/>
    <cellStyle name="20% - Accent4 2 2 2 5" xfId="3126" xr:uid="{65B9F46A-463A-4EA2-AD7E-47775A87B7BD}"/>
    <cellStyle name="20% - Accent4 2 2 2 5 2" xfId="5355" xr:uid="{354D722A-3BA6-4249-875F-8049D8E8906A}"/>
    <cellStyle name="20% - Accent4 2 2 2 5 2 2" xfId="9573" xr:uid="{75451361-F3D5-4E34-818A-359E61614906}"/>
    <cellStyle name="20% - Accent4 2 2 2 5 3" xfId="7428" xr:uid="{E349661D-8E33-4DB0-AB22-ED9CE581DE9E}"/>
    <cellStyle name="20% - Accent4 2 2 2 6" xfId="3539" xr:uid="{7B8D06F9-A709-446A-BF1C-317AEC49F8DA}"/>
    <cellStyle name="20% - Accent4 2 2 2 6 2" xfId="7841" xr:uid="{2BD29B40-CBC8-47EE-9DA4-D8C6572F6162}"/>
    <cellStyle name="20% - Accent4 2 2 2 7" xfId="5775" xr:uid="{DE809757-EC7A-4527-AB06-446F09FDBE26}"/>
    <cellStyle name="20% - Accent4 2 2 2 8" xfId="1471" xr:uid="{9D61B199-05EF-44F6-BEB1-4761BBDFF789}"/>
    <cellStyle name="20% - Accent4 2 2 3" xfId="604" xr:uid="{00000000-0005-0000-0000-000035000000}"/>
    <cellStyle name="20% - Accent4 2 2 3 2" xfId="4115" xr:uid="{536C6E24-842D-4D73-BF0C-CCB2458E8B88}"/>
    <cellStyle name="20% - Accent4 2 2 3 2 2" xfId="8333" xr:uid="{3ACD95E2-80C6-4E2B-B92C-D68983598353}"/>
    <cellStyle name="20% - Accent4 2 2 3 3" xfId="6188" xr:uid="{5D8C62DE-54A2-4EDE-B6F4-E2DB924771FD}"/>
    <cellStyle name="20% - Accent4 2 2 3 4" xfId="1884" xr:uid="{4FA99A6E-164B-47BA-905A-72721273B5E7}"/>
    <cellStyle name="20% - Accent4 2 2 4" xfId="1057" xr:uid="{89D0BEC8-FA21-490C-8C2F-DBAE0DF6A91D}"/>
    <cellStyle name="20% - Accent4 2 2 4 2" xfId="4528" xr:uid="{655A41EB-BD96-47C4-AE32-B052DF166699}"/>
    <cellStyle name="20% - Accent4 2 2 4 2 2" xfId="8746" xr:uid="{5519866E-2B81-47EF-8798-7B3EBE8FFA5F}"/>
    <cellStyle name="20% - Accent4 2 2 4 3" xfId="6601" xr:uid="{80B620E4-9EA7-4D66-BB3C-5DD5FEBFF855}"/>
    <cellStyle name="20% - Accent4 2 2 4 4" xfId="2299" xr:uid="{80CA68D7-B4AE-4449-AF38-5711FC4913A8}"/>
    <cellStyle name="20% - Accent4 2 2 5" xfId="2712" xr:uid="{2F0E3962-0C8D-4AD1-9AEA-663E3115A724}"/>
    <cellStyle name="20% - Accent4 2 2 5 2" xfId="4941" xr:uid="{03DCEE30-FE29-4922-8BA1-60F3C0BF75E9}"/>
    <cellStyle name="20% - Accent4 2 2 5 2 2" xfId="9159" xr:uid="{CE5B5E64-3ED0-4DC3-AD6D-2B29A83A445D}"/>
    <cellStyle name="20% - Accent4 2 2 5 3" xfId="7014" xr:uid="{DCE856BD-DC29-43EF-A2DA-8E6F8B9F06D8}"/>
    <cellStyle name="20% - Accent4 2 2 6" xfId="3125" xr:uid="{E2F0C691-B10C-46D1-B3A5-4F6598083028}"/>
    <cellStyle name="20% - Accent4 2 2 6 2" xfId="5354" xr:uid="{5477E0A4-CA7B-4F15-891C-4B0523122040}"/>
    <cellStyle name="20% - Accent4 2 2 6 2 2" xfId="9572" xr:uid="{0B7C731E-898C-43E6-BC84-E2AC2E800566}"/>
    <cellStyle name="20% - Accent4 2 2 6 3" xfId="7427" xr:uid="{007D879B-D755-4467-86BD-F3057581E190}"/>
    <cellStyle name="20% - Accent4 2 2 7" xfId="3538" xr:uid="{09EDA1E2-BAC6-4033-AF0F-B4219B389E90}"/>
    <cellStyle name="20% - Accent4 2 2 7 2" xfId="7840" xr:uid="{4460C7FF-AE8A-4E3C-8544-3ADD76BF7707}"/>
    <cellStyle name="20% - Accent4 2 2 8" xfId="5774" xr:uid="{4E0AAB4B-394D-474C-AE1E-13BE3D143336}"/>
    <cellStyle name="20% - Accent4 2 2 9" xfId="1470" xr:uid="{2EDC50DC-EEC9-4AE6-AA80-6E9A8D52AC49}"/>
    <cellStyle name="20% - Accent4 2 3" xfId="29" xr:uid="{00000000-0005-0000-0000-000036000000}"/>
    <cellStyle name="20% - Accent4 2 3 2" xfId="606" xr:uid="{00000000-0005-0000-0000-000037000000}"/>
    <cellStyle name="20% - Accent4 2 3 2 2" xfId="4117" xr:uid="{1323C928-8A56-415C-B5D6-1AC45FF3C9AE}"/>
    <cellStyle name="20% - Accent4 2 3 2 2 2" xfId="8335" xr:uid="{9574AB66-D6BF-40DC-A5A7-78EC48F58A4A}"/>
    <cellStyle name="20% - Accent4 2 3 2 3" xfId="6190" xr:uid="{E3DBBEA3-6E3D-471F-BF7B-82937668DEBA}"/>
    <cellStyle name="20% - Accent4 2 3 2 4" xfId="1886" xr:uid="{56E5A06E-3EAA-47BC-847D-490C23D79DB1}"/>
    <cellStyle name="20% - Accent4 2 3 3" xfId="1059" xr:uid="{401C8A28-F2D2-4B58-A548-9C3D62457890}"/>
    <cellStyle name="20% - Accent4 2 3 3 2" xfId="4530" xr:uid="{54FD986D-8622-4926-A2A2-47D45E66E3C0}"/>
    <cellStyle name="20% - Accent4 2 3 3 2 2" xfId="8748" xr:uid="{7D953AEC-3A57-487C-AD94-E4CA810626F1}"/>
    <cellStyle name="20% - Accent4 2 3 3 3" xfId="6603" xr:uid="{25F0D96C-5BCE-407E-A525-8242877337C6}"/>
    <cellStyle name="20% - Accent4 2 3 3 4" xfId="2301" xr:uid="{AF553527-6BB0-4092-95CE-D0764097DD2D}"/>
    <cellStyle name="20% - Accent4 2 3 4" xfId="2714" xr:uid="{5868F953-E6FF-41D1-93F5-FC3149CCD24B}"/>
    <cellStyle name="20% - Accent4 2 3 4 2" xfId="4943" xr:uid="{665BA80C-2B4A-4F65-91C5-272491E48E0D}"/>
    <cellStyle name="20% - Accent4 2 3 4 2 2" xfId="9161" xr:uid="{899FCBD3-AB3E-423C-9D09-BB0ABA49C07E}"/>
    <cellStyle name="20% - Accent4 2 3 4 3" xfId="7016" xr:uid="{EF02E1AA-10AF-4435-9018-E7E25BE6DB14}"/>
    <cellStyle name="20% - Accent4 2 3 5" xfId="3127" xr:uid="{623E8990-A9B2-4E82-9076-5C4E5A8088DE}"/>
    <cellStyle name="20% - Accent4 2 3 5 2" xfId="5356" xr:uid="{B6D4C57A-5E5D-4DFB-9120-CD2D9A8D9756}"/>
    <cellStyle name="20% - Accent4 2 3 5 2 2" xfId="9574" xr:uid="{E8060D1F-3EF6-4940-AE10-8DBE4C83D6EA}"/>
    <cellStyle name="20% - Accent4 2 3 5 3" xfId="7429" xr:uid="{C633D5B2-3F23-43AA-B977-3DD01B32122C}"/>
    <cellStyle name="20% - Accent4 2 3 6" xfId="3540" xr:uid="{A6551D93-49A1-4EBB-98F9-7A07CE736CC0}"/>
    <cellStyle name="20% - Accent4 2 3 6 2" xfId="7842" xr:uid="{141BA931-3E9C-432B-A76B-7C805CF2D7AF}"/>
    <cellStyle name="20% - Accent4 2 3 7" xfId="5776" xr:uid="{FCFF2B17-F132-44F8-BAC6-2C25863176D8}"/>
    <cellStyle name="20% - Accent4 2 3 8" xfId="1472" xr:uid="{7AE04369-43DC-4A80-B0A1-3520F641F9B9}"/>
    <cellStyle name="20% - Accent4 2 4" xfId="603" xr:uid="{00000000-0005-0000-0000-000038000000}"/>
    <cellStyle name="20% - Accent4 2 4 2" xfId="4114" xr:uid="{FD97F083-01E7-419F-BD53-F68E233FFF1D}"/>
    <cellStyle name="20% - Accent4 2 4 2 2" xfId="8332" xr:uid="{05020EF7-25F4-4946-9296-5786065E158F}"/>
    <cellStyle name="20% - Accent4 2 4 3" xfId="6187" xr:uid="{B8124B32-D45B-4B5A-A5FF-228B741099A0}"/>
    <cellStyle name="20% - Accent4 2 4 4" xfId="1883" xr:uid="{07651EEB-DFFA-4079-B0D1-44726BD796C3}"/>
    <cellStyle name="20% - Accent4 2 5" xfId="1056" xr:uid="{7BDF48F0-7340-4370-AC67-DF5C5ACF1AF8}"/>
    <cellStyle name="20% - Accent4 2 5 2" xfId="4527" xr:uid="{15DE6357-156D-4629-B87F-30498E602680}"/>
    <cellStyle name="20% - Accent4 2 5 2 2" xfId="8745" xr:uid="{236DB1E6-E753-4E51-91F4-1B5AA0058314}"/>
    <cellStyle name="20% - Accent4 2 5 3" xfId="6600" xr:uid="{A307470B-0B9C-4937-9187-4DD80189004C}"/>
    <cellStyle name="20% - Accent4 2 5 4" xfId="2298" xr:uid="{F25C571C-F6AB-4AF8-94E6-741C3E23ED75}"/>
    <cellStyle name="20% - Accent4 2 6" xfId="2711" xr:uid="{AA482550-6280-49A7-BFD4-615C0794B901}"/>
    <cellStyle name="20% - Accent4 2 6 2" xfId="4940" xr:uid="{CD5E0FC2-BA6D-4196-9ADB-5A2FE38B9693}"/>
    <cellStyle name="20% - Accent4 2 6 2 2" xfId="9158" xr:uid="{88FEA78E-5CA2-4D95-B6AE-9DD4DE5E26ED}"/>
    <cellStyle name="20% - Accent4 2 6 3" xfId="7013" xr:uid="{6B400411-70F8-4C8D-8FB4-3ACAC564DC11}"/>
    <cellStyle name="20% - Accent4 2 7" xfId="3124" xr:uid="{9BFBE874-B2FF-414E-A09C-E2EC4D13EF81}"/>
    <cellStyle name="20% - Accent4 2 7 2" xfId="5353" xr:uid="{E90D2659-004D-489F-AA6A-BBF5A2E88325}"/>
    <cellStyle name="20% - Accent4 2 7 2 2" xfId="9571" xr:uid="{DB756942-44B3-45AB-9D48-629F2CF2D787}"/>
    <cellStyle name="20% - Accent4 2 7 3" xfId="7426" xr:uid="{BCFB3CAC-FC35-4443-A07A-676387527F2E}"/>
    <cellStyle name="20% - Accent4 2 8" xfId="3537" xr:uid="{5856D2C6-F3FF-4EC0-AF6E-F08FC6CC3528}"/>
    <cellStyle name="20% - Accent4 2 8 2" xfId="7839" xr:uid="{A0065182-5D01-42EC-88D4-3F157B3E14C6}"/>
    <cellStyle name="20% - Accent4 2 9" xfId="5773" xr:uid="{D43DC35E-7BB3-41BD-BE02-90AD7E6D1A65}"/>
    <cellStyle name="20% - Accent4 3" xfId="30" xr:uid="{00000000-0005-0000-0000-000039000000}"/>
    <cellStyle name="20% - Accent4 3 2" xfId="31" xr:uid="{00000000-0005-0000-0000-00003A000000}"/>
    <cellStyle name="20% - Accent4 3 2 2" xfId="608" xr:uid="{00000000-0005-0000-0000-00003B000000}"/>
    <cellStyle name="20% - Accent4 3 2 2 2" xfId="4119" xr:uid="{B8BE50AF-C85D-4C96-AF7D-E7355478A174}"/>
    <cellStyle name="20% - Accent4 3 2 2 2 2" xfId="8337" xr:uid="{66F45A63-6FC2-4A0E-B070-AF869C4F9999}"/>
    <cellStyle name="20% - Accent4 3 2 2 3" xfId="6192" xr:uid="{820456E9-DFDC-4436-B88D-DBDE5D02E5D0}"/>
    <cellStyle name="20% - Accent4 3 2 2 4" xfId="1888" xr:uid="{FB3CCBF7-210B-434E-84B6-8FDCE27D1AA4}"/>
    <cellStyle name="20% - Accent4 3 2 3" xfId="1061" xr:uid="{30C1188A-0968-49B2-A09C-67BD9EEF63F7}"/>
    <cellStyle name="20% - Accent4 3 2 3 2" xfId="4532" xr:uid="{BFE27F04-F31C-46AB-831E-015DD84C926C}"/>
    <cellStyle name="20% - Accent4 3 2 3 2 2" xfId="8750" xr:uid="{8281A3BA-0F79-4948-90CB-BAD643C08D59}"/>
    <cellStyle name="20% - Accent4 3 2 3 3" xfId="6605" xr:uid="{49D6EEA7-994F-4BD2-9289-D03CB525F513}"/>
    <cellStyle name="20% - Accent4 3 2 3 4" xfId="2303" xr:uid="{361369EF-1026-4DEA-8E1A-F58155D2ACF3}"/>
    <cellStyle name="20% - Accent4 3 2 4" xfId="2716" xr:uid="{630BDA14-4B16-4F2C-B2B6-8D925AE28873}"/>
    <cellStyle name="20% - Accent4 3 2 4 2" xfId="4945" xr:uid="{C473396A-5163-45AF-95E3-5F8D9412CA70}"/>
    <cellStyle name="20% - Accent4 3 2 4 2 2" xfId="9163" xr:uid="{E4BF07B1-BE67-4DBB-9159-AB665D7E0CCE}"/>
    <cellStyle name="20% - Accent4 3 2 4 3" xfId="7018" xr:uid="{10C3418A-0075-4853-B620-FBB8F4A25E09}"/>
    <cellStyle name="20% - Accent4 3 2 5" xfId="3129" xr:uid="{223B3F57-ABA9-44A4-BC0E-A67701089A3D}"/>
    <cellStyle name="20% - Accent4 3 2 5 2" xfId="5358" xr:uid="{54A7F5B7-A281-46A5-8F69-1182135BE3B0}"/>
    <cellStyle name="20% - Accent4 3 2 5 2 2" xfId="9576" xr:uid="{579A06CC-71B8-4B82-903A-68E2D4B7E80E}"/>
    <cellStyle name="20% - Accent4 3 2 5 3" xfId="7431" xr:uid="{8613B8CF-3F4C-4C86-B5E6-B7F655B272CF}"/>
    <cellStyle name="20% - Accent4 3 2 6" xfId="3542" xr:uid="{065544AC-EBA4-4990-802B-C29F8E6A3B3C}"/>
    <cellStyle name="20% - Accent4 3 2 6 2" xfId="7844" xr:uid="{5DA382DC-31A2-4ED5-B4CF-F022B2CFF2B4}"/>
    <cellStyle name="20% - Accent4 3 2 7" xfId="5778" xr:uid="{7E707B9D-F9CC-49D0-A1D7-9BEC093BFD87}"/>
    <cellStyle name="20% - Accent4 3 2 8" xfId="1474" xr:uid="{6007393C-3DDA-42F1-8B75-1ACB70BFE159}"/>
    <cellStyle name="20% - Accent4 3 3" xfId="607" xr:uid="{00000000-0005-0000-0000-00003C000000}"/>
    <cellStyle name="20% - Accent4 3 3 2" xfId="4118" xr:uid="{E58DF05C-86F6-4243-8978-B148B07A58DC}"/>
    <cellStyle name="20% - Accent4 3 3 2 2" xfId="8336" xr:uid="{9DC9EE7A-9BA7-4616-99AA-411C5530CCD1}"/>
    <cellStyle name="20% - Accent4 3 3 3" xfId="6191" xr:uid="{81DE24D3-0918-4017-88F3-50866C5D6675}"/>
    <cellStyle name="20% - Accent4 3 3 4" xfId="1887" xr:uid="{8BBA8BA2-F532-4E7C-9052-41BCDBAB3CED}"/>
    <cellStyle name="20% - Accent4 3 4" xfId="1060" xr:uid="{E9309C05-CFEB-43F0-919B-1FE9C8524B9F}"/>
    <cellStyle name="20% - Accent4 3 4 2" xfId="4531" xr:uid="{3E968D51-40CE-46A1-BDE7-728FD5572F08}"/>
    <cellStyle name="20% - Accent4 3 4 2 2" xfId="8749" xr:uid="{76973953-1AFA-4097-A940-3CCF311213A6}"/>
    <cellStyle name="20% - Accent4 3 4 3" xfId="6604" xr:uid="{7D229E03-C9F3-46F4-92C9-B33F506DF70A}"/>
    <cellStyle name="20% - Accent4 3 4 4" xfId="2302" xr:uid="{664E9BEB-FA01-4EFE-9DDD-979F4353D782}"/>
    <cellStyle name="20% - Accent4 3 5" xfId="2715" xr:uid="{2246A465-1BC2-4A76-BA77-38ED308BF08D}"/>
    <cellStyle name="20% - Accent4 3 5 2" xfId="4944" xr:uid="{AACD3426-8C31-41BB-BF2D-81C47638BDC2}"/>
    <cellStyle name="20% - Accent4 3 5 2 2" xfId="9162" xr:uid="{52612AA2-670F-46D7-B1B1-C656BFC5A1AB}"/>
    <cellStyle name="20% - Accent4 3 5 3" xfId="7017" xr:uid="{D9E9A498-50BF-4458-94A9-7F4E527C86E6}"/>
    <cellStyle name="20% - Accent4 3 6" xfId="3128" xr:uid="{5088D73A-9337-44CC-A860-CF5A40D04506}"/>
    <cellStyle name="20% - Accent4 3 6 2" xfId="5357" xr:uid="{687559C3-0586-40BB-B68F-21C8E3FE461E}"/>
    <cellStyle name="20% - Accent4 3 6 2 2" xfId="9575" xr:uid="{555088CC-6298-4F5E-90C6-EDE4EDD2FAA1}"/>
    <cellStyle name="20% - Accent4 3 6 3" xfId="7430" xr:uid="{FEEA21B2-3F42-4CD9-B5AD-CECDEBE30873}"/>
    <cellStyle name="20% - Accent4 3 7" xfId="3541" xr:uid="{43F021E0-4D8C-4C7F-83BE-B1450A365D83}"/>
    <cellStyle name="20% - Accent4 3 7 2" xfId="7843" xr:uid="{DE623D6E-65C8-47D8-99BC-AE4EE328D10B}"/>
    <cellStyle name="20% - Accent4 3 8" xfId="5777" xr:uid="{07D52DE1-E6A1-49E5-86E0-20AE35F26989}"/>
    <cellStyle name="20% - Accent4 3 9" xfId="1473" xr:uid="{7F25EA80-C184-41A4-A827-BB6EB6279B02}"/>
    <cellStyle name="20% - Accent4 4" xfId="32" xr:uid="{00000000-0005-0000-0000-00003D000000}"/>
    <cellStyle name="20% - Accent4 4 2" xfId="609" xr:uid="{00000000-0005-0000-0000-00003E000000}"/>
    <cellStyle name="20% - Accent4 4 2 2" xfId="4120" xr:uid="{7ACC0DE7-5D40-4053-A265-BA1FD06A8F74}"/>
    <cellStyle name="20% - Accent4 4 2 2 2" xfId="8338" xr:uid="{8FEFAFA4-0202-45DF-9E71-334D0683C1BB}"/>
    <cellStyle name="20% - Accent4 4 2 3" xfId="6193" xr:uid="{D7F7FE67-5B10-4A37-AB2E-77746E233169}"/>
    <cellStyle name="20% - Accent4 4 2 4" xfId="1889" xr:uid="{281FE878-8123-4383-BF28-C61EFE41CDAD}"/>
    <cellStyle name="20% - Accent4 4 3" xfId="1062" xr:uid="{DDF5CC80-04E3-4D6B-86A3-E0D9F6E9AB4C}"/>
    <cellStyle name="20% - Accent4 4 3 2" xfId="4533" xr:uid="{4BED2DCE-1BA9-450F-A6DA-0C2798EF6207}"/>
    <cellStyle name="20% - Accent4 4 3 2 2" xfId="8751" xr:uid="{4DF612D3-487A-4852-ADB8-AB50F7D64F24}"/>
    <cellStyle name="20% - Accent4 4 3 3" xfId="6606" xr:uid="{FA136053-D322-4CB0-B3CA-E91B17194550}"/>
    <cellStyle name="20% - Accent4 4 3 4" xfId="2304" xr:uid="{AA21316A-E3D2-41DB-9667-41DA5BDC3C7F}"/>
    <cellStyle name="20% - Accent4 4 4" xfId="2717" xr:uid="{3769E878-CFBF-43FB-A4C3-DD268DBA7F4B}"/>
    <cellStyle name="20% - Accent4 4 4 2" xfId="4946" xr:uid="{E2081487-3A83-4E48-9CD5-22D000CD9A5B}"/>
    <cellStyle name="20% - Accent4 4 4 2 2" xfId="9164" xr:uid="{2CB1E039-A2FB-4559-9EB7-118CEA5B46D0}"/>
    <cellStyle name="20% - Accent4 4 4 3" xfId="7019" xr:uid="{A6D47B3E-718C-4A2F-95DB-8B31BFF91A32}"/>
    <cellStyle name="20% - Accent4 4 5" xfId="3130" xr:uid="{3C1C559A-6D6A-4AC2-BB18-F9B195B78B5A}"/>
    <cellStyle name="20% - Accent4 4 5 2" xfId="5359" xr:uid="{FAD16B33-2710-495B-80C5-4A74E2E724BF}"/>
    <cellStyle name="20% - Accent4 4 5 2 2" xfId="9577" xr:uid="{E43102B8-D8A5-48E4-8369-84E1DD15667C}"/>
    <cellStyle name="20% - Accent4 4 5 3" xfId="7432" xr:uid="{91A8110E-C317-4819-AA35-C66BF0FD55F7}"/>
    <cellStyle name="20% - Accent4 4 6" xfId="3543" xr:uid="{4E6614B5-189A-4E0D-935E-F6E942FD9078}"/>
    <cellStyle name="20% - Accent4 4 6 2" xfId="7845" xr:uid="{42A3B1A3-A69F-4393-8E79-FF32B41DCEB2}"/>
    <cellStyle name="20% - Accent4 4 7" xfId="5779" xr:uid="{55516DE8-1E05-42A8-A5D5-254A981E3C44}"/>
    <cellStyle name="20% - Accent4 4 8" xfId="1475" xr:uid="{8B6E4578-1377-4526-85F8-41895DF5947E}"/>
    <cellStyle name="20% - Accent4 5" xfId="602" xr:uid="{00000000-0005-0000-0000-00003F000000}"/>
    <cellStyle name="20% - Accent4 5 2" xfId="4113" xr:uid="{A0EC5B13-E37A-4B13-9FF6-9DC7117BA2BD}"/>
    <cellStyle name="20% - Accent4 5 2 2" xfId="8331" xr:uid="{F27FAB15-FD31-4EF9-B7F4-E48E0D64090F}"/>
    <cellStyle name="20% - Accent4 5 3" xfId="6186" xr:uid="{3784D0C8-0CBD-43B7-B224-0DC0942B22D1}"/>
    <cellStyle name="20% - Accent4 5 4" xfId="1882" xr:uid="{83E5E4DF-F722-48E5-80B4-0057CB82B1C9}"/>
    <cellStyle name="20% - Accent4 6" xfId="1055" xr:uid="{A0FD71E6-4574-48B5-BF8A-E56CC231E00A}"/>
    <cellStyle name="20% - Accent4 6 2" xfId="4526" xr:uid="{E2FA3CE8-2506-4A1C-B37A-84462C92A88E}"/>
    <cellStyle name="20% - Accent4 6 2 2" xfId="8744" xr:uid="{B8654191-4220-4C8C-89A0-A3C548C768A5}"/>
    <cellStyle name="20% - Accent4 6 3" xfId="6599" xr:uid="{B559DDA3-1778-479D-A6D9-A422C3F2ED10}"/>
    <cellStyle name="20% - Accent4 6 4" xfId="2297" xr:uid="{215449D2-189B-4F31-8584-48D7446833EC}"/>
    <cellStyle name="20% - Accent4 7" xfId="2710" xr:uid="{BB51775B-2798-49EF-9EF0-8E6EAF7E70D6}"/>
    <cellStyle name="20% - Accent4 7 2" xfId="4939" xr:uid="{2079872A-E9F3-471E-A067-FA180264E6B2}"/>
    <cellStyle name="20% - Accent4 7 2 2" xfId="9157" xr:uid="{DEA95247-F791-4E37-BAD4-843B742FC2FA}"/>
    <cellStyle name="20% - Accent4 7 3" xfId="7012" xr:uid="{5188CE31-AA7F-413C-A849-9FE8893199C4}"/>
    <cellStyle name="20% - Accent4 8" xfId="3123" xr:uid="{8197A22A-D4A2-4F59-ABD8-DCB4BB66C01C}"/>
    <cellStyle name="20% - Accent4 8 2" xfId="5352" xr:uid="{7D4477B8-8848-4FAA-945F-E05D4297E02B}"/>
    <cellStyle name="20% - Accent4 8 2 2" xfId="9570" xr:uid="{D96AEA64-53A3-4FA0-A6EB-55F6DEB81BB9}"/>
    <cellStyle name="20% - Accent4 8 3" xfId="7425" xr:uid="{957675F9-10AD-4F11-B49D-66BC8B2CC8E1}"/>
    <cellStyle name="20% - Accent4 9" xfId="3536" xr:uid="{2D9B5153-D846-4777-99A5-432AF1AF896A}"/>
    <cellStyle name="20% - Accent4 9 2" xfId="7838" xr:uid="{DFC2D959-B908-49F6-B19C-2E56BFE40FDA}"/>
    <cellStyle name="20% - Accent5" xfId="33" builtinId="46" customBuiltin="1"/>
    <cellStyle name="20% - Accent5 10" xfId="5780" xr:uid="{C103F681-98EA-4290-BDF4-4EBB46A35FA6}"/>
    <cellStyle name="20% - Accent5 11" xfId="1476" xr:uid="{DA7034D4-99E9-4550-B23C-AEEB4A4FD20A}"/>
    <cellStyle name="20% - Accent5 2" xfId="34" xr:uid="{00000000-0005-0000-0000-000041000000}"/>
    <cellStyle name="20% - Accent5 2 10" xfId="1477" xr:uid="{5ED6C821-A4D7-428F-A9F8-CE796E6CDED6}"/>
    <cellStyle name="20% - Accent5 2 2" xfId="35" xr:uid="{00000000-0005-0000-0000-000042000000}"/>
    <cellStyle name="20% - Accent5 2 2 2" xfId="36" xr:uid="{00000000-0005-0000-0000-000043000000}"/>
    <cellStyle name="20% - Accent5 2 2 2 2" xfId="613" xr:uid="{00000000-0005-0000-0000-000044000000}"/>
    <cellStyle name="20% - Accent5 2 2 2 2 2" xfId="4124" xr:uid="{F8641FA9-5495-4F71-93A6-3462F4307E7B}"/>
    <cellStyle name="20% - Accent5 2 2 2 2 2 2" xfId="8342" xr:uid="{85BDC56E-172E-46AA-8CC2-A600F622ED3E}"/>
    <cellStyle name="20% - Accent5 2 2 2 2 3" xfId="6197" xr:uid="{83ADA895-DE99-4625-958F-FBBDF4EC3B80}"/>
    <cellStyle name="20% - Accent5 2 2 2 2 4" xfId="1893" xr:uid="{D01CE24A-3D1D-4541-9B56-831D080BDBD0}"/>
    <cellStyle name="20% - Accent5 2 2 2 3" xfId="1066" xr:uid="{8BA280A1-9DCA-4ADB-B686-8BBA30B27A9A}"/>
    <cellStyle name="20% - Accent5 2 2 2 3 2" xfId="4537" xr:uid="{5AD3AB5B-8121-4431-860C-4C5787287994}"/>
    <cellStyle name="20% - Accent5 2 2 2 3 2 2" xfId="8755" xr:uid="{0D927F90-08E1-4E2C-8690-91C33CE2EE19}"/>
    <cellStyle name="20% - Accent5 2 2 2 3 3" xfId="6610" xr:uid="{71CD82C1-E481-4B42-99F2-787850DD6FBC}"/>
    <cellStyle name="20% - Accent5 2 2 2 3 4" xfId="2308" xr:uid="{0BD52F3F-4B36-41DE-BB84-06D8B49E344E}"/>
    <cellStyle name="20% - Accent5 2 2 2 4" xfId="2721" xr:uid="{8366343D-F159-4484-B506-B7BD31FE3D75}"/>
    <cellStyle name="20% - Accent5 2 2 2 4 2" xfId="4950" xr:uid="{3764FBC7-8006-4406-A0FB-5C0E553BDCDD}"/>
    <cellStyle name="20% - Accent5 2 2 2 4 2 2" xfId="9168" xr:uid="{095D08B9-E571-49A2-852C-D045B59E1129}"/>
    <cellStyle name="20% - Accent5 2 2 2 4 3" xfId="7023" xr:uid="{06562C2F-1B81-4736-8E0C-6216A5CD6C6F}"/>
    <cellStyle name="20% - Accent5 2 2 2 5" xfId="3134" xr:uid="{E6AD36EE-AD16-42AB-9178-8CB26E382551}"/>
    <cellStyle name="20% - Accent5 2 2 2 5 2" xfId="5363" xr:uid="{DDFECFEA-434F-4D52-9FC2-AB2F198EB63E}"/>
    <cellStyle name="20% - Accent5 2 2 2 5 2 2" xfId="9581" xr:uid="{700E82D0-A671-4BA8-A991-15C973D04E28}"/>
    <cellStyle name="20% - Accent5 2 2 2 5 3" xfId="7436" xr:uid="{EC3C8010-207A-4E77-A94E-5297B821FDBC}"/>
    <cellStyle name="20% - Accent5 2 2 2 6" xfId="3547" xr:uid="{464CE0C5-6647-4AB2-9CD1-08204AE1E6A7}"/>
    <cellStyle name="20% - Accent5 2 2 2 6 2" xfId="7849" xr:uid="{68CF8525-26A4-4F05-A9A6-5CF17C868142}"/>
    <cellStyle name="20% - Accent5 2 2 2 7" xfId="5783" xr:uid="{7A353743-B928-4BF7-8727-A8D1868DC893}"/>
    <cellStyle name="20% - Accent5 2 2 2 8" xfId="1479" xr:uid="{7D2D5507-56D9-42BD-8AEE-E2A8999CE1E4}"/>
    <cellStyle name="20% - Accent5 2 2 3" xfId="612" xr:uid="{00000000-0005-0000-0000-000045000000}"/>
    <cellStyle name="20% - Accent5 2 2 3 2" xfId="4123" xr:uid="{FEFF140D-7FCE-4E22-A3E6-B825ECC97A76}"/>
    <cellStyle name="20% - Accent5 2 2 3 2 2" xfId="8341" xr:uid="{4544EA0E-7CDA-4678-B3B8-E377CB31167E}"/>
    <cellStyle name="20% - Accent5 2 2 3 3" xfId="6196" xr:uid="{603C9659-FBBA-424C-BAC6-941936B2958D}"/>
    <cellStyle name="20% - Accent5 2 2 3 4" xfId="1892" xr:uid="{AE6C9442-6BDA-4AA0-91FA-B50E94EC8080}"/>
    <cellStyle name="20% - Accent5 2 2 4" xfId="1065" xr:uid="{EAF09ED7-C53E-4C7F-8760-C687B7B63403}"/>
    <cellStyle name="20% - Accent5 2 2 4 2" xfId="4536" xr:uid="{603F9D21-C6AC-46D9-B5D5-44A1D71FB6C6}"/>
    <cellStyle name="20% - Accent5 2 2 4 2 2" xfId="8754" xr:uid="{7DB15790-284D-44B9-934D-3F23FEA58531}"/>
    <cellStyle name="20% - Accent5 2 2 4 3" xfId="6609" xr:uid="{3FB626E6-6B90-4E78-905C-088A85504FD9}"/>
    <cellStyle name="20% - Accent5 2 2 4 4" xfId="2307" xr:uid="{BA24A7C8-53C3-427C-A76B-97851214EA3C}"/>
    <cellStyle name="20% - Accent5 2 2 5" xfId="2720" xr:uid="{C56F7711-C92F-4F5A-AC6C-41B350A5BEC1}"/>
    <cellStyle name="20% - Accent5 2 2 5 2" xfId="4949" xr:uid="{CBD50397-53A8-46F7-B51B-59C6E29A2E16}"/>
    <cellStyle name="20% - Accent5 2 2 5 2 2" xfId="9167" xr:uid="{6AB305A8-16AC-491C-A32C-9E5206D3F72C}"/>
    <cellStyle name="20% - Accent5 2 2 5 3" xfId="7022" xr:uid="{7CFA2F56-03F0-49C8-963D-22CDEE6DA58F}"/>
    <cellStyle name="20% - Accent5 2 2 6" xfId="3133" xr:uid="{A7166B00-1574-4B45-B4CC-AB5BDE45A641}"/>
    <cellStyle name="20% - Accent5 2 2 6 2" xfId="5362" xr:uid="{0F669FBF-C378-4726-B380-FD648C1BBBB8}"/>
    <cellStyle name="20% - Accent5 2 2 6 2 2" xfId="9580" xr:uid="{2FA0FA40-FF91-4FA6-825C-8B35718803B9}"/>
    <cellStyle name="20% - Accent5 2 2 6 3" xfId="7435" xr:uid="{D743FC5D-D2A5-41C3-B4C4-F8BA63426464}"/>
    <cellStyle name="20% - Accent5 2 2 7" xfId="3546" xr:uid="{58469D8C-66E3-40C9-91F9-2882E7D27C3F}"/>
    <cellStyle name="20% - Accent5 2 2 7 2" xfId="7848" xr:uid="{99B4B464-C9E8-46D6-9EFF-DAFCA44A3A1B}"/>
    <cellStyle name="20% - Accent5 2 2 8" xfId="5782" xr:uid="{E5750D11-FFB9-45D8-BE4C-432F01049AAF}"/>
    <cellStyle name="20% - Accent5 2 2 9" xfId="1478" xr:uid="{2F745EFB-D8E6-4AA5-847E-6DBEB8125A80}"/>
    <cellStyle name="20% - Accent5 2 3" xfId="37" xr:uid="{00000000-0005-0000-0000-000046000000}"/>
    <cellStyle name="20% - Accent5 2 3 2" xfId="614" xr:uid="{00000000-0005-0000-0000-000047000000}"/>
    <cellStyle name="20% - Accent5 2 3 2 2" xfId="4125" xr:uid="{2D9CC839-CA3F-4D51-B9BB-79CA78AD4FEE}"/>
    <cellStyle name="20% - Accent5 2 3 2 2 2" xfId="8343" xr:uid="{9BB9F9C3-5F86-4ABF-A511-53C4FD1E99FB}"/>
    <cellStyle name="20% - Accent5 2 3 2 3" xfId="6198" xr:uid="{96B61B56-EEAA-4E66-B846-1E2EF81C874B}"/>
    <cellStyle name="20% - Accent5 2 3 2 4" xfId="1894" xr:uid="{535AE367-5FC7-44DF-AB51-584266DAAA49}"/>
    <cellStyle name="20% - Accent5 2 3 3" xfId="1067" xr:uid="{C1E13AC7-60C3-4299-9395-A75F3E5F6D1A}"/>
    <cellStyle name="20% - Accent5 2 3 3 2" xfId="4538" xr:uid="{B030616F-3E02-4316-A868-BB3897EFFF46}"/>
    <cellStyle name="20% - Accent5 2 3 3 2 2" xfId="8756" xr:uid="{D2AE690A-351F-4422-9071-F40718140F95}"/>
    <cellStyle name="20% - Accent5 2 3 3 3" xfId="6611" xr:uid="{138864CD-7B03-4CA2-826D-1785AA9A3524}"/>
    <cellStyle name="20% - Accent5 2 3 3 4" xfId="2309" xr:uid="{E100875A-C93E-4E6A-8AE4-95E7657A9704}"/>
    <cellStyle name="20% - Accent5 2 3 4" xfId="2722" xr:uid="{E7CD0B70-8A87-4A27-8C6D-A56215EC6D48}"/>
    <cellStyle name="20% - Accent5 2 3 4 2" xfId="4951" xr:uid="{9F98B5E4-043B-482F-867D-A6DCCFC2B2A7}"/>
    <cellStyle name="20% - Accent5 2 3 4 2 2" xfId="9169" xr:uid="{483233F5-819F-4FE9-A8A8-E3F12E91EF1F}"/>
    <cellStyle name="20% - Accent5 2 3 4 3" xfId="7024" xr:uid="{79B544C3-65AA-4B72-827B-F6DDF1E7967D}"/>
    <cellStyle name="20% - Accent5 2 3 5" xfId="3135" xr:uid="{1CBF168E-22BA-4B7D-B1F8-5D4893175CE9}"/>
    <cellStyle name="20% - Accent5 2 3 5 2" xfId="5364" xr:uid="{9CE76344-ED5D-45FF-8103-C923494580B6}"/>
    <cellStyle name="20% - Accent5 2 3 5 2 2" xfId="9582" xr:uid="{3F4427D6-97DA-4AE1-9863-2405DFB3E1E8}"/>
    <cellStyle name="20% - Accent5 2 3 5 3" xfId="7437" xr:uid="{810B3EBD-5AEB-4253-BFAF-D2E6A14A20EC}"/>
    <cellStyle name="20% - Accent5 2 3 6" xfId="3548" xr:uid="{B9AD07BC-CAC2-4DD2-B830-1E2CFB181FB3}"/>
    <cellStyle name="20% - Accent5 2 3 6 2" xfId="7850" xr:uid="{BAE83266-32DD-4215-B3CB-C2A0178B74F1}"/>
    <cellStyle name="20% - Accent5 2 3 7" xfId="5784" xr:uid="{59818045-0877-415B-9F12-3A1FCCDB40AF}"/>
    <cellStyle name="20% - Accent5 2 3 8" xfId="1480" xr:uid="{8CE8513E-DF55-4E7E-A8C0-7FB01E528F83}"/>
    <cellStyle name="20% - Accent5 2 4" xfId="611" xr:uid="{00000000-0005-0000-0000-000048000000}"/>
    <cellStyle name="20% - Accent5 2 4 2" xfId="4122" xr:uid="{B3918FA5-0F6F-41C5-9903-45799C804919}"/>
    <cellStyle name="20% - Accent5 2 4 2 2" xfId="8340" xr:uid="{4A22ABF0-0179-44C7-82DF-38B2CCC502DD}"/>
    <cellStyle name="20% - Accent5 2 4 3" xfId="6195" xr:uid="{7EB58947-DBF0-45AB-A89C-3C97B98F4336}"/>
    <cellStyle name="20% - Accent5 2 4 4" xfId="1891" xr:uid="{8D5133E0-B073-48A4-8A78-EF258EC61E2F}"/>
    <cellStyle name="20% - Accent5 2 5" xfId="1064" xr:uid="{6637818A-8F2E-4B28-9C22-FFEA211BE1C4}"/>
    <cellStyle name="20% - Accent5 2 5 2" xfId="4535" xr:uid="{4DBA9790-8340-4992-A60C-0B24F3E2E6AE}"/>
    <cellStyle name="20% - Accent5 2 5 2 2" xfId="8753" xr:uid="{86A19E26-53D9-4D3A-BFBE-6C60617CC326}"/>
    <cellStyle name="20% - Accent5 2 5 3" xfId="6608" xr:uid="{D849B0B9-9EB8-43F1-893A-67D9DEAA484B}"/>
    <cellStyle name="20% - Accent5 2 5 4" xfId="2306" xr:uid="{EC8275DC-A15B-4295-9220-EC0E46EC7BC6}"/>
    <cellStyle name="20% - Accent5 2 6" xfId="2719" xr:uid="{F633F302-73E4-473B-8506-91FA56DAA2E9}"/>
    <cellStyle name="20% - Accent5 2 6 2" xfId="4948" xr:uid="{D3D96A7C-017D-4AAA-96CE-1B5B7B36FCA7}"/>
    <cellStyle name="20% - Accent5 2 6 2 2" xfId="9166" xr:uid="{16989F4A-D5DF-41E1-87D7-65F0B363A2CF}"/>
    <cellStyle name="20% - Accent5 2 6 3" xfId="7021" xr:uid="{A1B14008-288B-49E4-85BC-8DC8F6D52801}"/>
    <cellStyle name="20% - Accent5 2 7" xfId="3132" xr:uid="{03FF7224-6571-4104-9599-6F573E0A9510}"/>
    <cellStyle name="20% - Accent5 2 7 2" xfId="5361" xr:uid="{B0729418-8004-4958-A32D-A6D2418F855C}"/>
    <cellStyle name="20% - Accent5 2 7 2 2" xfId="9579" xr:uid="{55C278FE-394C-4D08-9B25-3D55E2FCE60D}"/>
    <cellStyle name="20% - Accent5 2 7 3" xfId="7434" xr:uid="{08A6A540-BEEB-49AB-9113-8C7AEE013A90}"/>
    <cellStyle name="20% - Accent5 2 8" xfId="3545" xr:uid="{17347AE0-3BC9-4F6C-9EC8-B59BFF83ED20}"/>
    <cellStyle name="20% - Accent5 2 8 2" xfId="7847" xr:uid="{8BE22811-0457-4740-9240-086EB1CA52C6}"/>
    <cellStyle name="20% - Accent5 2 9" xfId="5781" xr:uid="{6987687F-4C1A-4F14-B821-AE1C3282E55B}"/>
    <cellStyle name="20% - Accent5 3" xfId="38" xr:uid="{00000000-0005-0000-0000-000049000000}"/>
    <cellStyle name="20% - Accent5 3 2" xfId="39" xr:uid="{00000000-0005-0000-0000-00004A000000}"/>
    <cellStyle name="20% - Accent5 3 2 2" xfId="616" xr:uid="{00000000-0005-0000-0000-00004B000000}"/>
    <cellStyle name="20% - Accent5 3 2 2 2" xfId="4127" xr:uid="{BEB0CA7C-455C-4C0A-B914-22DC46BFF5A8}"/>
    <cellStyle name="20% - Accent5 3 2 2 2 2" xfId="8345" xr:uid="{FA2AE16E-7022-480B-A536-6592391C16A5}"/>
    <cellStyle name="20% - Accent5 3 2 2 3" xfId="6200" xr:uid="{A7E0A7AE-E556-462D-AEDE-C403D180E774}"/>
    <cellStyle name="20% - Accent5 3 2 2 4" xfId="1896" xr:uid="{1D035DF5-DE30-494D-BC54-829440A1C108}"/>
    <cellStyle name="20% - Accent5 3 2 3" xfId="1069" xr:uid="{B3372E70-0D31-4C50-AC3C-0C28572AF0A4}"/>
    <cellStyle name="20% - Accent5 3 2 3 2" xfId="4540" xr:uid="{98E0F8A3-57DB-458D-8C2F-DC7BB1D8A985}"/>
    <cellStyle name="20% - Accent5 3 2 3 2 2" xfId="8758" xr:uid="{A68BC5C1-AC2F-4481-8530-F702170CD013}"/>
    <cellStyle name="20% - Accent5 3 2 3 3" xfId="6613" xr:uid="{909E2E55-033C-4680-80A8-72841B8FA31F}"/>
    <cellStyle name="20% - Accent5 3 2 3 4" xfId="2311" xr:uid="{AC2318BA-817C-4623-87DB-FC24A79B55E2}"/>
    <cellStyle name="20% - Accent5 3 2 4" xfId="2724" xr:uid="{124CA292-D370-45E4-BE19-21FDBD6D30A9}"/>
    <cellStyle name="20% - Accent5 3 2 4 2" xfId="4953" xr:uid="{B8CDA573-1929-47CF-84D2-C2FBA09F7352}"/>
    <cellStyle name="20% - Accent5 3 2 4 2 2" xfId="9171" xr:uid="{9661CE6E-5EAE-42C2-AC67-6DB4FF88A24C}"/>
    <cellStyle name="20% - Accent5 3 2 4 3" xfId="7026" xr:uid="{5720D59F-7A03-4704-B5D0-348C43F010A5}"/>
    <cellStyle name="20% - Accent5 3 2 5" xfId="3137" xr:uid="{B871F4B3-4DAA-4BB9-8E64-7552ECE5414A}"/>
    <cellStyle name="20% - Accent5 3 2 5 2" xfId="5366" xr:uid="{6CEE7506-073A-47D3-AF4D-EA62AF2805E9}"/>
    <cellStyle name="20% - Accent5 3 2 5 2 2" xfId="9584" xr:uid="{3E996EF8-6F30-4D07-A37E-576BCA9E61F0}"/>
    <cellStyle name="20% - Accent5 3 2 5 3" xfId="7439" xr:uid="{5828DEB1-A445-4DD5-B061-B91FAE653CC8}"/>
    <cellStyle name="20% - Accent5 3 2 6" xfId="3550" xr:uid="{49D2EA45-AD11-4A11-9845-44C9CE0172E1}"/>
    <cellStyle name="20% - Accent5 3 2 6 2" xfId="7852" xr:uid="{6BCD8A7F-DF60-45DC-9E30-BF0CE7E59ED7}"/>
    <cellStyle name="20% - Accent5 3 2 7" xfId="5786" xr:uid="{952847FA-5FBA-415C-B82F-A3F1457ADC02}"/>
    <cellStyle name="20% - Accent5 3 2 8" xfId="1482" xr:uid="{8B42B620-9AE3-431B-93F8-70CBAC6D55F5}"/>
    <cellStyle name="20% - Accent5 3 3" xfId="615" xr:uid="{00000000-0005-0000-0000-00004C000000}"/>
    <cellStyle name="20% - Accent5 3 3 2" xfId="4126" xr:uid="{C01EC92B-7118-4E89-A4D2-4EBBC44A20BF}"/>
    <cellStyle name="20% - Accent5 3 3 2 2" xfId="8344" xr:uid="{6E1A1C79-4299-4491-B39E-CF852DD61D56}"/>
    <cellStyle name="20% - Accent5 3 3 3" xfId="6199" xr:uid="{58847A74-06C2-41E5-A6C3-E861B27EBC20}"/>
    <cellStyle name="20% - Accent5 3 3 4" xfId="1895" xr:uid="{A8290C95-3510-4A11-800A-9149B3238122}"/>
    <cellStyle name="20% - Accent5 3 4" xfId="1068" xr:uid="{45B1E548-A5FB-44DB-96B9-F2B15DBA33E5}"/>
    <cellStyle name="20% - Accent5 3 4 2" xfId="4539" xr:uid="{FCF8121A-7113-4B98-BA32-3E080D59C893}"/>
    <cellStyle name="20% - Accent5 3 4 2 2" xfId="8757" xr:uid="{C749EF58-39CF-42D5-AC9F-3D11B621F991}"/>
    <cellStyle name="20% - Accent5 3 4 3" xfId="6612" xr:uid="{210B88F2-E835-457C-B206-03741934D022}"/>
    <cellStyle name="20% - Accent5 3 4 4" xfId="2310" xr:uid="{0A085E01-4C99-4EF8-9A0C-FC2B93AD48D0}"/>
    <cellStyle name="20% - Accent5 3 5" xfId="2723" xr:uid="{17055AE6-EAC6-4B8B-B6FD-161D242BA5BC}"/>
    <cellStyle name="20% - Accent5 3 5 2" xfId="4952" xr:uid="{CFA42526-4B15-4EAC-8910-F4D1C1C0C9A4}"/>
    <cellStyle name="20% - Accent5 3 5 2 2" xfId="9170" xr:uid="{3C36AD04-3DDE-47B5-ACC9-2BC3C5850A05}"/>
    <cellStyle name="20% - Accent5 3 5 3" xfId="7025" xr:uid="{4E8E195E-3DB2-4C30-862D-1001213699B4}"/>
    <cellStyle name="20% - Accent5 3 6" xfId="3136" xr:uid="{A1FCC7C0-6B08-4C6B-9B85-0A72031C93BD}"/>
    <cellStyle name="20% - Accent5 3 6 2" xfId="5365" xr:uid="{0AC195A0-97EB-42E5-8B6D-583CBF9D67D9}"/>
    <cellStyle name="20% - Accent5 3 6 2 2" xfId="9583" xr:uid="{8A808D35-C3AD-4D50-931A-FBC0674E1A20}"/>
    <cellStyle name="20% - Accent5 3 6 3" xfId="7438" xr:uid="{B34BD8A8-82D7-4A21-9DEB-CCE78B6093AD}"/>
    <cellStyle name="20% - Accent5 3 7" xfId="3549" xr:uid="{F2EE6A6E-AE9D-4BEC-8918-25B992417A62}"/>
    <cellStyle name="20% - Accent5 3 7 2" xfId="7851" xr:uid="{17C2E4A9-7EBE-4382-B63C-2337CD5A6FE5}"/>
    <cellStyle name="20% - Accent5 3 8" xfId="5785" xr:uid="{C4C2EFE6-7187-49EA-B4B4-279B57182983}"/>
    <cellStyle name="20% - Accent5 3 9" xfId="1481" xr:uid="{DA27B14A-E887-49E3-AC49-241B7D2B7184}"/>
    <cellStyle name="20% - Accent5 4" xfId="40" xr:uid="{00000000-0005-0000-0000-00004D000000}"/>
    <cellStyle name="20% - Accent5 4 2" xfId="617" xr:uid="{00000000-0005-0000-0000-00004E000000}"/>
    <cellStyle name="20% - Accent5 4 2 2" xfId="4128" xr:uid="{3470FA28-ED51-4283-B30B-FF00AD17E331}"/>
    <cellStyle name="20% - Accent5 4 2 2 2" xfId="8346" xr:uid="{74FBA3EE-91AA-4326-9692-DF9668AC611A}"/>
    <cellStyle name="20% - Accent5 4 2 3" xfId="6201" xr:uid="{6CB8AEB2-07CD-4D64-9C09-047536FEBF79}"/>
    <cellStyle name="20% - Accent5 4 2 4" xfId="1897" xr:uid="{4A976617-0FAA-49F8-ABC4-802BC7C7E9F5}"/>
    <cellStyle name="20% - Accent5 4 3" xfId="1070" xr:uid="{822EA72A-3BCE-499C-93DE-45ED686E33FC}"/>
    <cellStyle name="20% - Accent5 4 3 2" xfId="4541" xr:uid="{506590F4-130F-4DDE-A0A8-8A0A3AA2DC2A}"/>
    <cellStyle name="20% - Accent5 4 3 2 2" xfId="8759" xr:uid="{7D6953C2-1F04-4DE2-8149-618C7E49AEAC}"/>
    <cellStyle name="20% - Accent5 4 3 3" xfId="6614" xr:uid="{CA58BB57-54D3-4CED-BFD1-6FC527E06C54}"/>
    <cellStyle name="20% - Accent5 4 3 4" xfId="2312" xr:uid="{96F5DC43-D2FF-4798-BC1D-5FD0D544D3D4}"/>
    <cellStyle name="20% - Accent5 4 4" xfId="2725" xr:uid="{38615EA7-BB31-484E-90AA-2D5B9AB765D8}"/>
    <cellStyle name="20% - Accent5 4 4 2" xfId="4954" xr:uid="{F3977E1A-EAB4-4391-90B5-75BDAFA8F4A0}"/>
    <cellStyle name="20% - Accent5 4 4 2 2" xfId="9172" xr:uid="{D8267C4F-C272-4281-AFA3-541433F90E47}"/>
    <cellStyle name="20% - Accent5 4 4 3" xfId="7027" xr:uid="{1DA770C6-6ACF-4D2C-8008-287E52447553}"/>
    <cellStyle name="20% - Accent5 4 5" xfId="3138" xr:uid="{D00D325B-22F9-42B2-8E19-5C90EFCA7849}"/>
    <cellStyle name="20% - Accent5 4 5 2" xfId="5367" xr:uid="{07234AD1-206C-4A11-8686-5F76105183F3}"/>
    <cellStyle name="20% - Accent5 4 5 2 2" xfId="9585" xr:uid="{0EF2F307-D7AB-4602-8E77-27B63E2A9D21}"/>
    <cellStyle name="20% - Accent5 4 5 3" xfId="7440" xr:uid="{A7DDFC83-A255-4359-80AB-2B315A4AE396}"/>
    <cellStyle name="20% - Accent5 4 6" xfId="3551" xr:uid="{A1A43FE0-C9D7-4438-AE83-100246A6A2A5}"/>
    <cellStyle name="20% - Accent5 4 6 2" xfId="7853" xr:uid="{82F9235B-4920-44D0-BE74-F0D5A484C2B7}"/>
    <cellStyle name="20% - Accent5 4 7" xfId="5787" xr:uid="{CA7F3A69-45C5-454C-A824-63EC40F2940C}"/>
    <cellStyle name="20% - Accent5 4 8" xfId="1483" xr:uid="{3D479140-7BF2-403A-9C88-CF0473E43750}"/>
    <cellStyle name="20% - Accent5 5" xfId="610" xr:uid="{00000000-0005-0000-0000-00004F000000}"/>
    <cellStyle name="20% - Accent5 5 2" xfId="4121" xr:uid="{CB18E513-2D8D-405F-805F-D14AF1BA1B0B}"/>
    <cellStyle name="20% - Accent5 5 2 2" xfId="8339" xr:uid="{AFF2CB4A-FEED-481E-9687-8B4B98937A25}"/>
    <cellStyle name="20% - Accent5 5 3" xfId="6194" xr:uid="{237DC989-BF02-49E3-9733-112AD599F231}"/>
    <cellStyle name="20% - Accent5 5 4" xfId="1890" xr:uid="{504F2D70-D697-4F3A-8B37-681E772D322B}"/>
    <cellStyle name="20% - Accent5 6" xfId="1063" xr:uid="{684DFE4B-AFB9-4F95-9D32-6B74B10D0C3F}"/>
    <cellStyle name="20% - Accent5 6 2" xfId="4534" xr:uid="{2D8D08E6-B116-40CA-87A1-4B550C215FD7}"/>
    <cellStyle name="20% - Accent5 6 2 2" xfId="8752" xr:uid="{284E1E16-4040-4BD1-9EEC-4D49C341AEBD}"/>
    <cellStyle name="20% - Accent5 6 3" xfId="6607" xr:uid="{03EE6783-7D9E-470D-AD86-20041D28A61D}"/>
    <cellStyle name="20% - Accent5 6 4" xfId="2305" xr:uid="{4F6DF4EC-710F-42BB-8EA1-CCC95FB9B6CE}"/>
    <cellStyle name="20% - Accent5 7" xfId="2718" xr:uid="{0C40A78A-84F1-4AD3-9D00-6D06BB3DD3CE}"/>
    <cellStyle name="20% - Accent5 7 2" xfId="4947" xr:uid="{FA684FCD-2F6D-4871-8936-7D5E68CD8E3B}"/>
    <cellStyle name="20% - Accent5 7 2 2" xfId="9165" xr:uid="{76AB0B18-B731-4D3E-8E37-8A236E1443DE}"/>
    <cellStyle name="20% - Accent5 7 3" xfId="7020" xr:uid="{237A9887-A459-4304-9CD8-C07CE6D7CB5B}"/>
    <cellStyle name="20% - Accent5 8" xfId="3131" xr:uid="{C5D7B0AB-0211-40E1-A444-A6699E42EC43}"/>
    <cellStyle name="20% - Accent5 8 2" xfId="5360" xr:uid="{BA4B8979-96B2-44A3-963C-7DB58469F97B}"/>
    <cellStyle name="20% - Accent5 8 2 2" xfId="9578" xr:uid="{7710E2FD-FC0B-4054-B654-BE4DDD90EBD0}"/>
    <cellStyle name="20% - Accent5 8 3" xfId="7433" xr:uid="{2096A1E0-57D0-4541-8F6E-3D8507178AD9}"/>
    <cellStyle name="20% - Accent5 9" xfId="3544" xr:uid="{6BA199A9-E54C-4089-A31F-3852E27D2C2B}"/>
    <cellStyle name="20% - Accent5 9 2" xfId="7846" xr:uid="{70D70F23-1C3C-4B2C-A284-1D29C2C9482D}"/>
    <cellStyle name="20% - Accent6" xfId="41" builtinId="50" customBuiltin="1"/>
    <cellStyle name="20% - Accent6 10" xfId="5788" xr:uid="{E3B2C7A3-E2D1-4BAB-B827-96F42138A3B9}"/>
    <cellStyle name="20% - Accent6 11" xfId="1484" xr:uid="{B89BD195-287E-4356-8982-E0D441DA690C}"/>
    <cellStyle name="20% - Accent6 2" xfId="42" xr:uid="{00000000-0005-0000-0000-000051000000}"/>
    <cellStyle name="20% - Accent6 2 10" xfId="1485" xr:uid="{4CA0E794-6A33-43F1-9C9A-A4145A99BEE9}"/>
    <cellStyle name="20% - Accent6 2 2" xfId="43" xr:uid="{00000000-0005-0000-0000-000052000000}"/>
    <cellStyle name="20% - Accent6 2 2 2" xfId="44" xr:uid="{00000000-0005-0000-0000-000053000000}"/>
    <cellStyle name="20% - Accent6 2 2 2 2" xfId="621" xr:uid="{00000000-0005-0000-0000-000054000000}"/>
    <cellStyle name="20% - Accent6 2 2 2 2 2" xfId="4132" xr:uid="{034C5FC8-84B3-46FC-9FD2-4D54DD780050}"/>
    <cellStyle name="20% - Accent6 2 2 2 2 2 2" xfId="8350" xr:uid="{0D061D77-9D35-4136-B4F4-EB313BDC157C}"/>
    <cellStyle name="20% - Accent6 2 2 2 2 3" xfId="6205" xr:uid="{F61BE95F-EED2-4832-8DD3-644514539FF0}"/>
    <cellStyle name="20% - Accent6 2 2 2 2 4" xfId="1901" xr:uid="{082858FE-D26F-4190-8A55-7998C9072B40}"/>
    <cellStyle name="20% - Accent6 2 2 2 3" xfId="1074" xr:uid="{B972808D-4D8D-418D-94E8-E0B98650082E}"/>
    <cellStyle name="20% - Accent6 2 2 2 3 2" xfId="4545" xr:uid="{DB5744EB-B7EF-4566-80B3-F5DC3A624730}"/>
    <cellStyle name="20% - Accent6 2 2 2 3 2 2" xfId="8763" xr:uid="{92D87085-4738-4C05-9DA8-B36BA4F72B2D}"/>
    <cellStyle name="20% - Accent6 2 2 2 3 3" xfId="6618" xr:uid="{E1D56B5C-2410-4A53-8CAF-1D610DC72C00}"/>
    <cellStyle name="20% - Accent6 2 2 2 3 4" xfId="2316" xr:uid="{5979F572-C734-41FD-943C-34BB00A4D0C4}"/>
    <cellStyle name="20% - Accent6 2 2 2 4" xfId="2729" xr:uid="{61C8D64C-0613-404E-BF4C-DEC55E5DA471}"/>
    <cellStyle name="20% - Accent6 2 2 2 4 2" xfId="4958" xr:uid="{7E36C05F-8465-41BD-A63A-12AB4FB98F2D}"/>
    <cellStyle name="20% - Accent6 2 2 2 4 2 2" xfId="9176" xr:uid="{FD346E00-F4C9-4311-954B-C68AB7F64931}"/>
    <cellStyle name="20% - Accent6 2 2 2 4 3" xfId="7031" xr:uid="{04A82E19-7544-454D-9B02-AE915F913C1E}"/>
    <cellStyle name="20% - Accent6 2 2 2 5" xfId="3142" xr:uid="{600D848D-271C-4272-934D-E0A076AE1AAF}"/>
    <cellStyle name="20% - Accent6 2 2 2 5 2" xfId="5371" xr:uid="{BF61E1E2-0520-443F-888E-56210C7C8404}"/>
    <cellStyle name="20% - Accent6 2 2 2 5 2 2" xfId="9589" xr:uid="{637AB9E1-5901-4C84-A54E-650FCFF1270C}"/>
    <cellStyle name="20% - Accent6 2 2 2 5 3" xfId="7444" xr:uid="{59FFFBB1-B752-4CE3-8709-BE6047A2DCA3}"/>
    <cellStyle name="20% - Accent6 2 2 2 6" xfId="3555" xr:uid="{B69046BC-AA41-4957-A547-CD0D9653166F}"/>
    <cellStyle name="20% - Accent6 2 2 2 6 2" xfId="7857" xr:uid="{0C3AC5E0-9DBE-465E-BD8A-007D00231384}"/>
    <cellStyle name="20% - Accent6 2 2 2 7" xfId="5791" xr:uid="{FEB9051A-C237-42D2-9EF8-4DB3B9EDAF8D}"/>
    <cellStyle name="20% - Accent6 2 2 2 8" xfId="1487" xr:uid="{79E81EFC-C3C5-460E-AEF9-730163271013}"/>
    <cellStyle name="20% - Accent6 2 2 3" xfId="620" xr:uid="{00000000-0005-0000-0000-000055000000}"/>
    <cellStyle name="20% - Accent6 2 2 3 2" xfId="4131" xr:uid="{265E4292-940F-4F71-8DE4-D51F2C391CD3}"/>
    <cellStyle name="20% - Accent6 2 2 3 2 2" xfId="8349" xr:uid="{0CB27344-B1F3-4978-A11C-F5A2E47D52E6}"/>
    <cellStyle name="20% - Accent6 2 2 3 3" xfId="6204" xr:uid="{3936308F-86E4-4787-ADDC-0391C315A69E}"/>
    <cellStyle name="20% - Accent6 2 2 3 4" xfId="1900" xr:uid="{D90C8547-2986-4742-9429-7FCA80AE5920}"/>
    <cellStyle name="20% - Accent6 2 2 4" xfId="1073" xr:uid="{0596F4F4-FDC7-4480-A56D-DB0516DC1F51}"/>
    <cellStyle name="20% - Accent6 2 2 4 2" xfId="4544" xr:uid="{550B1CE8-A4E5-4799-9FAA-C80D649216BA}"/>
    <cellStyle name="20% - Accent6 2 2 4 2 2" xfId="8762" xr:uid="{CA4E2516-C286-49DF-988E-9B11550EC2BA}"/>
    <cellStyle name="20% - Accent6 2 2 4 3" xfId="6617" xr:uid="{39CC69FF-02F9-490B-84CF-F0DA1C495BF2}"/>
    <cellStyle name="20% - Accent6 2 2 4 4" xfId="2315" xr:uid="{3CB18A8F-2754-4AD1-BB91-DB49A64E7FE4}"/>
    <cellStyle name="20% - Accent6 2 2 5" xfId="2728" xr:uid="{0ADCD536-A11E-4A3D-8F5C-B3973DAE1E72}"/>
    <cellStyle name="20% - Accent6 2 2 5 2" xfId="4957" xr:uid="{0F30AD01-3BC6-43DF-B71C-FE2373C52A9E}"/>
    <cellStyle name="20% - Accent6 2 2 5 2 2" xfId="9175" xr:uid="{07E6C479-5CF0-4781-B711-043CE49358E1}"/>
    <cellStyle name="20% - Accent6 2 2 5 3" xfId="7030" xr:uid="{271D5837-CDE5-45E1-A752-D7136DDD9833}"/>
    <cellStyle name="20% - Accent6 2 2 6" xfId="3141" xr:uid="{6A60D991-7F56-49C8-AE81-D4E427F24B89}"/>
    <cellStyle name="20% - Accent6 2 2 6 2" xfId="5370" xr:uid="{9BA4DB92-EBDA-4351-B9AF-2D5308804A49}"/>
    <cellStyle name="20% - Accent6 2 2 6 2 2" xfId="9588" xr:uid="{8BAD48F5-A39C-4E8B-8544-8E233349A825}"/>
    <cellStyle name="20% - Accent6 2 2 6 3" xfId="7443" xr:uid="{BA122A78-A917-4FD8-89F8-AA95EEFFE572}"/>
    <cellStyle name="20% - Accent6 2 2 7" xfId="3554" xr:uid="{473D9F23-F3E0-468C-A68F-768B41971E17}"/>
    <cellStyle name="20% - Accent6 2 2 7 2" xfId="7856" xr:uid="{F0945F27-A9E6-4E60-BE2C-F10613839846}"/>
    <cellStyle name="20% - Accent6 2 2 8" xfId="5790" xr:uid="{720A2596-23D4-490A-B7CB-212EADBB13EE}"/>
    <cellStyle name="20% - Accent6 2 2 9" xfId="1486" xr:uid="{987A574C-16DF-4578-B2B7-BD4FA864A014}"/>
    <cellStyle name="20% - Accent6 2 3" xfId="45" xr:uid="{00000000-0005-0000-0000-000056000000}"/>
    <cellStyle name="20% - Accent6 2 3 2" xfId="622" xr:uid="{00000000-0005-0000-0000-000057000000}"/>
    <cellStyle name="20% - Accent6 2 3 2 2" xfId="4133" xr:uid="{23FD27FB-C010-4B08-9A5A-681E3E19FB8A}"/>
    <cellStyle name="20% - Accent6 2 3 2 2 2" xfId="8351" xr:uid="{270C2684-AB51-44B7-B355-795E432008C8}"/>
    <cellStyle name="20% - Accent6 2 3 2 3" xfId="6206" xr:uid="{5D5167B7-B247-463A-AC70-A2DD63A8ABE4}"/>
    <cellStyle name="20% - Accent6 2 3 2 4" xfId="1902" xr:uid="{43212169-98F7-4E65-9AEB-83405B9BFD0A}"/>
    <cellStyle name="20% - Accent6 2 3 3" xfId="1075" xr:uid="{157E8DC5-5455-49A2-A6DC-BF414C8BAD27}"/>
    <cellStyle name="20% - Accent6 2 3 3 2" xfId="4546" xr:uid="{690E889C-1982-44FF-A2F9-1D35748F7FD0}"/>
    <cellStyle name="20% - Accent6 2 3 3 2 2" xfId="8764" xr:uid="{D99F82DD-63CA-4DA3-AB4C-B6E7F0EB1189}"/>
    <cellStyle name="20% - Accent6 2 3 3 3" xfId="6619" xr:uid="{6D1B270C-D590-4BD9-A63A-DEDDD34AF590}"/>
    <cellStyle name="20% - Accent6 2 3 3 4" xfId="2317" xr:uid="{9A1A597D-9462-4D10-BA4C-B98AEB465C7F}"/>
    <cellStyle name="20% - Accent6 2 3 4" xfId="2730" xr:uid="{26B9E20E-8A42-4E0C-AC8E-8419AE854533}"/>
    <cellStyle name="20% - Accent6 2 3 4 2" xfId="4959" xr:uid="{2B52A52D-DAF3-4AEC-AD2A-8674BC93F0CE}"/>
    <cellStyle name="20% - Accent6 2 3 4 2 2" xfId="9177" xr:uid="{771CBDD5-7184-43E1-9727-0BE020A5BA63}"/>
    <cellStyle name="20% - Accent6 2 3 4 3" xfId="7032" xr:uid="{79FF153E-84D4-4FF5-A97F-A7AD3308F22A}"/>
    <cellStyle name="20% - Accent6 2 3 5" xfId="3143" xr:uid="{E2E20B34-401D-4448-AC8D-0E4A062F4061}"/>
    <cellStyle name="20% - Accent6 2 3 5 2" xfId="5372" xr:uid="{887F2868-C918-49C8-9ED8-7BDCF659C362}"/>
    <cellStyle name="20% - Accent6 2 3 5 2 2" xfId="9590" xr:uid="{48DC0A7F-5364-4F7A-8C18-CE255A64F22F}"/>
    <cellStyle name="20% - Accent6 2 3 5 3" xfId="7445" xr:uid="{B86D728A-0B9A-42C9-9A06-5324D69231A0}"/>
    <cellStyle name="20% - Accent6 2 3 6" xfId="3556" xr:uid="{1D4F863C-BD58-4E29-85BE-67BB8C011908}"/>
    <cellStyle name="20% - Accent6 2 3 6 2" xfId="7858" xr:uid="{AD13CEFB-0D6E-4216-824F-58DE5AEDC336}"/>
    <cellStyle name="20% - Accent6 2 3 7" xfId="5792" xr:uid="{ED56FAD9-1D79-4C46-A989-3EC4B85E4CC1}"/>
    <cellStyle name="20% - Accent6 2 3 8" xfId="1488" xr:uid="{ACD5DCD4-B98E-4FB9-8887-8D9F2B8BC5FF}"/>
    <cellStyle name="20% - Accent6 2 4" xfId="619" xr:uid="{00000000-0005-0000-0000-000058000000}"/>
    <cellStyle name="20% - Accent6 2 4 2" xfId="4130" xr:uid="{9123466C-2FD4-4CA4-82F0-0BA82388478A}"/>
    <cellStyle name="20% - Accent6 2 4 2 2" xfId="8348" xr:uid="{BF7D3259-3FDE-46DF-A28F-D644F3FDC745}"/>
    <cellStyle name="20% - Accent6 2 4 3" xfId="6203" xr:uid="{8C728E91-1694-4002-9414-A9C55A158E20}"/>
    <cellStyle name="20% - Accent6 2 4 4" xfId="1899" xr:uid="{F38AFDE4-8D1D-4E1B-99A5-E618CE29D25A}"/>
    <cellStyle name="20% - Accent6 2 5" xfId="1072" xr:uid="{B7834DEE-7A51-4386-82F6-C08B07A949B0}"/>
    <cellStyle name="20% - Accent6 2 5 2" xfId="4543" xr:uid="{66F0D6B2-6E98-4CAA-AF5F-FEEC4B2C7AE4}"/>
    <cellStyle name="20% - Accent6 2 5 2 2" xfId="8761" xr:uid="{A308FCA8-E09D-41A6-99D9-BD837631B77E}"/>
    <cellStyle name="20% - Accent6 2 5 3" xfId="6616" xr:uid="{3AD0BB21-F486-47AF-AC16-79C04F8BCA47}"/>
    <cellStyle name="20% - Accent6 2 5 4" xfId="2314" xr:uid="{3DC55706-A1D8-475A-B17F-94128A9B5E79}"/>
    <cellStyle name="20% - Accent6 2 6" xfId="2727" xr:uid="{C9B5C99F-AB18-4639-B055-D604925D8870}"/>
    <cellStyle name="20% - Accent6 2 6 2" xfId="4956" xr:uid="{3C035D16-4AD4-466B-8C57-8184BC6D88E2}"/>
    <cellStyle name="20% - Accent6 2 6 2 2" xfId="9174" xr:uid="{EC6495D0-A05E-4244-97D8-A983E417FA98}"/>
    <cellStyle name="20% - Accent6 2 6 3" xfId="7029" xr:uid="{4A85E615-17B2-471C-955B-F1A8425E1A84}"/>
    <cellStyle name="20% - Accent6 2 7" xfId="3140" xr:uid="{D3C2F4C9-7F06-4C34-934D-2F8AECF342F9}"/>
    <cellStyle name="20% - Accent6 2 7 2" xfId="5369" xr:uid="{299EFF4E-EE1F-4E79-9EDD-ED632FEE6F3C}"/>
    <cellStyle name="20% - Accent6 2 7 2 2" xfId="9587" xr:uid="{935A2B16-14C3-401E-8E87-C79C3FBC59A2}"/>
    <cellStyle name="20% - Accent6 2 7 3" xfId="7442" xr:uid="{6CECBEF5-E080-41A0-9AD5-9DFDC66D3E22}"/>
    <cellStyle name="20% - Accent6 2 8" xfId="3553" xr:uid="{9188E69A-6858-492B-9896-59E6347D0EA1}"/>
    <cellStyle name="20% - Accent6 2 8 2" xfId="7855" xr:uid="{0706CD60-FDDD-4B2A-A142-BC37C17ECD32}"/>
    <cellStyle name="20% - Accent6 2 9" xfId="5789" xr:uid="{57DA15ED-9837-4DF2-B5C2-D5EBF48AA0F5}"/>
    <cellStyle name="20% - Accent6 3" xfId="46" xr:uid="{00000000-0005-0000-0000-000059000000}"/>
    <cellStyle name="20% - Accent6 3 2" xfId="47" xr:uid="{00000000-0005-0000-0000-00005A000000}"/>
    <cellStyle name="20% - Accent6 3 2 2" xfId="624" xr:uid="{00000000-0005-0000-0000-00005B000000}"/>
    <cellStyle name="20% - Accent6 3 2 2 2" xfId="4135" xr:uid="{ADF9CC07-6024-4FAD-B63F-D3F4B89E5EC1}"/>
    <cellStyle name="20% - Accent6 3 2 2 2 2" xfId="8353" xr:uid="{1C3C700B-AD30-4808-B6A4-6107F352E22C}"/>
    <cellStyle name="20% - Accent6 3 2 2 3" xfId="6208" xr:uid="{8E025589-9823-4A9C-92BF-F0F2DA3D1BF2}"/>
    <cellStyle name="20% - Accent6 3 2 2 4" xfId="1904" xr:uid="{E95CDAF8-1DF0-41C1-B13C-958111AA8E9F}"/>
    <cellStyle name="20% - Accent6 3 2 3" xfId="1077" xr:uid="{7A000CE0-E08A-4160-A500-8749799FF671}"/>
    <cellStyle name="20% - Accent6 3 2 3 2" xfId="4548" xr:uid="{31E7086A-29DA-4E3F-A0A7-A9111A35ED6D}"/>
    <cellStyle name="20% - Accent6 3 2 3 2 2" xfId="8766" xr:uid="{B529A339-1613-411C-943D-B00ED19E75FB}"/>
    <cellStyle name="20% - Accent6 3 2 3 3" xfId="6621" xr:uid="{95813F17-0A57-4BC6-97E4-52321C6FAE9C}"/>
    <cellStyle name="20% - Accent6 3 2 3 4" xfId="2319" xr:uid="{3B89CCB8-2E29-478A-BB5E-73CA489B2F2C}"/>
    <cellStyle name="20% - Accent6 3 2 4" xfId="2732" xr:uid="{CE5C5227-DD05-4855-94C5-EE682B0F371E}"/>
    <cellStyle name="20% - Accent6 3 2 4 2" xfId="4961" xr:uid="{6CEEA774-3F40-4B1D-842B-3D47AFE66AE2}"/>
    <cellStyle name="20% - Accent6 3 2 4 2 2" xfId="9179" xr:uid="{905642D7-13D3-4711-AEAE-586DBFB5D005}"/>
    <cellStyle name="20% - Accent6 3 2 4 3" xfId="7034" xr:uid="{73031A5E-8685-4800-8D08-771E90AA137B}"/>
    <cellStyle name="20% - Accent6 3 2 5" xfId="3145" xr:uid="{C72C4B9D-B7F7-42BA-B417-266F635E72D3}"/>
    <cellStyle name="20% - Accent6 3 2 5 2" xfId="5374" xr:uid="{6BB51DA8-1399-45DB-A1CF-D9F2045AD0C7}"/>
    <cellStyle name="20% - Accent6 3 2 5 2 2" xfId="9592" xr:uid="{875F7739-3D98-46A7-9F4B-127490ED9813}"/>
    <cellStyle name="20% - Accent6 3 2 5 3" xfId="7447" xr:uid="{90CF975D-BF1A-48CF-843C-FC1E44A69208}"/>
    <cellStyle name="20% - Accent6 3 2 6" xfId="3558" xr:uid="{07EFD6C4-70A0-4220-8C98-196A19DB839A}"/>
    <cellStyle name="20% - Accent6 3 2 6 2" xfId="7860" xr:uid="{62A13CA6-B617-433C-A081-7A45B2A4918E}"/>
    <cellStyle name="20% - Accent6 3 2 7" xfId="5794" xr:uid="{543284DE-0E8B-444A-B7BE-85B6B82E6A63}"/>
    <cellStyle name="20% - Accent6 3 2 8" xfId="1490" xr:uid="{8AE5C754-EC07-4689-81FF-69441CE7F7C6}"/>
    <cellStyle name="20% - Accent6 3 3" xfId="623" xr:uid="{00000000-0005-0000-0000-00005C000000}"/>
    <cellStyle name="20% - Accent6 3 3 2" xfId="4134" xr:uid="{E7418BF5-881D-499D-944D-11B5F6AF30DB}"/>
    <cellStyle name="20% - Accent6 3 3 2 2" xfId="8352" xr:uid="{90F5DF32-9737-44D3-8D47-7B00AA9F3565}"/>
    <cellStyle name="20% - Accent6 3 3 3" xfId="6207" xr:uid="{4B5015F0-4DB9-4070-B673-3E82AECB230E}"/>
    <cellStyle name="20% - Accent6 3 3 4" xfId="1903" xr:uid="{78A97E74-6F25-4B4A-8DB4-B4A059CCBF00}"/>
    <cellStyle name="20% - Accent6 3 4" xfId="1076" xr:uid="{B55DFC11-3D52-4D4D-A513-55B460495B6A}"/>
    <cellStyle name="20% - Accent6 3 4 2" xfId="4547" xr:uid="{BC9AF6A3-ABD0-442E-A7AE-574FD24A244A}"/>
    <cellStyle name="20% - Accent6 3 4 2 2" xfId="8765" xr:uid="{70F62521-85E0-4FAD-95FE-D12B7E0AF5EC}"/>
    <cellStyle name="20% - Accent6 3 4 3" xfId="6620" xr:uid="{98FB9EB3-0270-476C-8BBB-39D918C4F7BA}"/>
    <cellStyle name="20% - Accent6 3 4 4" xfId="2318" xr:uid="{9C48BACC-430C-401E-935B-FB73BA39811F}"/>
    <cellStyle name="20% - Accent6 3 5" xfId="2731" xr:uid="{36740033-303C-4E20-A612-9CCE1237C391}"/>
    <cellStyle name="20% - Accent6 3 5 2" xfId="4960" xr:uid="{60CD6459-D190-4836-AE78-7C35EDC0ED59}"/>
    <cellStyle name="20% - Accent6 3 5 2 2" xfId="9178" xr:uid="{74C7E032-86AE-44A9-A0FD-784D178CD5B7}"/>
    <cellStyle name="20% - Accent6 3 5 3" xfId="7033" xr:uid="{D9EC9147-69FA-4312-8594-185A08F51F81}"/>
    <cellStyle name="20% - Accent6 3 6" xfId="3144" xr:uid="{3F4AE710-ED4E-423D-8537-59A70AB371EC}"/>
    <cellStyle name="20% - Accent6 3 6 2" xfId="5373" xr:uid="{D1140FBF-74E8-4468-8A93-C3C1046F2CA2}"/>
    <cellStyle name="20% - Accent6 3 6 2 2" xfId="9591" xr:uid="{7A239662-8D0A-4FCE-9A96-05A24E20BBCC}"/>
    <cellStyle name="20% - Accent6 3 6 3" xfId="7446" xr:uid="{E2E62AEB-4412-4EAE-ABEC-749E8505F81E}"/>
    <cellStyle name="20% - Accent6 3 7" xfId="3557" xr:uid="{DD6DE7BF-582C-4AAD-9966-CD2FAFAEB7F2}"/>
    <cellStyle name="20% - Accent6 3 7 2" xfId="7859" xr:uid="{0B219E83-3825-49F7-9392-C13C1A100008}"/>
    <cellStyle name="20% - Accent6 3 8" xfId="5793" xr:uid="{194EADD1-A051-4802-9D7B-641099FF2AF3}"/>
    <cellStyle name="20% - Accent6 3 9" xfId="1489" xr:uid="{74940A1F-9AEF-444A-9F23-A055873D2992}"/>
    <cellStyle name="20% - Accent6 4" xfId="48" xr:uid="{00000000-0005-0000-0000-00005D000000}"/>
    <cellStyle name="20% - Accent6 4 2" xfId="625" xr:uid="{00000000-0005-0000-0000-00005E000000}"/>
    <cellStyle name="20% - Accent6 4 2 2" xfId="4136" xr:uid="{860AC898-ED71-4D39-9AAB-DD2B81A604CA}"/>
    <cellStyle name="20% - Accent6 4 2 2 2" xfId="8354" xr:uid="{60C78EF5-CABA-473F-9ED9-EA8881246235}"/>
    <cellStyle name="20% - Accent6 4 2 3" xfId="6209" xr:uid="{530509D8-BB12-4F33-BF42-3AE77ABEB649}"/>
    <cellStyle name="20% - Accent6 4 2 4" xfId="1905" xr:uid="{2BDD6DFC-3636-4542-80A3-70174BE0A848}"/>
    <cellStyle name="20% - Accent6 4 3" xfId="1078" xr:uid="{078602EE-FADE-466B-B4A1-31DFD6ED71D9}"/>
    <cellStyle name="20% - Accent6 4 3 2" xfId="4549" xr:uid="{F2CEE8D6-C3DA-43DC-A948-5AC41B5D92EF}"/>
    <cellStyle name="20% - Accent6 4 3 2 2" xfId="8767" xr:uid="{9CBC8351-0450-4CE3-A58E-04628A4C4734}"/>
    <cellStyle name="20% - Accent6 4 3 3" xfId="6622" xr:uid="{90B56EE1-632C-4494-AE78-4307EAD26493}"/>
    <cellStyle name="20% - Accent6 4 3 4" xfId="2320" xr:uid="{CD2FDAC9-8BD0-40DE-BB0F-A3010C1F34B2}"/>
    <cellStyle name="20% - Accent6 4 4" xfId="2733" xr:uid="{5497BC44-4704-42C1-847D-75850E22B308}"/>
    <cellStyle name="20% - Accent6 4 4 2" xfId="4962" xr:uid="{D748165B-90C9-45E7-9341-79FD3C9D8F25}"/>
    <cellStyle name="20% - Accent6 4 4 2 2" xfId="9180" xr:uid="{505A6CF1-2AB6-4E3D-9614-4BC6B21D1A89}"/>
    <cellStyle name="20% - Accent6 4 4 3" xfId="7035" xr:uid="{26BB9124-8B2F-4D58-B09C-5CF6DCCE053D}"/>
    <cellStyle name="20% - Accent6 4 5" xfId="3146" xr:uid="{F8A43F85-769C-4144-9E09-D9FF393FBB1A}"/>
    <cellStyle name="20% - Accent6 4 5 2" xfId="5375" xr:uid="{8B990A75-E20B-4A69-B4B4-DBBABFCAD365}"/>
    <cellStyle name="20% - Accent6 4 5 2 2" xfId="9593" xr:uid="{098F1A95-77BF-4A4D-995F-70141FCEDDC9}"/>
    <cellStyle name="20% - Accent6 4 5 3" xfId="7448" xr:uid="{26A97618-7E6C-43C8-9661-5B166BD0C071}"/>
    <cellStyle name="20% - Accent6 4 6" xfId="3559" xr:uid="{F9793303-7F47-4311-B6E8-65597759DDF4}"/>
    <cellStyle name="20% - Accent6 4 6 2" xfId="7861" xr:uid="{3FB66FEA-6C9E-41D9-ADA9-08A1422E368E}"/>
    <cellStyle name="20% - Accent6 4 7" xfId="5795" xr:uid="{02F539B5-3313-4D63-BA6F-54A6A37B5345}"/>
    <cellStyle name="20% - Accent6 4 8" xfId="1491" xr:uid="{2CD4CAE2-4B0B-4A9B-A119-1813E182106D}"/>
    <cellStyle name="20% - Accent6 5" xfId="618" xr:uid="{00000000-0005-0000-0000-00005F000000}"/>
    <cellStyle name="20% - Accent6 5 2" xfId="4129" xr:uid="{974F60C6-AE01-44CD-9D24-1B3E3D9EBD5F}"/>
    <cellStyle name="20% - Accent6 5 2 2" xfId="8347" xr:uid="{989F08B3-EC7F-4D60-BAD8-43165DB73A05}"/>
    <cellStyle name="20% - Accent6 5 3" xfId="6202" xr:uid="{3CC2899F-95E8-4F22-8D1E-FBDF6AEA1365}"/>
    <cellStyle name="20% - Accent6 5 4" xfId="1898" xr:uid="{2C59FA15-DABD-47BB-BAC2-ECF26A2C2763}"/>
    <cellStyle name="20% - Accent6 6" xfId="1071" xr:uid="{B6393820-616A-4C4F-A93C-B132377E5C83}"/>
    <cellStyle name="20% - Accent6 6 2" xfId="4542" xr:uid="{463016EB-EBFC-4316-A94B-D0F3B08A80CE}"/>
    <cellStyle name="20% - Accent6 6 2 2" xfId="8760" xr:uid="{008B557C-A83D-4689-AD6C-3A15F49E3841}"/>
    <cellStyle name="20% - Accent6 6 3" xfId="6615" xr:uid="{199F593D-DA91-40F3-987D-67A87FD09E19}"/>
    <cellStyle name="20% - Accent6 6 4" xfId="2313" xr:uid="{A21374B8-02EC-41C1-88CF-AB00F1B97A9D}"/>
    <cellStyle name="20% - Accent6 7" xfId="2726" xr:uid="{B19CE8C2-C28E-4379-A7A0-FB377F7862DC}"/>
    <cellStyle name="20% - Accent6 7 2" xfId="4955" xr:uid="{2206CBA9-9AE8-486F-91AE-ED028853CB6F}"/>
    <cellStyle name="20% - Accent6 7 2 2" xfId="9173" xr:uid="{C98DAB41-DA3B-4A42-A612-E5A4050BD9D0}"/>
    <cellStyle name="20% - Accent6 7 3" xfId="7028" xr:uid="{196B4E74-0AEE-4759-A62A-F9E8B0ED867E}"/>
    <cellStyle name="20% - Accent6 8" xfId="3139" xr:uid="{F7BE41FD-E31C-49D5-9698-0444101C4DA3}"/>
    <cellStyle name="20% - Accent6 8 2" xfId="5368" xr:uid="{4EA7D521-BD46-440A-A18D-D1C1BCDFE92B}"/>
    <cellStyle name="20% - Accent6 8 2 2" xfId="9586" xr:uid="{B0141471-DBA7-4039-9DAF-9F9FBB8FBFBD}"/>
    <cellStyle name="20% - Accent6 8 3" xfId="7441" xr:uid="{67CD8AEA-C8A1-49CC-BAFB-0E51AEB6C337}"/>
    <cellStyle name="20% - Accent6 9" xfId="3552" xr:uid="{26E6622B-3140-4CDC-9933-606A1C9D48B6}"/>
    <cellStyle name="20% - Accent6 9 2" xfId="7854" xr:uid="{0375007B-657B-4DEF-BBFA-14A47FFDABB9}"/>
    <cellStyle name="40% - Accent1" xfId="49" builtinId="31" customBuiltin="1"/>
    <cellStyle name="40% - Accent1 10" xfId="5796" xr:uid="{C5401D43-2AAE-4272-A647-2B73C29FBF80}"/>
    <cellStyle name="40% - Accent1 11" xfId="1492" xr:uid="{9E427410-E785-40FB-BF33-2E84113004A3}"/>
    <cellStyle name="40% - Accent1 2" xfId="50" xr:uid="{00000000-0005-0000-0000-000061000000}"/>
    <cellStyle name="40% - Accent1 2 10" xfId="1493" xr:uid="{1A3F1EA9-95EB-4A29-A563-BDC05179B93A}"/>
    <cellStyle name="40% - Accent1 2 2" xfId="51" xr:uid="{00000000-0005-0000-0000-000062000000}"/>
    <cellStyle name="40% - Accent1 2 2 2" xfId="52" xr:uid="{00000000-0005-0000-0000-000063000000}"/>
    <cellStyle name="40% - Accent1 2 2 2 2" xfId="629" xr:uid="{00000000-0005-0000-0000-000064000000}"/>
    <cellStyle name="40% - Accent1 2 2 2 2 2" xfId="4140" xr:uid="{FBFC3001-2FE1-43DA-88AC-18406DCB2176}"/>
    <cellStyle name="40% - Accent1 2 2 2 2 2 2" xfId="8358" xr:uid="{95D01C25-BC60-4C06-86C3-07A10780F007}"/>
    <cellStyle name="40% - Accent1 2 2 2 2 3" xfId="6213" xr:uid="{D2403C56-A0DA-4D9E-BD3F-51B27858A5BB}"/>
    <cellStyle name="40% - Accent1 2 2 2 2 4" xfId="1909" xr:uid="{FECD60D6-D28C-4E6A-B56E-3687598CE99F}"/>
    <cellStyle name="40% - Accent1 2 2 2 3" xfId="1082" xr:uid="{84B809D1-5F64-4C73-B05D-9C3CDB0CB04D}"/>
    <cellStyle name="40% - Accent1 2 2 2 3 2" xfId="4553" xr:uid="{EA5D5401-4DC5-4728-8F1A-6C9D6A5AAEF1}"/>
    <cellStyle name="40% - Accent1 2 2 2 3 2 2" xfId="8771" xr:uid="{0489F6DB-370E-4E2C-A196-3DE73E6B18BC}"/>
    <cellStyle name="40% - Accent1 2 2 2 3 3" xfId="6626" xr:uid="{ECE5921F-448F-4B3A-88F4-1B5C3563A588}"/>
    <cellStyle name="40% - Accent1 2 2 2 3 4" xfId="2324" xr:uid="{1F21C165-265E-4451-BB72-3A8C8821A8D0}"/>
    <cellStyle name="40% - Accent1 2 2 2 4" xfId="2737" xr:uid="{494150E3-47A8-472F-BCCE-C323EA4B1AB3}"/>
    <cellStyle name="40% - Accent1 2 2 2 4 2" xfId="4966" xr:uid="{C565EC7B-DA52-4585-8D19-86E957534B06}"/>
    <cellStyle name="40% - Accent1 2 2 2 4 2 2" xfId="9184" xr:uid="{AA4E4DF7-6836-4329-8EA9-C237C249B03F}"/>
    <cellStyle name="40% - Accent1 2 2 2 4 3" xfId="7039" xr:uid="{3FCAC5BD-3446-4252-B038-55F65A191A7F}"/>
    <cellStyle name="40% - Accent1 2 2 2 5" xfId="3150" xr:uid="{E9F6FD1E-F076-45AF-AF55-88BACBEB1A7B}"/>
    <cellStyle name="40% - Accent1 2 2 2 5 2" xfId="5379" xr:uid="{9BD86061-B883-4A28-A3AD-3704A3A9C60B}"/>
    <cellStyle name="40% - Accent1 2 2 2 5 2 2" xfId="9597" xr:uid="{4DBC2940-479C-4FEE-BA36-4BAFEB561680}"/>
    <cellStyle name="40% - Accent1 2 2 2 5 3" xfId="7452" xr:uid="{35A8311F-C17D-43B1-BFAA-6BD714FCE539}"/>
    <cellStyle name="40% - Accent1 2 2 2 6" xfId="3563" xr:uid="{7CE16CF4-EFDD-43DF-8A2B-23A48651CD7B}"/>
    <cellStyle name="40% - Accent1 2 2 2 6 2" xfId="7865" xr:uid="{B0D3BE52-AC23-4B54-B109-332C400EE3AD}"/>
    <cellStyle name="40% - Accent1 2 2 2 7" xfId="5799" xr:uid="{23AF0C85-13B6-4765-B730-22F3866C7193}"/>
    <cellStyle name="40% - Accent1 2 2 2 8" xfId="1495" xr:uid="{C13FEEAF-F352-4687-A300-68FF682D5228}"/>
    <cellStyle name="40% - Accent1 2 2 3" xfId="628" xr:uid="{00000000-0005-0000-0000-000065000000}"/>
    <cellStyle name="40% - Accent1 2 2 3 2" xfId="4139" xr:uid="{E3DD0565-9CEE-4F5D-BCDC-CE40DB0E9C0C}"/>
    <cellStyle name="40% - Accent1 2 2 3 2 2" xfId="8357" xr:uid="{4A67F76C-6408-4660-BCE7-BA841BA2BC06}"/>
    <cellStyle name="40% - Accent1 2 2 3 3" xfId="6212" xr:uid="{3A50FADD-EEFB-4930-BB0B-791B1BE8A4F7}"/>
    <cellStyle name="40% - Accent1 2 2 3 4" xfId="1908" xr:uid="{F1ED6C85-9D43-4AD1-9AB2-219356967D3A}"/>
    <cellStyle name="40% - Accent1 2 2 4" xfId="1081" xr:uid="{03D3C2E2-8217-4A9D-8422-251C79320345}"/>
    <cellStyle name="40% - Accent1 2 2 4 2" xfId="4552" xr:uid="{1A327466-80BA-429D-A9BC-2CAA782F5B63}"/>
    <cellStyle name="40% - Accent1 2 2 4 2 2" xfId="8770" xr:uid="{4E9FF2BF-BB92-49B8-B7A1-F1EFFE123E72}"/>
    <cellStyle name="40% - Accent1 2 2 4 3" xfId="6625" xr:uid="{BD208B18-12FF-4332-BD74-C334E384C0AB}"/>
    <cellStyle name="40% - Accent1 2 2 4 4" xfId="2323" xr:uid="{F7BA161C-3226-4963-8DD8-CDF9CFE37131}"/>
    <cellStyle name="40% - Accent1 2 2 5" xfId="2736" xr:uid="{33935878-16A1-4158-B4A3-8AB438B423D3}"/>
    <cellStyle name="40% - Accent1 2 2 5 2" xfId="4965" xr:uid="{37ED20DC-D151-4050-9405-5364F903EA1F}"/>
    <cellStyle name="40% - Accent1 2 2 5 2 2" xfId="9183" xr:uid="{E32B2F16-F8C8-4013-B754-DCA55B0DB6FA}"/>
    <cellStyle name="40% - Accent1 2 2 5 3" xfId="7038" xr:uid="{CC6CB8F8-6313-4748-B8D8-054715C52FBB}"/>
    <cellStyle name="40% - Accent1 2 2 6" xfId="3149" xr:uid="{A560CEC0-939D-401C-97EA-5F903A2941C0}"/>
    <cellStyle name="40% - Accent1 2 2 6 2" xfId="5378" xr:uid="{4166E19C-2E43-45DF-A13A-6A478C0E8CE9}"/>
    <cellStyle name="40% - Accent1 2 2 6 2 2" xfId="9596" xr:uid="{C31F2A14-73D7-480A-B803-61AB04D22FC5}"/>
    <cellStyle name="40% - Accent1 2 2 6 3" xfId="7451" xr:uid="{E432E484-954D-4CEC-B330-E2128AD71B84}"/>
    <cellStyle name="40% - Accent1 2 2 7" xfId="3562" xr:uid="{3916D50A-8772-4F0F-B13C-BC2D386F6840}"/>
    <cellStyle name="40% - Accent1 2 2 7 2" xfId="7864" xr:uid="{8409811F-1B36-43AA-A759-9AAD187B1DC1}"/>
    <cellStyle name="40% - Accent1 2 2 8" xfId="5798" xr:uid="{F253A49B-1785-416A-87A8-239077FA4E7D}"/>
    <cellStyle name="40% - Accent1 2 2 9" xfId="1494" xr:uid="{7AB3C245-292F-4F94-A654-80625DA06150}"/>
    <cellStyle name="40% - Accent1 2 3" xfId="53" xr:uid="{00000000-0005-0000-0000-000066000000}"/>
    <cellStyle name="40% - Accent1 2 3 2" xfId="630" xr:uid="{00000000-0005-0000-0000-000067000000}"/>
    <cellStyle name="40% - Accent1 2 3 2 2" xfId="4141" xr:uid="{8B8CEE60-6AB2-4334-97B5-3127889262AB}"/>
    <cellStyle name="40% - Accent1 2 3 2 2 2" xfId="8359" xr:uid="{ADEB291F-DA76-4B14-8C34-98F235427318}"/>
    <cellStyle name="40% - Accent1 2 3 2 3" xfId="6214" xr:uid="{79A8431D-6BE9-46F8-AE7E-A6D89F928D54}"/>
    <cellStyle name="40% - Accent1 2 3 2 4" xfId="1910" xr:uid="{9DAB1B9C-5B4D-4CF2-AF4A-956CAC4DF429}"/>
    <cellStyle name="40% - Accent1 2 3 3" xfId="1083" xr:uid="{5613A32A-0F1B-4CB1-9D68-051C941D780C}"/>
    <cellStyle name="40% - Accent1 2 3 3 2" xfId="4554" xr:uid="{769D022D-01B5-45BC-A13B-9DE570AE25FA}"/>
    <cellStyle name="40% - Accent1 2 3 3 2 2" xfId="8772" xr:uid="{1F84D482-45F8-413E-9A32-6C9B2AE53187}"/>
    <cellStyle name="40% - Accent1 2 3 3 3" xfId="6627" xr:uid="{E5849A16-5ECB-4B59-A34A-07616F727274}"/>
    <cellStyle name="40% - Accent1 2 3 3 4" xfId="2325" xr:uid="{F9511B16-C364-482F-B8B5-DBE50A8B7C80}"/>
    <cellStyle name="40% - Accent1 2 3 4" xfId="2738" xr:uid="{168B631B-38B1-4DB4-8CF2-6034FEB7483F}"/>
    <cellStyle name="40% - Accent1 2 3 4 2" xfId="4967" xr:uid="{E823AE2E-1598-403A-95A5-888C4C376DDA}"/>
    <cellStyle name="40% - Accent1 2 3 4 2 2" xfId="9185" xr:uid="{0621DADC-A56D-4857-8C11-2ABEB64ECA0B}"/>
    <cellStyle name="40% - Accent1 2 3 4 3" xfId="7040" xr:uid="{DB79FB8E-9FDD-491D-AF2B-8D77F22BC795}"/>
    <cellStyle name="40% - Accent1 2 3 5" xfId="3151" xr:uid="{1BA64BAA-F029-4DE7-888A-6298617A37BA}"/>
    <cellStyle name="40% - Accent1 2 3 5 2" xfId="5380" xr:uid="{48879BCF-F6BA-4271-AAFF-680467AA6526}"/>
    <cellStyle name="40% - Accent1 2 3 5 2 2" xfId="9598" xr:uid="{E68AC492-5EFF-4E4D-A07A-3BED4404BEC5}"/>
    <cellStyle name="40% - Accent1 2 3 5 3" xfId="7453" xr:uid="{78E0B8CF-D9DE-403F-9A8C-E908F92127BD}"/>
    <cellStyle name="40% - Accent1 2 3 6" xfId="3564" xr:uid="{896C982D-5A7D-483A-A593-9BE6CC117800}"/>
    <cellStyle name="40% - Accent1 2 3 6 2" xfId="7866" xr:uid="{ED8E728E-AFBF-40BF-9993-4DF07E72FBF2}"/>
    <cellStyle name="40% - Accent1 2 3 7" xfId="5800" xr:uid="{29BDFB75-005A-482B-9C9D-CD932FF527F0}"/>
    <cellStyle name="40% - Accent1 2 3 8" xfId="1496" xr:uid="{D144C702-607F-441B-A5C8-283F634B5A48}"/>
    <cellStyle name="40% - Accent1 2 4" xfId="627" xr:uid="{00000000-0005-0000-0000-000068000000}"/>
    <cellStyle name="40% - Accent1 2 4 2" xfId="4138" xr:uid="{7EA67DC8-9016-47ED-AC9E-B688BA80C2A1}"/>
    <cellStyle name="40% - Accent1 2 4 2 2" xfId="8356" xr:uid="{F546B49B-EBFC-471F-950B-2E0391F547BE}"/>
    <cellStyle name="40% - Accent1 2 4 3" xfId="6211" xr:uid="{0217EB52-81A6-413A-8C71-A795BA302458}"/>
    <cellStyle name="40% - Accent1 2 4 4" xfId="1907" xr:uid="{7C873DFF-FA27-4BBF-BD55-DBFC15D909C5}"/>
    <cellStyle name="40% - Accent1 2 5" xfId="1080" xr:uid="{A8FECA72-10D6-437B-9774-48210E2D9789}"/>
    <cellStyle name="40% - Accent1 2 5 2" xfId="4551" xr:uid="{F1E9C7A3-8E50-4F63-A60E-41F3AFC9BCE2}"/>
    <cellStyle name="40% - Accent1 2 5 2 2" xfId="8769" xr:uid="{CE6E1AF6-DE06-4A04-A71E-71876386594A}"/>
    <cellStyle name="40% - Accent1 2 5 3" xfId="6624" xr:uid="{51E2E1EB-5007-4E6B-9F34-E90C57F001B9}"/>
    <cellStyle name="40% - Accent1 2 5 4" xfId="2322" xr:uid="{5ADB3F2D-E02E-4C57-8F4A-76136279D61C}"/>
    <cellStyle name="40% - Accent1 2 6" xfId="2735" xr:uid="{3AC21EFD-D6D6-481E-A5AD-1886C9DB992F}"/>
    <cellStyle name="40% - Accent1 2 6 2" xfId="4964" xr:uid="{A6BFF865-DBEA-419F-934C-B030B087AAF4}"/>
    <cellStyle name="40% - Accent1 2 6 2 2" xfId="9182" xr:uid="{F8872B16-2110-4962-AA62-BBFE5FA29CCA}"/>
    <cellStyle name="40% - Accent1 2 6 3" xfId="7037" xr:uid="{A195D8C5-3B2F-40EF-B95D-BA65EA0EAD75}"/>
    <cellStyle name="40% - Accent1 2 7" xfId="3148" xr:uid="{6DEF5ABD-5120-4DB4-BDA9-165BB7297B37}"/>
    <cellStyle name="40% - Accent1 2 7 2" xfId="5377" xr:uid="{9DD84BC1-E5B7-43E4-A624-169ABB4A7A10}"/>
    <cellStyle name="40% - Accent1 2 7 2 2" xfId="9595" xr:uid="{6850C773-85C4-41C5-A193-84B363C61258}"/>
    <cellStyle name="40% - Accent1 2 7 3" xfId="7450" xr:uid="{368CD669-0F54-4CD1-9EB2-37829087CC48}"/>
    <cellStyle name="40% - Accent1 2 8" xfId="3561" xr:uid="{95A888BE-0950-4CDC-9E91-50F62B095123}"/>
    <cellStyle name="40% - Accent1 2 8 2" xfId="7863" xr:uid="{A4A9604E-0CC0-4444-9C56-DF629DA792D9}"/>
    <cellStyle name="40% - Accent1 2 9" xfId="5797" xr:uid="{1288238C-50BC-43D1-A33C-7354817085F5}"/>
    <cellStyle name="40% - Accent1 3" xfId="54" xr:uid="{00000000-0005-0000-0000-000069000000}"/>
    <cellStyle name="40% - Accent1 3 2" xfId="55" xr:uid="{00000000-0005-0000-0000-00006A000000}"/>
    <cellStyle name="40% - Accent1 3 2 2" xfId="632" xr:uid="{00000000-0005-0000-0000-00006B000000}"/>
    <cellStyle name="40% - Accent1 3 2 2 2" xfId="4143" xr:uid="{BF2A3F18-A713-4B0C-A442-B605B29F7461}"/>
    <cellStyle name="40% - Accent1 3 2 2 2 2" xfId="8361" xr:uid="{1103557A-8B2F-4230-B598-55F8A43CDB4F}"/>
    <cellStyle name="40% - Accent1 3 2 2 3" xfId="6216" xr:uid="{1B274A5C-3294-434A-9313-9F6656DD39A4}"/>
    <cellStyle name="40% - Accent1 3 2 2 4" xfId="1912" xr:uid="{7E13FBDE-1F92-4D68-98DD-02B10A80F46A}"/>
    <cellStyle name="40% - Accent1 3 2 3" xfId="1085" xr:uid="{A3A600FB-51C7-4D1B-81A8-70CEA8B693BD}"/>
    <cellStyle name="40% - Accent1 3 2 3 2" xfId="4556" xr:uid="{79FC7F7A-8665-4A88-8258-74F584C7B066}"/>
    <cellStyle name="40% - Accent1 3 2 3 2 2" xfId="8774" xr:uid="{74A7BC83-FCE6-479F-B619-8284EF8011BF}"/>
    <cellStyle name="40% - Accent1 3 2 3 3" xfId="6629" xr:uid="{6CDD548A-4151-45F1-84B1-9CDFF6DA7E50}"/>
    <cellStyle name="40% - Accent1 3 2 3 4" xfId="2327" xr:uid="{83CB857A-0CEF-4FF4-9F29-42C3D859BBA7}"/>
    <cellStyle name="40% - Accent1 3 2 4" xfId="2740" xr:uid="{D427231C-3D91-44AD-80D3-1EFA962B96AE}"/>
    <cellStyle name="40% - Accent1 3 2 4 2" xfId="4969" xr:uid="{8D743FFA-B832-4DD1-B991-9CE3752CB7A2}"/>
    <cellStyle name="40% - Accent1 3 2 4 2 2" xfId="9187" xr:uid="{80224856-458E-4F9D-B9B1-1FE35193079F}"/>
    <cellStyle name="40% - Accent1 3 2 4 3" xfId="7042" xr:uid="{6C3B85B2-BEEB-4832-9433-A4E1F17B4840}"/>
    <cellStyle name="40% - Accent1 3 2 5" xfId="3153" xr:uid="{C3D03339-3F86-44F9-87D1-0A2AD355D1C8}"/>
    <cellStyle name="40% - Accent1 3 2 5 2" xfId="5382" xr:uid="{C23C74B7-7FF2-4579-8DA3-71E4EC4EBB51}"/>
    <cellStyle name="40% - Accent1 3 2 5 2 2" xfId="9600" xr:uid="{25D8C3BA-B88B-4578-8B55-12020B13FDEB}"/>
    <cellStyle name="40% - Accent1 3 2 5 3" xfId="7455" xr:uid="{EA08ED4D-1C84-4E5E-A05D-470D762FB1F6}"/>
    <cellStyle name="40% - Accent1 3 2 6" xfId="3566" xr:uid="{3DE929CF-F78C-4293-AB26-08B3194DDDC0}"/>
    <cellStyle name="40% - Accent1 3 2 6 2" xfId="7868" xr:uid="{666A1DE5-8D89-44AD-8878-803BC9686EB3}"/>
    <cellStyle name="40% - Accent1 3 2 7" xfId="5802" xr:uid="{B1521C75-182E-4FC9-98BC-98339787D308}"/>
    <cellStyle name="40% - Accent1 3 2 8" xfId="1498" xr:uid="{D3681AFF-9B13-4E54-A358-759824686C47}"/>
    <cellStyle name="40% - Accent1 3 3" xfId="631" xr:uid="{00000000-0005-0000-0000-00006C000000}"/>
    <cellStyle name="40% - Accent1 3 3 2" xfId="4142" xr:uid="{AAE72FCB-549E-459D-98A2-F00AE65961E7}"/>
    <cellStyle name="40% - Accent1 3 3 2 2" xfId="8360" xr:uid="{0B6DE7D7-B598-446F-9994-79DD78CB3B36}"/>
    <cellStyle name="40% - Accent1 3 3 3" xfId="6215" xr:uid="{F19F9596-6BC0-41F2-AB60-03A8081A9AE8}"/>
    <cellStyle name="40% - Accent1 3 3 4" xfId="1911" xr:uid="{FAA37E37-8965-4717-B3FA-70DABC675489}"/>
    <cellStyle name="40% - Accent1 3 4" xfId="1084" xr:uid="{82F1BADE-1B02-4947-B4F7-8949BC004383}"/>
    <cellStyle name="40% - Accent1 3 4 2" xfId="4555" xr:uid="{42C54BB6-2C0F-4EB6-856F-D130B2932DA7}"/>
    <cellStyle name="40% - Accent1 3 4 2 2" xfId="8773" xr:uid="{E3F23CC5-C3F1-4FE9-A0DE-FB1A412F252C}"/>
    <cellStyle name="40% - Accent1 3 4 3" xfId="6628" xr:uid="{957C48A6-E84A-46F3-8753-F825C371B87E}"/>
    <cellStyle name="40% - Accent1 3 4 4" xfId="2326" xr:uid="{8F9D7F8F-03A8-428F-94D4-C42C3E049BC7}"/>
    <cellStyle name="40% - Accent1 3 5" xfId="2739" xr:uid="{A3636970-EFA7-44AA-B74E-07C8E54F23CC}"/>
    <cellStyle name="40% - Accent1 3 5 2" xfId="4968" xr:uid="{B22424C3-AC96-4EF7-A59F-E271C54E9980}"/>
    <cellStyle name="40% - Accent1 3 5 2 2" xfId="9186" xr:uid="{749C125D-B0EA-472F-A58E-0BFB9B6EE961}"/>
    <cellStyle name="40% - Accent1 3 5 3" xfId="7041" xr:uid="{54D2737A-3541-4CA6-8130-428053C8542A}"/>
    <cellStyle name="40% - Accent1 3 6" xfId="3152" xr:uid="{D4DDAE2F-CDCC-42F0-9386-6EBC09A7114B}"/>
    <cellStyle name="40% - Accent1 3 6 2" xfId="5381" xr:uid="{65F1C518-D3F8-479C-A619-C122D46FE231}"/>
    <cellStyle name="40% - Accent1 3 6 2 2" xfId="9599" xr:uid="{15528151-A52E-4595-8C6A-16A57CDBDCA1}"/>
    <cellStyle name="40% - Accent1 3 6 3" xfId="7454" xr:uid="{FC3CBF90-8E58-4AE7-9819-869B44211E7D}"/>
    <cellStyle name="40% - Accent1 3 7" xfId="3565" xr:uid="{18F5FF5F-0989-4023-BEBB-766CDFB87581}"/>
    <cellStyle name="40% - Accent1 3 7 2" xfId="7867" xr:uid="{4D4BD09F-428F-400C-AAB8-5ED806EA898C}"/>
    <cellStyle name="40% - Accent1 3 8" xfId="5801" xr:uid="{18B60D92-8149-4260-BE8D-47FFB34CD5A5}"/>
    <cellStyle name="40% - Accent1 3 9" xfId="1497" xr:uid="{662F1E9F-C240-406E-A691-D359CFEE180E}"/>
    <cellStyle name="40% - Accent1 4" xfId="56" xr:uid="{00000000-0005-0000-0000-00006D000000}"/>
    <cellStyle name="40% - Accent1 4 2" xfId="633" xr:uid="{00000000-0005-0000-0000-00006E000000}"/>
    <cellStyle name="40% - Accent1 4 2 2" xfId="4144" xr:uid="{2EC2A741-50BB-4391-BEB5-0BBF882C8D0B}"/>
    <cellStyle name="40% - Accent1 4 2 2 2" xfId="8362" xr:uid="{0DE8C3E2-FE86-4A77-AC56-5A63DDF113CE}"/>
    <cellStyle name="40% - Accent1 4 2 3" xfId="6217" xr:uid="{0EA32E66-2D62-425E-A7A6-40D9392DCE72}"/>
    <cellStyle name="40% - Accent1 4 2 4" xfId="1913" xr:uid="{8EC8BDF6-3071-4627-9719-F0ABDB35EDFE}"/>
    <cellStyle name="40% - Accent1 4 3" xfId="1086" xr:uid="{E4916C55-91AE-4680-ABC2-AF7BCB7C9D6B}"/>
    <cellStyle name="40% - Accent1 4 3 2" xfId="4557" xr:uid="{2F3F1769-3B15-49F5-9A8B-F41C24E6D84E}"/>
    <cellStyle name="40% - Accent1 4 3 2 2" xfId="8775" xr:uid="{1F1A4EBE-84BC-4EF5-BDCF-605B166D61E9}"/>
    <cellStyle name="40% - Accent1 4 3 3" xfId="6630" xr:uid="{520556D7-6590-418F-97C1-B0040CB34BFB}"/>
    <cellStyle name="40% - Accent1 4 3 4" xfId="2328" xr:uid="{BB3765EF-806D-4FBA-8A38-8FB9A6C3CF7A}"/>
    <cellStyle name="40% - Accent1 4 4" xfId="2741" xr:uid="{4DEED8B6-143C-4A6A-A915-6CB46E8CF9CD}"/>
    <cellStyle name="40% - Accent1 4 4 2" xfId="4970" xr:uid="{DC3D2254-F990-48B1-9692-43EF6504274C}"/>
    <cellStyle name="40% - Accent1 4 4 2 2" xfId="9188" xr:uid="{F0D9AD2E-7E98-43DC-BF47-985E6A00BBAB}"/>
    <cellStyle name="40% - Accent1 4 4 3" xfId="7043" xr:uid="{268E8649-CC2E-4C55-8821-C77CDFB8B94F}"/>
    <cellStyle name="40% - Accent1 4 5" xfId="3154" xr:uid="{5BBBADCD-234E-4879-AF8B-FC271DADE0A8}"/>
    <cellStyle name="40% - Accent1 4 5 2" xfId="5383" xr:uid="{6B1A2189-69DD-4325-96C2-BAA3A853DE06}"/>
    <cellStyle name="40% - Accent1 4 5 2 2" xfId="9601" xr:uid="{9C300A3F-578C-4E64-B4CB-6D92EB245A89}"/>
    <cellStyle name="40% - Accent1 4 5 3" xfId="7456" xr:uid="{CA2F7625-5570-40EF-8E73-CAB3DD923437}"/>
    <cellStyle name="40% - Accent1 4 6" xfId="3567" xr:uid="{B7670B1F-97A2-43E6-9EB0-7969378B5A61}"/>
    <cellStyle name="40% - Accent1 4 6 2" xfId="7869" xr:uid="{9B23A099-88ED-4E95-8D93-D3AD607489DA}"/>
    <cellStyle name="40% - Accent1 4 7" xfId="5803" xr:uid="{B04F6CB2-DA3A-4A7A-BFE2-8062115BE740}"/>
    <cellStyle name="40% - Accent1 4 8" xfId="1499" xr:uid="{B149A04B-D7C6-4764-8BFA-18392FE28FB0}"/>
    <cellStyle name="40% - Accent1 5" xfId="626" xr:uid="{00000000-0005-0000-0000-00006F000000}"/>
    <cellStyle name="40% - Accent1 5 2" xfId="4137" xr:uid="{ADCF1EB5-B2C8-4E28-B5F4-1512EAC8277F}"/>
    <cellStyle name="40% - Accent1 5 2 2" xfId="8355" xr:uid="{572722C3-AF3A-4444-92A9-716978F5F30E}"/>
    <cellStyle name="40% - Accent1 5 3" xfId="6210" xr:uid="{A43E2369-9918-411C-A078-F5A4608EDB9C}"/>
    <cellStyle name="40% - Accent1 5 4" xfId="1906" xr:uid="{0C14B358-E86F-4338-B68C-7EABA50136DE}"/>
    <cellStyle name="40% - Accent1 6" xfId="1079" xr:uid="{39844983-8951-47DF-8EEE-7DF48EBEAC85}"/>
    <cellStyle name="40% - Accent1 6 2" xfId="4550" xr:uid="{8E59ECC4-8DAF-445C-97EF-456A3BC07959}"/>
    <cellStyle name="40% - Accent1 6 2 2" xfId="8768" xr:uid="{5ACFB952-E13C-4B16-AFCD-ABC20706B5F9}"/>
    <cellStyle name="40% - Accent1 6 3" xfId="6623" xr:uid="{E4831D36-B56E-4605-98C0-D61D0CD13FCF}"/>
    <cellStyle name="40% - Accent1 6 4" xfId="2321" xr:uid="{98C31D4E-28BB-4BDC-A3BF-D4826AB13D6D}"/>
    <cellStyle name="40% - Accent1 7" xfId="2734" xr:uid="{CA146145-7D6F-4E63-B020-B2E6AD5A14C0}"/>
    <cellStyle name="40% - Accent1 7 2" xfId="4963" xr:uid="{E5DA72F9-1824-4D53-AA70-A7428CC9FA04}"/>
    <cellStyle name="40% - Accent1 7 2 2" xfId="9181" xr:uid="{87D855D5-51A6-4AC1-89D1-893731D549AC}"/>
    <cellStyle name="40% - Accent1 7 3" xfId="7036" xr:uid="{56ECD981-987D-40F4-B19E-7552FFD28C17}"/>
    <cellStyle name="40% - Accent1 8" xfId="3147" xr:uid="{F9DC55D6-3DD0-48FC-8E0B-714FB1748844}"/>
    <cellStyle name="40% - Accent1 8 2" xfId="5376" xr:uid="{8E2568C1-58FD-4355-9153-1668FE4A0A5F}"/>
    <cellStyle name="40% - Accent1 8 2 2" xfId="9594" xr:uid="{0EBF6E58-428C-4297-B9A4-223713816175}"/>
    <cellStyle name="40% - Accent1 8 3" xfId="7449" xr:uid="{5F446A8C-81CC-41E5-979A-0265346DF863}"/>
    <cellStyle name="40% - Accent1 9" xfId="3560" xr:uid="{CB55AE00-095A-4C64-98A3-EF17CC305202}"/>
    <cellStyle name="40% - Accent1 9 2" xfId="7862" xr:uid="{4B26B914-22FF-4FE5-A1B9-2F06AA18E5B5}"/>
    <cellStyle name="40% - Accent2" xfId="57" builtinId="35" customBuiltin="1"/>
    <cellStyle name="40% - Accent2 10" xfId="5804" xr:uid="{5725535C-D6D0-407A-8338-5AA64C4914E3}"/>
    <cellStyle name="40% - Accent2 11" xfId="1500" xr:uid="{C3ECEE7A-49FA-4ED9-B84E-026BDDC4DA8D}"/>
    <cellStyle name="40% - Accent2 2" xfId="58" xr:uid="{00000000-0005-0000-0000-000071000000}"/>
    <cellStyle name="40% - Accent2 2 10" xfId="1501" xr:uid="{21671015-E554-48E4-88FA-748F009F2166}"/>
    <cellStyle name="40% - Accent2 2 2" xfId="59" xr:uid="{00000000-0005-0000-0000-000072000000}"/>
    <cellStyle name="40% - Accent2 2 2 2" xfId="60" xr:uid="{00000000-0005-0000-0000-000073000000}"/>
    <cellStyle name="40% - Accent2 2 2 2 2" xfId="637" xr:uid="{00000000-0005-0000-0000-000074000000}"/>
    <cellStyle name="40% - Accent2 2 2 2 2 2" xfId="4148" xr:uid="{D3D296DE-1A4F-48E0-BF8E-38611F096A37}"/>
    <cellStyle name="40% - Accent2 2 2 2 2 2 2" xfId="8366" xr:uid="{04568549-9EEF-4B74-A923-F687E5BFEE42}"/>
    <cellStyle name="40% - Accent2 2 2 2 2 3" xfId="6221" xr:uid="{6174FE88-45A3-4662-83CA-96019893EFC1}"/>
    <cellStyle name="40% - Accent2 2 2 2 2 4" xfId="1917" xr:uid="{AD8A4AD0-A63B-480F-B1C9-657C53DB65F4}"/>
    <cellStyle name="40% - Accent2 2 2 2 3" xfId="1090" xr:uid="{049FB933-B89C-4568-81A7-B50E92AFAA68}"/>
    <cellStyle name="40% - Accent2 2 2 2 3 2" xfId="4561" xr:uid="{8223F6EA-2C37-4A48-8B92-8C2666D7430D}"/>
    <cellStyle name="40% - Accent2 2 2 2 3 2 2" xfId="8779" xr:uid="{D0EA7323-1F73-4BC1-985A-F539B545BC53}"/>
    <cellStyle name="40% - Accent2 2 2 2 3 3" xfId="6634" xr:uid="{7B6CED49-40B1-43A3-9F7D-AE2367792146}"/>
    <cellStyle name="40% - Accent2 2 2 2 3 4" xfId="2332" xr:uid="{B698AD5D-9A3D-453A-9933-7BF4895F26C2}"/>
    <cellStyle name="40% - Accent2 2 2 2 4" xfId="2745" xr:uid="{6D3E9027-5237-474E-8CF9-068FAFE417C1}"/>
    <cellStyle name="40% - Accent2 2 2 2 4 2" xfId="4974" xr:uid="{F876C180-6938-4388-B546-0A02B0F11F71}"/>
    <cellStyle name="40% - Accent2 2 2 2 4 2 2" xfId="9192" xr:uid="{3DE904E7-4545-4439-9AF8-D7656F5C6F9E}"/>
    <cellStyle name="40% - Accent2 2 2 2 4 3" xfId="7047" xr:uid="{F4D7F13C-C1DF-4C25-B8D6-9623B0EBDA78}"/>
    <cellStyle name="40% - Accent2 2 2 2 5" xfId="3158" xr:uid="{526BEA78-C7A2-4E2C-A588-42A599CAD980}"/>
    <cellStyle name="40% - Accent2 2 2 2 5 2" xfId="5387" xr:uid="{68753A65-10A2-4FA3-959E-03789717C6FF}"/>
    <cellStyle name="40% - Accent2 2 2 2 5 2 2" xfId="9605" xr:uid="{09923A8B-26DF-44B0-AA0B-FE890AA12D12}"/>
    <cellStyle name="40% - Accent2 2 2 2 5 3" xfId="7460" xr:uid="{5032AE13-DFC3-4EE8-908A-67F320A6B6F5}"/>
    <cellStyle name="40% - Accent2 2 2 2 6" xfId="3571" xr:uid="{7D7B13D3-88B3-4642-8936-4F071BCE6D8E}"/>
    <cellStyle name="40% - Accent2 2 2 2 6 2" xfId="7873" xr:uid="{7724C0D6-F8CC-4824-B1B9-E17D73D11DBF}"/>
    <cellStyle name="40% - Accent2 2 2 2 7" xfId="5807" xr:uid="{0197C25B-D262-4AD2-A682-DEE6B5824966}"/>
    <cellStyle name="40% - Accent2 2 2 2 8" xfId="1503" xr:uid="{2C84FC13-9F11-4321-B665-BCCEE320DCA0}"/>
    <cellStyle name="40% - Accent2 2 2 3" xfId="636" xr:uid="{00000000-0005-0000-0000-000075000000}"/>
    <cellStyle name="40% - Accent2 2 2 3 2" xfId="4147" xr:uid="{8011DC2C-BD9C-4399-9A45-02D6A8744F15}"/>
    <cellStyle name="40% - Accent2 2 2 3 2 2" xfId="8365" xr:uid="{8318FCE9-7C5B-430D-9A28-A22B28432A52}"/>
    <cellStyle name="40% - Accent2 2 2 3 3" xfId="6220" xr:uid="{EFA83565-5877-4E2A-A0D5-53BF8C30A31A}"/>
    <cellStyle name="40% - Accent2 2 2 3 4" xfId="1916" xr:uid="{AD7CAAB1-5076-4B25-B893-2D7B89601773}"/>
    <cellStyle name="40% - Accent2 2 2 4" xfId="1089" xr:uid="{FE36A48E-BE6E-486F-B544-F2AE361C947B}"/>
    <cellStyle name="40% - Accent2 2 2 4 2" xfId="4560" xr:uid="{E85C4EB4-4A5D-4AEA-A12F-94C21F8C49B4}"/>
    <cellStyle name="40% - Accent2 2 2 4 2 2" xfId="8778" xr:uid="{B5C4BD0F-79DC-4918-AE12-82EBAFD7E2B5}"/>
    <cellStyle name="40% - Accent2 2 2 4 3" xfId="6633" xr:uid="{65CDA69F-25FB-4C41-8D6F-F5FC2E91683A}"/>
    <cellStyle name="40% - Accent2 2 2 4 4" xfId="2331" xr:uid="{B15F6853-8400-4EDD-8889-B33C144AF1A5}"/>
    <cellStyle name="40% - Accent2 2 2 5" xfId="2744" xr:uid="{A2F4FF4E-9846-498F-AE4D-5AF045905A14}"/>
    <cellStyle name="40% - Accent2 2 2 5 2" xfId="4973" xr:uid="{A38806D4-DA97-4A8A-934F-E6434BA13078}"/>
    <cellStyle name="40% - Accent2 2 2 5 2 2" xfId="9191" xr:uid="{601E2668-260C-4911-A32A-AA718D267365}"/>
    <cellStyle name="40% - Accent2 2 2 5 3" xfId="7046" xr:uid="{1F2DFAE4-934A-482F-8A79-2EFD8A4AECD8}"/>
    <cellStyle name="40% - Accent2 2 2 6" xfId="3157" xr:uid="{F82C7E82-2DED-4001-90F2-18208F15BDD8}"/>
    <cellStyle name="40% - Accent2 2 2 6 2" xfId="5386" xr:uid="{476EE51F-52D4-4F7A-8648-70D1C118DA86}"/>
    <cellStyle name="40% - Accent2 2 2 6 2 2" xfId="9604" xr:uid="{F23A66DB-DB2D-4DD1-BA55-812D6E8E937F}"/>
    <cellStyle name="40% - Accent2 2 2 6 3" xfId="7459" xr:uid="{8F867D60-18D5-451E-8CF8-C1DACA956EFD}"/>
    <cellStyle name="40% - Accent2 2 2 7" xfId="3570" xr:uid="{C345F6F3-D382-441B-83E4-F8B5D002EB8B}"/>
    <cellStyle name="40% - Accent2 2 2 7 2" xfId="7872" xr:uid="{8170FE59-3FF0-442E-A321-A649C2A4A267}"/>
    <cellStyle name="40% - Accent2 2 2 8" xfId="5806" xr:uid="{BC139C5A-C214-4F91-AA74-12566AB7851F}"/>
    <cellStyle name="40% - Accent2 2 2 9" xfId="1502" xr:uid="{DE352FA9-D14A-42C9-9B6D-1256FC079F00}"/>
    <cellStyle name="40% - Accent2 2 3" xfId="61" xr:uid="{00000000-0005-0000-0000-000076000000}"/>
    <cellStyle name="40% - Accent2 2 3 2" xfId="638" xr:uid="{00000000-0005-0000-0000-000077000000}"/>
    <cellStyle name="40% - Accent2 2 3 2 2" xfId="4149" xr:uid="{E76FCF4B-0A11-4A51-A891-578368B0B8DC}"/>
    <cellStyle name="40% - Accent2 2 3 2 2 2" xfId="8367" xr:uid="{0D192014-F979-438C-B12E-EDDE13135A46}"/>
    <cellStyle name="40% - Accent2 2 3 2 3" xfId="6222" xr:uid="{33D1BB96-780B-4501-ABC3-45CD1D767634}"/>
    <cellStyle name="40% - Accent2 2 3 2 4" xfId="1918" xr:uid="{2E9857A5-F085-4E2F-ACDE-62911BB5A573}"/>
    <cellStyle name="40% - Accent2 2 3 3" xfId="1091" xr:uid="{0503FBE7-38E8-4578-925B-042E2B5F3C26}"/>
    <cellStyle name="40% - Accent2 2 3 3 2" xfId="4562" xr:uid="{A314E384-468F-495B-89C9-44D07028EFDA}"/>
    <cellStyle name="40% - Accent2 2 3 3 2 2" xfId="8780" xr:uid="{5F5E9A8C-A02E-4E2F-A7AD-A01EDF960CB6}"/>
    <cellStyle name="40% - Accent2 2 3 3 3" xfId="6635" xr:uid="{DCBEAEA9-1CF4-47DC-8F7C-AD41C92EBC40}"/>
    <cellStyle name="40% - Accent2 2 3 3 4" xfId="2333" xr:uid="{B2931B47-142A-4201-A313-5379D6628682}"/>
    <cellStyle name="40% - Accent2 2 3 4" xfId="2746" xr:uid="{4C1CD80B-0717-4E79-AD9B-D928C19EE5C5}"/>
    <cellStyle name="40% - Accent2 2 3 4 2" xfId="4975" xr:uid="{295052F5-5293-4633-801C-5F8E46627A51}"/>
    <cellStyle name="40% - Accent2 2 3 4 2 2" xfId="9193" xr:uid="{EFF20370-2B4A-41EF-A095-567ABD4171B4}"/>
    <cellStyle name="40% - Accent2 2 3 4 3" xfId="7048" xr:uid="{9E716A8C-C542-4E14-818C-1322955B1247}"/>
    <cellStyle name="40% - Accent2 2 3 5" xfId="3159" xr:uid="{C3E3F37E-0609-4C55-BF51-7FFF544160B8}"/>
    <cellStyle name="40% - Accent2 2 3 5 2" xfId="5388" xr:uid="{0493F04C-88A9-4C2A-BD1C-F23DF6F0CABF}"/>
    <cellStyle name="40% - Accent2 2 3 5 2 2" xfId="9606" xr:uid="{D04533F1-5348-4DA6-911F-AEEA15ED7A46}"/>
    <cellStyle name="40% - Accent2 2 3 5 3" xfId="7461" xr:uid="{81CB7575-8DD8-43F4-B618-2C8B04C546AE}"/>
    <cellStyle name="40% - Accent2 2 3 6" xfId="3572" xr:uid="{9F09D2B6-4885-48C5-981E-AC992AC56DBD}"/>
    <cellStyle name="40% - Accent2 2 3 6 2" xfId="7874" xr:uid="{473C738D-1D05-4EA3-8E79-576E7ECACDCF}"/>
    <cellStyle name="40% - Accent2 2 3 7" xfId="5808" xr:uid="{DDC7B877-32ED-45E0-B75D-AE2EEBC592C5}"/>
    <cellStyle name="40% - Accent2 2 3 8" xfId="1504" xr:uid="{977A8A45-0189-4701-AAD3-16EF577145DC}"/>
    <cellStyle name="40% - Accent2 2 4" xfId="635" xr:uid="{00000000-0005-0000-0000-000078000000}"/>
    <cellStyle name="40% - Accent2 2 4 2" xfId="4146" xr:uid="{41234246-EA11-4597-85B3-8676274E6CF5}"/>
    <cellStyle name="40% - Accent2 2 4 2 2" xfId="8364" xr:uid="{FBF13BAE-E5DE-4CCD-9560-F6451DB752BB}"/>
    <cellStyle name="40% - Accent2 2 4 3" xfId="6219" xr:uid="{961F37D3-E748-46E4-B4D5-494A726A16B6}"/>
    <cellStyle name="40% - Accent2 2 4 4" xfId="1915" xr:uid="{44B7D6DE-66D8-47A3-B082-C107C72CEE11}"/>
    <cellStyle name="40% - Accent2 2 5" xfId="1088" xr:uid="{D7D82938-A411-47E1-B7EB-E9B9A24EFCCE}"/>
    <cellStyle name="40% - Accent2 2 5 2" xfId="4559" xr:uid="{DDB9AE87-4FC6-48EE-A775-F9AEAAF255EC}"/>
    <cellStyle name="40% - Accent2 2 5 2 2" xfId="8777" xr:uid="{58664DD8-90D7-4CC0-B343-0A03E45CC209}"/>
    <cellStyle name="40% - Accent2 2 5 3" xfId="6632" xr:uid="{C3E4F86F-5AA8-402D-B6FB-BBC34169612C}"/>
    <cellStyle name="40% - Accent2 2 5 4" xfId="2330" xr:uid="{29355A49-F29A-4B34-85A7-0CDDD40EA171}"/>
    <cellStyle name="40% - Accent2 2 6" xfId="2743" xr:uid="{AC5709D7-DA85-4CB1-8C25-64E101C398AC}"/>
    <cellStyle name="40% - Accent2 2 6 2" xfId="4972" xr:uid="{54319C73-2AAA-4197-8FAD-37BF7E526198}"/>
    <cellStyle name="40% - Accent2 2 6 2 2" xfId="9190" xr:uid="{CEFAC817-4746-42A2-A904-E9A3545EC7CA}"/>
    <cellStyle name="40% - Accent2 2 6 3" xfId="7045" xr:uid="{B76A5859-1F76-4BC6-B66D-0293D76CDB73}"/>
    <cellStyle name="40% - Accent2 2 7" xfId="3156" xr:uid="{6EB7D3D6-B601-460B-ABBC-C343FD56DF1D}"/>
    <cellStyle name="40% - Accent2 2 7 2" xfId="5385" xr:uid="{CD2EC777-86D8-424E-860D-A036820C4818}"/>
    <cellStyle name="40% - Accent2 2 7 2 2" xfId="9603" xr:uid="{C3588CDC-6FDD-4EDB-8EBF-AE14A717D313}"/>
    <cellStyle name="40% - Accent2 2 7 3" xfId="7458" xr:uid="{FD2E8960-CCCD-4BBB-8E37-8B26AFBECF39}"/>
    <cellStyle name="40% - Accent2 2 8" xfId="3569" xr:uid="{B5304CBC-4D70-4033-B02C-0635A19C8FAE}"/>
    <cellStyle name="40% - Accent2 2 8 2" xfId="7871" xr:uid="{A0468E48-DC7A-4CCD-8FEA-8998F252A0D9}"/>
    <cellStyle name="40% - Accent2 2 9" xfId="5805" xr:uid="{B8882C2D-8F31-4FCF-A37D-46559A09BF04}"/>
    <cellStyle name="40% - Accent2 3" xfId="62" xr:uid="{00000000-0005-0000-0000-000079000000}"/>
    <cellStyle name="40% - Accent2 3 2" xfId="63" xr:uid="{00000000-0005-0000-0000-00007A000000}"/>
    <cellStyle name="40% - Accent2 3 2 2" xfId="640" xr:uid="{00000000-0005-0000-0000-00007B000000}"/>
    <cellStyle name="40% - Accent2 3 2 2 2" xfId="4151" xr:uid="{450EAE42-20E4-423E-89E9-60227E7AC584}"/>
    <cellStyle name="40% - Accent2 3 2 2 2 2" xfId="8369" xr:uid="{3C77AED8-EE98-4694-8F32-12B1C1427953}"/>
    <cellStyle name="40% - Accent2 3 2 2 3" xfId="6224" xr:uid="{78E664E6-1033-4DE0-A9E8-7495C16BB0CE}"/>
    <cellStyle name="40% - Accent2 3 2 2 4" xfId="1920" xr:uid="{C4EBFA58-C56E-445E-9C0F-1840E52238D1}"/>
    <cellStyle name="40% - Accent2 3 2 3" xfId="1093" xr:uid="{1BE2757B-A26E-44FD-9ACC-8FB92F6BCAB6}"/>
    <cellStyle name="40% - Accent2 3 2 3 2" xfId="4564" xr:uid="{0DEADD46-BD09-44AB-8D88-D00BB87AA1BA}"/>
    <cellStyle name="40% - Accent2 3 2 3 2 2" xfId="8782" xr:uid="{11878B05-3D3E-4A7D-A01B-151E99F7076A}"/>
    <cellStyle name="40% - Accent2 3 2 3 3" xfId="6637" xr:uid="{F77787CD-4F1F-45A2-A7A4-D3B317C72E3C}"/>
    <cellStyle name="40% - Accent2 3 2 3 4" xfId="2335" xr:uid="{890E82A6-3050-476A-8486-502A16C03A65}"/>
    <cellStyle name="40% - Accent2 3 2 4" xfId="2748" xr:uid="{959614CD-A69B-474B-807E-4C5F6DF3B72A}"/>
    <cellStyle name="40% - Accent2 3 2 4 2" xfId="4977" xr:uid="{9AE0A656-EC8E-4933-880D-7C4DABD5252C}"/>
    <cellStyle name="40% - Accent2 3 2 4 2 2" xfId="9195" xr:uid="{EA93D6CF-7C14-4499-B997-31CA25593605}"/>
    <cellStyle name="40% - Accent2 3 2 4 3" xfId="7050" xr:uid="{FCB3E7AA-80C9-44A2-9D4D-C227A16A0FC3}"/>
    <cellStyle name="40% - Accent2 3 2 5" xfId="3161" xr:uid="{63AAD930-521A-4BA9-8659-B5FD67F86A83}"/>
    <cellStyle name="40% - Accent2 3 2 5 2" xfId="5390" xr:uid="{5F15CBFF-11F6-491D-9DC8-9044C70FF0B1}"/>
    <cellStyle name="40% - Accent2 3 2 5 2 2" xfId="9608" xr:uid="{BF4D2527-C6A6-4919-B619-A66B731208AD}"/>
    <cellStyle name="40% - Accent2 3 2 5 3" xfId="7463" xr:uid="{7DA5C321-4315-45AF-ADB5-FF742A6937EB}"/>
    <cellStyle name="40% - Accent2 3 2 6" xfId="3574" xr:uid="{31962EE3-24FB-4B56-B07A-721E22F09E99}"/>
    <cellStyle name="40% - Accent2 3 2 6 2" xfId="7876" xr:uid="{AD95256F-1DA4-4044-B852-CD0DBC825288}"/>
    <cellStyle name="40% - Accent2 3 2 7" xfId="5810" xr:uid="{94C8071E-E2D3-498E-B889-1FCC7822ACB1}"/>
    <cellStyle name="40% - Accent2 3 2 8" xfId="1506" xr:uid="{286A89AA-4CDE-48D2-8F6C-B7FAF8925BEB}"/>
    <cellStyle name="40% - Accent2 3 3" xfId="639" xr:uid="{00000000-0005-0000-0000-00007C000000}"/>
    <cellStyle name="40% - Accent2 3 3 2" xfId="4150" xr:uid="{1139D397-3F84-4843-BDCD-285F5B41F403}"/>
    <cellStyle name="40% - Accent2 3 3 2 2" xfId="8368" xr:uid="{CC121F64-0331-4552-B428-E1E8ACC1BFE9}"/>
    <cellStyle name="40% - Accent2 3 3 3" xfId="6223" xr:uid="{DB6474FF-D1AD-4823-892C-3ED8FFCB18DC}"/>
    <cellStyle name="40% - Accent2 3 3 4" xfId="1919" xr:uid="{ADFB0E67-3F3B-44C6-8701-94656AE3F078}"/>
    <cellStyle name="40% - Accent2 3 4" xfId="1092" xr:uid="{5CDDBFED-A232-407B-BCFE-172C59C1E4BB}"/>
    <cellStyle name="40% - Accent2 3 4 2" xfId="4563" xr:uid="{38076515-7417-4364-8852-CC4B02016C62}"/>
    <cellStyle name="40% - Accent2 3 4 2 2" xfId="8781" xr:uid="{7C4EE06D-069E-4F56-9DC4-ED1BB7392563}"/>
    <cellStyle name="40% - Accent2 3 4 3" xfId="6636" xr:uid="{0FEFFB7B-FD95-49A0-AAC2-F78782421009}"/>
    <cellStyle name="40% - Accent2 3 4 4" xfId="2334" xr:uid="{A4BF27D0-FBB5-4B8A-A0B4-491B0F2D86C5}"/>
    <cellStyle name="40% - Accent2 3 5" xfId="2747" xr:uid="{3BA2551A-A51F-4EB0-AB28-BE624240704E}"/>
    <cellStyle name="40% - Accent2 3 5 2" xfId="4976" xr:uid="{9AF22023-8830-47A5-B492-5A0228FEFCA2}"/>
    <cellStyle name="40% - Accent2 3 5 2 2" xfId="9194" xr:uid="{FC6989CE-75F5-4ABE-A163-01C81971C0E5}"/>
    <cellStyle name="40% - Accent2 3 5 3" xfId="7049" xr:uid="{AA5839C1-6B13-4C0A-AE08-2A8FAF660A84}"/>
    <cellStyle name="40% - Accent2 3 6" xfId="3160" xr:uid="{F44676A8-353F-4C46-AD76-0468C8EAACC2}"/>
    <cellStyle name="40% - Accent2 3 6 2" xfId="5389" xr:uid="{24B7CCC7-CAC6-4B86-B865-3BDCC7E7E859}"/>
    <cellStyle name="40% - Accent2 3 6 2 2" xfId="9607" xr:uid="{E80CDC7C-95BA-4F79-A055-46E6306512DC}"/>
    <cellStyle name="40% - Accent2 3 6 3" xfId="7462" xr:uid="{37AD278F-AAA0-4420-BFFB-CB967F454A88}"/>
    <cellStyle name="40% - Accent2 3 7" xfId="3573" xr:uid="{A134CFE1-AB5C-4E33-B589-8D891E70CB1F}"/>
    <cellStyle name="40% - Accent2 3 7 2" xfId="7875" xr:uid="{F277905B-F43A-4BF3-A75C-476DBB2BE2AE}"/>
    <cellStyle name="40% - Accent2 3 8" xfId="5809" xr:uid="{BA344DEC-9FC8-498B-8D0D-8DED56EBAEFF}"/>
    <cellStyle name="40% - Accent2 3 9" xfId="1505" xr:uid="{C603E107-65DC-4EA4-94F9-B1AC4161E532}"/>
    <cellStyle name="40% - Accent2 4" xfId="64" xr:uid="{00000000-0005-0000-0000-00007D000000}"/>
    <cellStyle name="40% - Accent2 4 2" xfId="641" xr:uid="{00000000-0005-0000-0000-00007E000000}"/>
    <cellStyle name="40% - Accent2 4 2 2" xfId="4152" xr:uid="{9FBBF214-D27C-4C68-A839-CECC7CAE3714}"/>
    <cellStyle name="40% - Accent2 4 2 2 2" xfId="8370" xr:uid="{011AEC48-608D-4D68-A856-B73AB013D272}"/>
    <cellStyle name="40% - Accent2 4 2 3" xfId="6225" xr:uid="{81A69BDB-3793-4809-89C0-CCB2A09BB943}"/>
    <cellStyle name="40% - Accent2 4 2 4" xfId="1921" xr:uid="{ABE37C1F-0E7A-40AC-811C-C67F1E5F655F}"/>
    <cellStyle name="40% - Accent2 4 3" xfId="1094" xr:uid="{E8BA6CBA-28F4-464C-B121-90141489B170}"/>
    <cellStyle name="40% - Accent2 4 3 2" xfId="4565" xr:uid="{D2B61A6D-391F-456F-A420-91D1C9CC0D61}"/>
    <cellStyle name="40% - Accent2 4 3 2 2" xfId="8783" xr:uid="{B1CB8EC0-579A-476E-9D0A-DE9ABFA663BF}"/>
    <cellStyle name="40% - Accent2 4 3 3" xfId="6638" xr:uid="{A089E876-52B6-4213-B3FF-B7343704694F}"/>
    <cellStyle name="40% - Accent2 4 3 4" xfId="2336" xr:uid="{3D919A38-7874-41AA-8FAE-4DAFB9DB1FFE}"/>
    <cellStyle name="40% - Accent2 4 4" xfId="2749" xr:uid="{DE773743-8326-4CC5-BB81-392864BBF992}"/>
    <cellStyle name="40% - Accent2 4 4 2" xfId="4978" xr:uid="{5D14D296-BA0C-487E-A808-B44DF3793CB6}"/>
    <cellStyle name="40% - Accent2 4 4 2 2" xfId="9196" xr:uid="{80CE7044-B38B-4F5B-8604-0FD052EE95E2}"/>
    <cellStyle name="40% - Accent2 4 4 3" xfId="7051" xr:uid="{3F49A56B-7864-445F-A3CB-6848F8491A0F}"/>
    <cellStyle name="40% - Accent2 4 5" xfId="3162" xr:uid="{D237FCC9-81C4-4D8B-9D06-1A5427291C0D}"/>
    <cellStyle name="40% - Accent2 4 5 2" xfId="5391" xr:uid="{0485CBCA-62D1-4B77-B8B6-C80356A2BBD0}"/>
    <cellStyle name="40% - Accent2 4 5 2 2" xfId="9609" xr:uid="{1EC62EC8-41E9-47C2-816E-7DCB7A17D987}"/>
    <cellStyle name="40% - Accent2 4 5 3" xfId="7464" xr:uid="{5AA84ECF-50EF-4704-B733-F1AC52637F03}"/>
    <cellStyle name="40% - Accent2 4 6" xfId="3575" xr:uid="{9FFD54BE-023C-43D3-A603-6F69E35D7830}"/>
    <cellStyle name="40% - Accent2 4 6 2" xfId="7877" xr:uid="{B30D8E38-66FC-423E-8A93-7599CCC4C4AF}"/>
    <cellStyle name="40% - Accent2 4 7" xfId="5811" xr:uid="{BB91B597-63D7-4C9C-8AFD-AB36999D94C1}"/>
    <cellStyle name="40% - Accent2 4 8" xfId="1507" xr:uid="{65DB8030-D029-4325-BAE2-822377828EAD}"/>
    <cellStyle name="40% - Accent2 5" xfId="634" xr:uid="{00000000-0005-0000-0000-00007F000000}"/>
    <cellStyle name="40% - Accent2 5 2" xfId="4145" xr:uid="{692F1A99-AF20-4BAB-8015-2AAA81FF4D7C}"/>
    <cellStyle name="40% - Accent2 5 2 2" xfId="8363" xr:uid="{7664B9E2-3581-4CC1-B8B8-D61927A549D3}"/>
    <cellStyle name="40% - Accent2 5 3" xfId="6218" xr:uid="{EB8C832D-FF3A-4ACA-B463-80A3C38F03F4}"/>
    <cellStyle name="40% - Accent2 5 4" xfId="1914" xr:uid="{8EB386BD-3118-4854-997F-6F4E17D2A346}"/>
    <cellStyle name="40% - Accent2 6" xfId="1087" xr:uid="{BDF8023C-6952-49DA-926D-ADCC9C84D6E0}"/>
    <cellStyle name="40% - Accent2 6 2" xfId="4558" xr:uid="{86C53988-7B74-4F39-9C9D-4EECECF70534}"/>
    <cellStyle name="40% - Accent2 6 2 2" xfId="8776" xr:uid="{DA1E722B-A72D-44E5-BB62-E18DE315D8ED}"/>
    <cellStyle name="40% - Accent2 6 3" xfId="6631" xr:uid="{EF762D77-914A-4D1B-88A6-65306CA6AD44}"/>
    <cellStyle name="40% - Accent2 6 4" xfId="2329" xr:uid="{17F06BB3-CACE-49B4-B233-B01EC01FAEF7}"/>
    <cellStyle name="40% - Accent2 7" xfId="2742" xr:uid="{A7EB822F-6BAD-43DB-B240-A60B8B7E57AC}"/>
    <cellStyle name="40% - Accent2 7 2" xfId="4971" xr:uid="{818EA943-3913-4FA9-B898-CDF42C14CD36}"/>
    <cellStyle name="40% - Accent2 7 2 2" xfId="9189" xr:uid="{B0DEC2FF-5E75-4B27-9B9C-333ED99E848A}"/>
    <cellStyle name="40% - Accent2 7 3" xfId="7044" xr:uid="{9844D54E-6F13-4902-AC71-192ADF4B8411}"/>
    <cellStyle name="40% - Accent2 8" xfId="3155" xr:uid="{1235413C-E279-45E4-ABFF-8B10956AD71E}"/>
    <cellStyle name="40% - Accent2 8 2" xfId="5384" xr:uid="{533ED9B1-A4A3-490D-B0D9-B13F80B91BA3}"/>
    <cellStyle name="40% - Accent2 8 2 2" xfId="9602" xr:uid="{DB944BF2-2DF5-4BD9-970F-EBDDCD4202E7}"/>
    <cellStyle name="40% - Accent2 8 3" xfId="7457" xr:uid="{6D897694-283C-4E91-AF7F-60B60843D0EA}"/>
    <cellStyle name="40% - Accent2 9" xfId="3568" xr:uid="{B6E3C0CD-8ED6-405F-8C04-321886F906BB}"/>
    <cellStyle name="40% - Accent2 9 2" xfId="7870" xr:uid="{836F504E-EDC1-4456-821F-3F407AF0EE3B}"/>
    <cellStyle name="40% - Accent3" xfId="65" builtinId="39" customBuiltin="1"/>
    <cellStyle name="40% - Accent3 10" xfId="5812" xr:uid="{A68E11B9-3E46-4A3C-BA56-9CB2D367B9A1}"/>
    <cellStyle name="40% - Accent3 11" xfId="1508" xr:uid="{DEF25CED-EA7B-4E2B-8453-6385550A15A6}"/>
    <cellStyle name="40% - Accent3 2" xfId="66" xr:uid="{00000000-0005-0000-0000-000081000000}"/>
    <cellStyle name="40% - Accent3 2 10" xfId="1509" xr:uid="{6541CCDA-E6AF-47B9-9B62-553F224C3D7C}"/>
    <cellStyle name="40% - Accent3 2 2" xfId="67" xr:uid="{00000000-0005-0000-0000-000082000000}"/>
    <cellStyle name="40% - Accent3 2 2 2" xfId="68" xr:uid="{00000000-0005-0000-0000-000083000000}"/>
    <cellStyle name="40% - Accent3 2 2 2 2" xfId="645" xr:uid="{00000000-0005-0000-0000-000084000000}"/>
    <cellStyle name="40% - Accent3 2 2 2 2 2" xfId="4156" xr:uid="{073189B4-3722-4005-90C1-3431853924FB}"/>
    <cellStyle name="40% - Accent3 2 2 2 2 2 2" xfId="8374" xr:uid="{196CF0AC-A923-4683-9390-7CFFE0A1D749}"/>
    <cellStyle name="40% - Accent3 2 2 2 2 3" xfId="6229" xr:uid="{78931F9B-806F-409D-81A4-AB60668BD3AD}"/>
    <cellStyle name="40% - Accent3 2 2 2 2 4" xfId="1925" xr:uid="{F56B79D9-2E8F-4D85-B90B-89E6BE780265}"/>
    <cellStyle name="40% - Accent3 2 2 2 3" xfId="1098" xr:uid="{353B4BAC-5735-4B50-A7E6-510E7894A8DC}"/>
    <cellStyle name="40% - Accent3 2 2 2 3 2" xfId="4569" xr:uid="{17B61B53-9D03-4831-BD9A-2E9487A679FB}"/>
    <cellStyle name="40% - Accent3 2 2 2 3 2 2" xfId="8787" xr:uid="{97601255-A864-4274-90DD-576A7FF83656}"/>
    <cellStyle name="40% - Accent3 2 2 2 3 3" xfId="6642" xr:uid="{10D403F3-5B30-450A-A4A2-62CFB77D6440}"/>
    <cellStyle name="40% - Accent3 2 2 2 3 4" xfId="2340" xr:uid="{AD61A9A9-D585-44CA-ABB8-CF89E7E43827}"/>
    <cellStyle name="40% - Accent3 2 2 2 4" xfId="2753" xr:uid="{7589A8E0-FC59-44ED-B2F2-DF0F2F81D955}"/>
    <cellStyle name="40% - Accent3 2 2 2 4 2" xfId="4982" xr:uid="{F5B8170B-BB78-47A7-B642-09554048DCDF}"/>
    <cellStyle name="40% - Accent3 2 2 2 4 2 2" xfId="9200" xr:uid="{10C04492-B75C-45B9-A362-A18F4F077A56}"/>
    <cellStyle name="40% - Accent3 2 2 2 4 3" xfId="7055" xr:uid="{9B03326D-C4A2-4F9E-84DA-05653FA75BF9}"/>
    <cellStyle name="40% - Accent3 2 2 2 5" xfId="3166" xr:uid="{0395951B-1CB1-47BC-BB4A-50CA24662DD6}"/>
    <cellStyle name="40% - Accent3 2 2 2 5 2" xfId="5395" xr:uid="{7BD5E070-50E5-4CBD-8ECC-9E204519F1AA}"/>
    <cellStyle name="40% - Accent3 2 2 2 5 2 2" xfId="9613" xr:uid="{63D24BED-B641-4527-84A7-1AA150F9EDBF}"/>
    <cellStyle name="40% - Accent3 2 2 2 5 3" xfId="7468" xr:uid="{B44C38E1-FFC2-4BF5-A479-A2F9F8747404}"/>
    <cellStyle name="40% - Accent3 2 2 2 6" xfId="3579" xr:uid="{ECA9B2FE-3C30-40E8-97F6-813277B1A00C}"/>
    <cellStyle name="40% - Accent3 2 2 2 6 2" xfId="7881" xr:uid="{2DA6161D-8E96-4B83-8BB4-2F13F0A0902C}"/>
    <cellStyle name="40% - Accent3 2 2 2 7" xfId="5815" xr:uid="{1CF43833-40A4-4B47-ACE4-9BAB76B6650C}"/>
    <cellStyle name="40% - Accent3 2 2 2 8" xfId="1511" xr:uid="{B240B462-FCFF-425E-AAAC-890A95DC4B6C}"/>
    <cellStyle name="40% - Accent3 2 2 3" xfId="644" xr:uid="{00000000-0005-0000-0000-000085000000}"/>
    <cellStyle name="40% - Accent3 2 2 3 2" xfId="4155" xr:uid="{A90007D4-95F0-4569-9BC4-668B904AD2D0}"/>
    <cellStyle name="40% - Accent3 2 2 3 2 2" xfId="8373" xr:uid="{8C9541F6-EB0D-4940-A714-00634ACD59E8}"/>
    <cellStyle name="40% - Accent3 2 2 3 3" xfId="6228" xr:uid="{3EFBA518-23A5-4327-935F-CCD7F254303C}"/>
    <cellStyle name="40% - Accent3 2 2 3 4" xfId="1924" xr:uid="{96AA6767-9014-4969-8206-B58125C6C2DC}"/>
    <cellStyle name="40% - Accent3 2 2 4" xfId="1097" xr:uid="{1B707C16-CB8B-4EE1-B04E-B4EBA4B10904}"/>
    <cellStyle name="40% - Accent3 2 2 4 2" xfId="4568" xr:uid="{ED93CE74-C05F-4877-A2E2-8A4D3456137D}"/>
    <cellStyle name="40% - Accent3 2 2 4 2 2" xfId="8786" xr:uid="{6B84B18C-F5AF-4BBD-A8A9-B416FBEB8305}"/>
    <cellStyle name="40% - Accent3 2 2 4 3" xfId="6641" xr:uid="{A3A98B56-FDFA-4446-BA05-D046B6C40D75}"/>
    <cellStyle name="40% - Accent3 2 2 4 4" xfId="2339" xr:uid="{43DC8EBF-0D02-4BCF-9DA7-7AB498E6FF0A}"/>
    <cellStyle name="40% - Accent3 2 2 5" xfId="2752" xr:uid="{DB36E743-A0CF-41BA-962A-D7190D1FDDFF}"/>
    <cellStyle name="40% - Accent3 2 2 5 2" xfId="4981" xr:uid="{983D10F7-D53E-4FC0-9590-4BC05703016C}"/>
    <cellStyle name="40% - Accent3 2 2 5 2 2" xfId="9199" xr:uid="{F6995958-1DD2-4781-A548-F94A4A239EE0}"/>
    <cellStyle name="40% - Accent3 2 2 5 3" xfId="7054" xr:uid="{1C2A6E61-7739-44AC-A839-7C4BC03793E8}"/>
    <cellStyle name="40% - Accent3 2 2 6" xfId="3165" xr:uid="{40A05E50-5BEE-446C-96BC-6942C76026D2}"/>
    <cellStyle name="40% - Accent3 2 2 6 2" xfId="5394" xr:uid="{7D55C4FE-FBB4-463F-9ADB-06A941473F1D}"/>
    <cellStyle name="40% - Accent3 2 2 6 2 2" xfId="9612" xr:uid="{7F862C80-661B-466A-A1AF-CC8DC6361A5B}"/>
    <cellStyle name="40% - Accent3 2 2 6 3" xfId="7467" xr:uid="{FCBCF0B4-FAA0-4F0D-BB0B-60BB0F0D6B0D}"/>
    <cellStyle name="40% - Accent3 2 2 7" xfId="3578" xr:uid="{81A8A199-ACEB-46DF-B1F5-8332EE7984C7}"/>
    <cellStyle name="40% - Accent3 2 2 7 2" xfId="7880" xr:uid="{1D6CBCD1-512B-4A0D-BE32-C310523AE918}"/>
    <cellStyle name="40% - Accent3 2 2 8" xfId="5814" xr:uid="{D8F55B17-7639-4B85-A898-D6F3CD2B1866}"/>
    <cellStyle name="40% - Accent3 2 2 9" xfId="1510" xr:uid="{906C06AF-8FBA-45B9-B0A0-9F0CEC4E3C4E}"/>
    <cellStyle name="40% - Accent3 2 3" xfId="69" xr:uid="{00000000-0005-0000-0000-000086000000}"/>
    <cellStyle name="40% - Accent3 2 3 2" xfId="646" xr:uid="{00000000-0005-0000-0000-000087000000}"/>
    <cellStyle name="40% - Accent3 2 3 2 2" xfId="4157" xr:uid="{FD7C2C6F-92FC-43B0-A3F1-A03736707D84}"/>
    <cellStyle name="40% - Accent3 2 3 2 2 2" xfId="8375" xr:uid="{C33D63BD-7FD2-4116-8E83-2B261A7EED7C}"/>
    <cellStyle name="40% - Accent3 2 3 2 3" xfId="6230" xr:uid="{AC756085-DB1F-4FDF-9DE8-1953B97E593A}"/>
    <cellStyle name="40% - Accent3 2 3 2 4" xfId="1926" xr:uid="{080F68A9-FB97-4358-BC83-A354182B06DC}"/>
    <cellStyle name="40% - Accent3 2 3 3" xfId="1099" xr:uid="{F6CB6B5B-DC70-42F8-81DE-F377445D23BB}"/>
    <cellStyle name="40% - Accent3 2 3 3 2" xfId="4570" xr:uid="{F6019756-3B28-411B-9CE3-A6F981B89D27}"/>
    <cellStyle name="40% - Accent3 2 3 3 2 2" xfId="8788" xr:uid="{E0ADAF61-1BBF-4F88-8D78-F7623895B7CC}"/>
    <cellStyle name="40% - Accent3 2 3 3 3" xfId="6643" xr:uid="{AF022520-22A8-4C43-B2C4-343E68CB2791}"/>
    <cellStyle name="40% - Accent3 2 3 3 4" xfId="2341" xr:uid="{18C2099E-64B8-4CD8-B8C6-82C4880608DB}"/>
    <cellStyle name="40% - Accent3 2 3 4" xfId="2754" xr:uid="{63421B92-5726-46C9-95B9-46D4F36A4051}"/>
    <cellStyle name="40% - Accent3 2 3 4 2" xfId="4983" xr:uid="{2FF50E96-4D27-448D-AD94-0D1EC67D0058}"/>
    <cellStyle name="40% - Accent3 2 3 4 2 2" xfId="9201" xr:uid="{0D6D7EDF-C72F-4B7D-B99A-DFA2CEC39E9C}"/>
    <cellStyle name="40% - Accent3 2 3 4 3" xfId="7056" xr:uid="{BC9BC7B6-A975-4203-8D98-4056A59E8C78}"/>
    <cellStyle name="40% - Accent3 2 3 5" xfId="3167" xr:uid="{17FFFAF2-7A07-4E5B-9B00-EBB77544FE89}"/>
    <cellStyle name="40% - Accent3 2 3 5 2" xfId="5396" xr:uid="{E38E3361-8B37-4876-B26C-3472407F5BE2}"/>
    <cellStyle name="40% - Accent3 2 3 5 2 2" xfId="9614" xr:uid="{421A3004-D7C2-4F03-AF57-7449CB00171F}"/>
    <cellStyle name="40% - Accent3 2 3 5 3" xfId="7469" xr:uid="{D4337DAE-FE15-41F6-B825-2AABD319E622}"/>
    <cellStyle name="40% - Accent3 2 3 6" xfId="3580" xr:uid="{5A8D450F-8FD2-48CD-9937-60C9F0B3CC21}"/>
    <cellStyle name="40% - Accent3 2 3 6 2" xfId="7882" xr:uid="{84BF1173-9392-4FB5-9D4B-5BCCB6A52412}"/>
    <cellStyle name="40% - Accent3 2 3 7" xfId="5816" xr:uid="{4602DDD0-74BB-4198-A149-37A237D7DF1E}"/>
    <cellStyle name="40% - Accent3 2 3 8" xfId="1512" xr:uid="{C1E57C2E-CD3B-445B-A079-EA6716E403F6}"/>
    <cellStyle name="40% - Accent3 2 4" xfId="643" xr:uid="{00000000-0005-0000-0000-000088000000}"/>
    <cellStyle name="40% - Accent3 2 4 2" xfId="4154" xr:uid="{27016B85-C8D9-4DF8-A6DD-D2FA10733A97}"/>
    <cellStyle name="40% - Accent3 2 4 2 2" xfId="8372" xr:uid="{0A45393A-6EA2-4721-B8E8-35E3F5309017}"/>
    <cellStyle name="40% - Accent3 2 4 3" xfId="6227" xr:uid="{4A810DDB-A096-41B9-A37B-68D86E8646B6}"/>
    <cellStyle name="40% - Accent3 2 4 4" xfId="1923" xr:uid="{B21647C5-4099-4D9B-8614-3A28603D554F}"/>
    <cellStyle name="40% - Accent3 2 5" xfId="1096" xr:uid="{B2EDE272-5FB2-48E0-A71B-6D07FE26887B}"/>
    <cellStyle name="40% - Accent3 2 5 2" xfId="4567" xr:uid="{193DDC92-5F86-4ACE-8843-68C62CEE60AF}"/>
    <cellStyle name="40% - Accent3 2 5 2 2" xfId="8785" xr:uid="{56DDFB9D-77EA-4C9F-B541-F03261EB7885}"/>
    <cellStyle name="40% - Accent3 2 5 3" xfId="6640" xr:uid="{8E225031-168D-49B4-A0D6-ABCDDB094A59}"/>
    <cellStyle name="40% - Accent3 2 5 4" xfId="2338" xr:uid="{B20B23B6-FECC-4B45-BD2A-981B0FDEFC14}"/>
    <cellStyle name="40% - Accent3 2 6" xfId="2751" xr:uid="{DF930FD9-1A20-4388-BB0B-3A995A27E8A2}"/>
    <cellStyle name="40% - Accent3 2 6 2" xfId="4980" xr:uid="{F2CD00AB-F656-4A3D-BA88-F21BDAF78B5A}"/>
    <cellStyle name="40% - Accent3 2 6 2 2" xfId="9198" xr:uid="{BB0CD94E-11E7-4D52-A72E-41DC0B931C6B}"/>
    <cellStyle name="40% - Accent3 2 6 3" xfId="7053" xr:uid="{A0733C7A-B16A-4177-8556-8597CB1B3177}"/>
    <cellStyle name="40% - Accent3 2 7" xfId="3164" xr:uid="{AF77CD8C-08D7-4CFF-ABEA-2FB89B103C46}"/>
    <cellStyle name="40% - Accent3 2 7 2" xfId="5393" xr:uid="{B794D4F2-3D18-4BF8-9642-FF750081342F}"/>
    <cellStyle name="40% - Accent3 2 7 2 2" xfId="9611" xr:uid="{523A7FD0-D20B-4394-BF22-140B57BAA42D}"/>
    <cellStyle name="40% - Accent3 2 7 3" xfId="7466" xr:uid="{C63C3719-96FD-4632-9376-2D2503123BCB}"/>
    <cellStyle name="40% - Accent3 2 8" xfId="3577" xr:uid="{CEFCD684-BA35-4D09-A762-59ED320D6F89}"/>
    <cellStyle name="40% - Accent3 2 8 2" xfId="7879" xr:uid="{3E82E2C0-1C2C-4D23-B69F-D29F4488E2E3}"/>
    <cellStyle name="40% - Accent3 2 9" xfId="5813" xr:uid="{1F8FAF18-FB24-4C06-95BA-0F1EF4BEBBCC}"/>
    <cellStyle name="40% - Accent3 3" xfId="70" xr:uid="{00000000-0005-0000-0000-000089000000}"/>
    <cellStyle name="40% - Accent3 3 2" xfId="71" xr:uid="{00000000-0005-0000-0000-00008A000000}"/>
    <cellStyle name="40% - Accent3 3 2 2" xfId="648" xr:uid="{00000000-0005-0000-0000-00008B000000}"/>
    <cellStyle name="40% - Accent3 3 2 2 2" xfId="4159" xr:uid="{27164AD0-AE48-4770-9D6A-86784F2A6A29}"/>
    <cellStyle name="40% - Accent3 3 2 2 2 2" xfId="8377" xr:uid="{B5700D55-9F4E-4635-A618-C087A4389F37}"/>
    <cellStyle name="40% - Accent3 3 2 2 3" xfId="6232" xr:uid="{17017CE9-D283-4E51-A4CA-C561D5CE4944}"/>
    <cellStyle name="40% - Accent3 3 2 2 4" xfId="1928" xr:uid="{AF2076B7-34D0-4EF1-B195-CD634F37F004}"/>
    <cellStyle name="40% - Accent3 3 2 3" xfId="1101" xr:uid="{D19502D7-65BA-4054-8220-8114CD9E5FF8}"/>
    <cellStyle name="40% - Accent3 3 2 3 2" xfId="4572" xr:uid="{0D4C7262-E889-42F4-B179-536BD8F06476}"/>
    <cellStyle name="40% - Accent3 3 2 3 2 2" xfId="8790" xr:uid="{4982ED03-E1E9-4234-A256-9CC2EBDDAAD7}"/>
    <cellStyle name="40% - Accent3 3 2 3 3" xfId="6645" xr:uid="{B8CED8E0-AD9B-4631-BF62-8CA6E9275CB6}"/>
    <cellStyle name="40% - Accent3 3 2 3 4" xfId="2343" xr:uid="{34732386-F5C0-4374-A026-3D81E4F9C4A5}"/>
    <cellStyle name="40% - Accent3 3 2 4" xfId="2756" xr:uid="{65719F65-3E72-42FB-B0AF-D167394397BC}"/>
    <cellStyle name="40% - Accent3 3 2 4 2" xfId="4985" xr:uid="{D8E8D2CA-7341-47F2-91A5-11C8062301E7}"/>
    <cellStyle name="40% - Accent3 3 2 4 2 2" xfId="9203" xr:uid="{79D888F3-D732-43B5-987C-5B31D38D2CEF}"/>
    <cellStyle name="40% - Accent3 3 2 4 3" xfId="7058" xr:uid="{1352A4D4-E61D-4011-BB66-6A50FF079E1B}"/>
    <cellStyle name="40% - Accent3 3 2 5" xfId="3169" xr:uid="{F200FC37-B941-4B9E-A8DC-9920564B49E6}"/>
    <cellStyle name="40% - Accent3 3 2 5 2" xfId="5398" xr:uid="{63CA92E5-A35E-4896-9761-36CD7AFB289E}"/>
    <cellStyle name="40% - Accent3 3 2 5 2 2" xfId="9616" xr:uid="{99D74D47-8049-4824-BCAC-34C44D310C52}"/>
    <cellStyle name="40% - Accent3 3 2 5 3" xfId="7471" xr:uid="{769DAFF0-77A1-4A6F-B635-DF4691B78B77}"/>
    <cellStyle name="40% - Accent3 3 2 6" xfId="3582" xr:uid="{67D355CC-7994-4028-AF4F-2BC808DDC564}"/>
    <cellStyle name="40% - Accent3 3 2 6 2" xfId="7884" xr:uid="{9F0FA6C3-1F8E-478B-AB41-0B40456722E4}"/>
    <cellStyle name="40% - Accent3 3 2 7" xfId="5818" xr:uid="{643DEF74-9A29-4900-9906-D51FA831F123}"/>
    <cellStyle name="40% - Accent3 3 2 8" xfId="1514" xr:uid="{8D1B2744-1DDE-45DD-8E6D-7B9B967F0932}"/>
    <cellStyle name="40% - Accent3 3 3" xfId="647" xr:uid="{00000000-0005-0000-0000-00008C000000}"/>
    <cellStyle name="40% - Accent3 3 3 2" xfId="4158" xr:uid="{C44BA7E4-E6CD-40B7-A7BE-9EC0495F8350}"/>
    <cellStyle name="40% - Accent3 3 3 2 2" xfId="8376" xr:uid="{83453C47-6E28-42C2-94C8-2FDFE5D19363}"/>
    <cellStyle name="40% - Accent3 3 3 3" xfId="6231" xr:uid="{5A64E99A-3733-4516-97AB-10576CA467EF}"/>
    <cellStyle name="40% - Accent3 3 3 4" xfId="1927" xr:uid="{B8AD061C-2B3F-40BF-AC71-8E8E8FF37A1C}"/>
    <cellStyle name="40% - Accent3 3 4" xfId="1100" xr:uid="{5D2A5FE7-0DF0-4350-898C-FFE7042DA163}"/>
    <cellStyle name="40% - Accent3 3 4 2" xfId="4571" xr:uid="{7C302F95-3F1B-434F-B15C-EFD870B810F4}"/>
    <cellStyle name="40% - Accent3 3 4 2 2" xfId="8789" xr:uid="{3C47590D-8F59-417C-83EF-A060F7E88AEE}"/>
    <cellStyle name="40% - Accent3 3 4 3" xfId="6644" xr:uid="{0E0FDF00-71F4-4FA0-AB0C-A56AA5260BE1}"/>
    <cellStyle name="40% - Accent3 3 4 4" xfId="2342" xr:uid="{64EF2A9C-9EBB-48DE-BD8F-5EC52E177B78}"/>
    <cellStyle name="40% - Accent3 3 5" xfId="2755" xr:uid="{FD4F6F64-557F-4A5D-B473-6121FAFDD821}"/>
    <cellStyle name="40% - Accent3 3 5 2" xfId="4984" xr:uid="{07A6B951-AC45-4F87-B364-5E05C9C80699}"/>
    <cellStyle name="40% - Accent3 3 5 2 2" xfId="9202" xr:uid="{8CC1FDB3-B625-438E-BDF9-563F1DA10885}"/>
    <cellStyle name="40% - Accent3 3 5 3" xfId="7057" xr:uid="{F4F2FBCA-95D8-4E31-ACA4-EA061F03A845}"/>
    <cellStyle name="40% - Accent3 3 6" xfId="3168" xr:uid="{A1F5A193-C885-4871-949C-42202C89C427}"/>
    <cellStyle name="40% - Accent3 3 6 2" xfId="5397" xr:uid="{D912F4E1-DD7A-4626-8411-6D451DCA028C}"/>
    <cellStyle name="40% - Accent3 3 6 2 2" xfId="9615" xr:uid="{D0ECB248-04AA-47D4-9183-07194400A7EC}"/>
    <cellStyle name="40% - Accent3 3 6 3" xfId="7470" xr:uid="{595D39E5-1499-4ACF-AADD-27D8A4CE09C5}"/>
    <cellStyle name="40% - Accent3 3 7" xfId="3581" xr:uid="{363B60F3-50BB-4945-8430-4851F6EDC74D}"/>
    <cellStyle name="40% - Accent3 3 7 2" xfId="7883" xr:uid="{89BBF527-49CA-4F6D-A57F-A55D272FCE6E}"/>
    <cellStyle name="40% - Accent3 3 8" xfId="5817" xr:uid="{AF85B3C4-7770-4108-96DD-4661177FB83A}"/>
    <cellStyle name="40% - Accent3 3 9" xfId="1513" xr:uid="{1152541E-37B7-4358-AB92-28AD5BB3F24E}"/>
    <cellStyle name="40% - Accent3 4" xfId="72" xr:uid="{00000000-0005-0000-0000-00008D000000}"/>
    <cellStyle name="40% - Accent3 4 2" xfId="649" xr:uid="{00000000-0005-0000-0000-00008E000000}"/>
    <cellStyle name="40% - Accent3 4 2 2" xfId="4160" xr:uid="{5E4F437B-F8F6-4FD4-99B0-DCE17C4F8E61}"/>
    <cellStyle name="40% - Accent3 4 2 2 2" xfId="8378" xr:uid="{6B5D2077-B5C1-44B3-B468-14AB780E1B6F}"/>
    <cellStyle name="40% - Accent3 4 2 3" xfId="6233" xr:uid="{7CD6E15F-C6C8-4935-9FA4-09AB7E5466A6}"/>
    <cellStyle name="40% - Accent3 4 2 4" xfId="1929" xr:uid="{DC4A48C0-7194-4883-BE1A-46B4146EB359}"/>
    <cellStyle name="40% - Accent3 4 3" xfId="1102" xr:uid="{C7DEE836-1E23-4823-AF4D-F5C7313664B7}"/>
    <cellStyle name="40% - Accent3 4 3 2" xfId="4573" xr:uid="{9B7FDDF9-D790-4C10-943E-D074373BFCBD}"/>
    <cellStyle name="40% - Accent3 4 3 2 2" xfId="8791" xr:uid="{BE532CE1-C309-4B1A-8B5F-C96BDA8C673F}"/>
    <cellStyle name="40% - Accent3 4 3 3" xfId="6646" xr:uid="{4F3012F3-3355-4605-82CC-12DD5F91D408}"/>
    <cellStyle name="40% - Accent3 4 3 4" xfId="2344" xr:uid="{DD5348E1-9C45-438B-B7BF-769D74A83A7F}"/>
    <cellStyle name="40% - Accent3 4 4" xfId="2757" xr:uid="{7D76D13B-6435-47F3-82BF-BA46B78BB9CD}"/>
    <cellStyle name="40% - Accent3 4 4 2" xfId="4986" xr:uid="{C11C3BBD-D1DE-4A45-B0B1-2E642625D8F8}"/>
    <cellStyle name="40% - Accent3 4 4 2 2" xfId="9204" xr:uid="{2032B003-6A84-4968-AB25-A418175128CE}"/>
    <cellStyle name="40% - Accent3 4 4 3" xfId="7059" xr:uid="{9D4D1153-CDA8-45CD-BF43-FA48FF53F01F}"/>
    <cellStyle name="40% - Accent3 4 5" xfId="3170" xr:uid="{FC37BFE2-D0D9-42B3-9646-151C9FCD703A}"/>
    <cellStyle name="40% - Accent3 4 5 2" xfId="5399" xr:uid="{42F5B942-9562-4B0F-9E61-64D655837519}"/>
    <cellStyle name="40% - Accent3 4 5 2 2" xfId="9617" xr:uid="{77C00EC8-7BF4-47D4-AF9F-A80AD6AB3A37}"/>
    <cellStyle name="40% - Accent3 4 5 3" xfId="7472" xr:uid="{A8E03A07-C417-4DD1-A3CB-2584AE01BB49}"/>
    <cellStyle name="40% - Accent3 4 6" xfId="3583" xr:uid="{1CF2FB23-1611-45D7-ABB0-7D6D7A8CD784}"/>
    <cellStyle name="40% - Accent3 4 6 2" xfId="7885" xr:uid="{55FF7BA4-E28D-47F7-BCAA-D83C199DFA35}"/>
    <cellStyle name="40% - Accent3 4 7" xfId="5819" xr:uid="{ABC22F59-9178-4F4D-BE24-3E75D4BA96D4}"/>
    <cellStyle name="40% - Accent3 4 8" xfId="1515" xr:uid="{16980A6C-E37A-4099-9B07-D856D53E54FE}"/>
    <cellStyle name="40% - Accent3 5" xfId="642" xr:uid="{00000000-0005-0000-0000-00008F000000}"/>
    <cellStyle name="40% - Accent3 5 2" xfId="4153" xr:uid="{0303C9BD-95F9-45A9-82FD-1194DF6200B0}"/>
    <cellStyle name="40% - Accent3 5 2 2" xfId="8371" xr:uid="{EED95F28-F520-4071-9618-77090276EA29}"/>
    <cellStyle name="40% - Accent3 5 3" xfId="6226" xr:uid="{3D2219B7-074F-46CF-B778-916D24BE407E}"/>
    <cellStyle name="40% - Accent3 5 4" xfId="1922" xr:uid="{6CCA9416-7BBE-48E1-83B4-8E25ABBF0482}"/>
    <cellStyle name="40% - Accent3 6" xfId="1095" xr:uid="{6E4E2CA0-3E79-4437-A44E-266EE80E7A75}"/>
    <cellStyle name="40% - Accent3 6 2" xfId="4566" xr:uid="{24149DE2-6391-485F-8683-B56486A5606D}"/>
    <cellStyle name="40% - Accent3 6 2 2" xfId="8784" xr:uid="{4428F336-D2AE-4B19-B3CF-661CA21288DD}"/>
    <cellStyle name="40% - Accent3 6 3" xfId="6639" xr:uid="{8BDAB87D-BA11-49B4-9445-797810626F7E}"/>
    <cellStyle name="40% - Accent3 6 4" xfId="2337" xr:uid="{03213820-56DD-4CC5-8677-87B03FD2EED7}"/>
    <cellStyle name="40% - Accent3 7" xfId="2750" xr:uid="{A099BB49-05DC-46B4-8BDE-36868B39EF76}"/>
    <cellStyle name="40% - Accent3 7 2" xfId="4979" xr:uid="{AC49FED8-B14B-4601-980D-E96DACD9F1C2}"/>
    <cellStyle name="40% - Accent3 7 2 2" xfId="9197" xr:uid="{C91DCBF5-518C-49BB-AD45-C97C71ACC4C4}"/>
    <cellStyle name="40% - Accent3 7 3" xfId="7052" xr:uid="{D1DDA59F-8C77-4480-8794-9AF24B6B2269}"/>
    <cellStyle name="40% - Accent3 8" xfId="3163" xr:uid="{6E4F0B9B-86C4-4D4A-BD4B-860650147D42}"/>
    <cellStyle name="40% - Accent3 8 2" xfId="5392" xr:uid="{D2F5FFFF-B57B-4489-B713-5B76802E267E}"/>
    <cellStyle name="40% - Accent3 8 2 2" xfId="9610" xr:uid="{E2610EF5-5A32-4E0F-902F-3D521F5E02B9}"/>
    <cellStyle name="40% - Accent3 8 3" xfId="7465" xr:uid="{26AA3D29-0423-4CE9-9865-09A6E72444AE}"/>
    <cellStyle name="40% - Accent3 9" xfId="3576" xr:uid="{F33BC0F0-9E52-4F17-A163-A90392A7F9C3}"/>
    <cellStyle name="40% - Accent3 9 2" xfId="7878" xr:uid="{F6DBF613-E93D-4D24-98A7-DAA52F1D8510}"/>
    <cellStyle name="40% - Accent4" xfId="73" builtinId="43" customBuiltin="1"/>
    <cellStyle name="40% - Accent4 10" xfId="5820" xr:uid="{E44807EF-0684-4A0B-8A9F-282666EBDAD7}"/>
    <cellStyle name="40% - Accent4 11" xfId="1516" xr:uid="{2F3C17D3-0BB2-4CB0-9C72-5480838B1FDC}"/>
    <cellStyle name="40% - Accent4 2" xfId="74" xr:uid="{00000000-0005-0000-0000-000091000000}"/>
    <cellStyle name="40% - Accent4 2 10" xfId="1517" xr:uid="{B17B2442-336B-4821-8372-A9B2884265EA}"/>
    <cellStyle name="40% - Accent4 2 2" xfId="75" xr:uid="{00000000-0005-0000-0000-000092000000}"/>
    <cellStyle name="40% - Accent4 2 2 2" xfId="76" xr:uid="{00000000-0005-0000-0000-000093000000}"/>
    <cellStyle name="40% - Accent4 2 2 2 2" xfId="653" xr:uid="{00000000-0005-0000-0000-000094000000}"/>
    <cellStyle name="40% - Accent4 2 2 2 2 2" xfId="4164" xr:uid="{D8BDA44B-8534-4107-93C0-418A7F573DB6}"/>
    <cellStyle name="40% - Accent4 2 2 2 2 2 2" xfId="8382" xr:uid="{84FC1500-831F-42FE-AC14-ED74BC4E4304}"/>
    <cellStyle name="40% - Accent4 2 2 2 2 3" xfId="6237" xr:uid="{5C80127A-B8C2-49B2-8863-65E846DAE4F0}"/>
    <cellStyle name="40% - Accent4 2 2 2 2 4" xfId="1933" xr:uid="{D89AC4D0-0D6E-4E9B-965C-E1FA55BE2EF2}"/>
    <cellStyle name="40% - Accent4 2 2 2 3" xfId="1106" xr:uid="{9670B648-C3F4-4159-B98C-72F8915DA149}"/>
    <cellStyle name="40% - Accent4 2 2 2 3 2" xfId="4577" xr:uid="{EDB4DE16-D0F9-429E-B31B-14ED5B3FB6F7}"/>
    <cellStyle name="40% - Accent4 2 2 2 3 2 2" xfId="8795" xr:uid="{9FBDAA24-B72E-4AF8-BD38-6C27FD143065}"/>
    <cellStyle name="40% - Accent4 2 2 2 3 3" xfId="6650" xr:uid="{858804E3-0C25-42F9-9D14-216608A996AD}"/>
    <cellStyle name="40% - Accent4 2 2 2 3 4" xfId="2348" xr:uid="{9B86BFBE-7E36-4E3B-A50A-D3135FB8A729}"/>
    <cellStyle name="40% - Accent4 2 2 2 4" xfId="2761" xr:uid="{495CE31D-17D5-41AE-99C5-8C60B774C599}"/>
    <cellStyle name="40% - Accent4 2 2 2 4 2" xfId="4990" xr:uid="{7800646D-CC94-486D-8F17-6AE96D84F40D}"/>
    <cellStyle name="40% - Accent4 2 2 2 4 2 2" xfId="9208" xr:uid="{369C88F9-AFB3-4C60-83C6-F260D138AE8A}"/>
    <cellStyle name="40% - Accent4 2 2 2 4 3" xfId="7063" xr:uid="{F334E237-D5FA-4F7E-B8FA-C2ADF279A829}"/>
    <cellStyle name="40% - Accent4 2 2 2 5" xfId="3174" xr:uid="{C3C41660-9752-4192-94C2-7822260F30A0}"/>
    <cellStyle name="40% - Accent4 2 2 2 5 2" xfId="5403" xr:uid="{BD1B5EE0-ED48-4A87-901F-F657FCF3E7DD}"/>
    <cellStyle name="40% - Accent4 2 2 2 5 2 2" xfId="9621" xr:uid="{CC8033F7-5E64-44C9-A3E5-5FCCE31E7BA3}"/>
    <cellStyle name="40% - Accent4 2 2 2 5 3" xfId="7476" xr:uid="{E9341E59-9654-4C6C-BA46-629FB1133D62}"/>
    <cellStyle name="40% - Accent4 2 2 2 6" xfId="3587" xr:uid="{FBF3FD6A-1F1D-447D-B89C-3DB1BE79CEFA}"/>
    <cellStyle name="40% - Accent4 2 2 2 6 2" xfId="7889" xr:uid="{A48E4561-37CA-4709-89D7-786E30954605}"/>
    <cellStyle name="40% - Accent4 2 2 2 7" xfId="5823" xr:uid="{77D61D99-B51C-420B-87E5-8701F6A71C60}"/>
    <cellStyle name="40% - Accent4 2 2 2 8" xfId="1519" xr:uid="{5CBD8E4E-8F06-4B37-93CC-8C36925717CC}"/>
    <cellStyle name="40% - Accent4 2 2 3" xfId="652" xr:uid="{00000000-0005-0000-0000-000095000000}"/>
    <cellStyle name="40% - Accent4 2 2 3 2" xfId="4163" xr:uid="{95937792-1254-494B-B874-D91B846E357E}"/>
    <cellStyle name="40% - Accent4 2 2 3 2 2" xfId="8381" xr:uid="{3FAC1965-F25F-4AC4-A196-DB4E7D2F594D}"/>
    <cellStyle name="40% - Accent4 2 2 3 3" xfId="6236" xr:uid="{5934FD7F-C83B-4E83-8631-3891FF661C04}"/>
    <cellStyle name="40% - Accent4 2 2 3 4" xfId="1932" xr:uid="{658C7890-E84C-4270-95DE-8F99221CC1D7}"/>
    <cellStyle name="40% - Accent4 2 2 4" xfId="1105" xr:uid="{26033F83-E6D8-4A77-9088-E05109D98EE0}"/>
    <cellStyle name="40% - Accent4 2 2 4 2" xfId="4576" xr:uid="{0140AABD-44FD-483B-9CB0-0D08B1818D3C}"/>
    <cellStyle name="40% - Accent4 2 2 4 2 2" xfId="8794" xr:uid="{7B816990-B7D5-4E88-AFEA-3C39726D5BAE}"/>
    <cellStyle name="40% - Accent4 2 2 4 3" xfId="6649" xr:uid="{9650F203-EDD9-4C40-9792-38D929FDCB4A}"/>
    <cellStyle name="40% - Accent4 2 2 4 4" xfId="2347" xr:uid="{1CD0F895-E6E9-4F2D-874D-3F3726637F54}"/>
    <cellStyle name="40% - Accent4 2 2 5" xfId="2760" xr:uid="{F77D3B1F-B6F8-44E3-9CA4-9E54D9BC75D2}"/>
    <cellStyle name="40% - Accent4 2 2 5 2" xfId="4989" xr:uid="{D8C58C6C-5A03-4DB5-A252-711FD617153D}"/>
    <cellStyle name="40% - Accent4 2 2 5 2 2" xfId="9207" xr:uid="{08A4B99F-59A6-4E4F-9395-0F1A09E6781B}"/>
    <cellStyle name="40% - Accent4 2 2 5 3" xfId="7062" xr:uid="{8BB69FB0-3AE1-4421-80A4-27208393416E}"/>
    <cellStyle name="40% - Accent4 2 2 6" xfId="3173" xr:uid="{83B88A6F-2358-4458-8750-12629EE5080F}"/>
    <cellStyle name="40% - Accent4 2 2 6 2" xfId="5402" xr:uid="{09647302-B3F3-4D6B-B6B7-FB23B37D726D}"/>
    <cellStyle name="40% - Accent4 2 2 6 2 2" xfId="9620" xr:uid="{F40AA386-4329-4741-9DAE-A3A1CB211377}"/>
    <cellStyle name="40% - Accent4 2 2 6 3" xfId="7475" xr:uid="{781A855A-B842-45C8-B542-A5ECBAC9252D}"/>
    <cellStyle name="40% - Accent4 2 2 7" xfId="3586" xr:uid="{8D86D59C-AE5D-4D44-A881-40A25337AFFD}"/>
    <cellStyle name="40% - Accent4 2 2 7 2" xfId="7888" xr:uid="{9581401F-2826-4AF0-BD33-5C545CABC560}"/>
    <cellStyle name="40% - Accent4 2 2 8" xfId="5822" xr:uid="{40D043B9-CBE7-46C7-8472-C1560738F8C2}"/>
    <cellStyle name="40% - Accent4 2 2 9" xfId="1518" xr:uid="{2D96D63D-1148-4807-B074-A53ECF4A02E7}"/>
    <cellStyle name="40% - Accent4 2 3" xfId="77" xr:uid="{00000000-0005-0000-0000-000096000000}"/>
    <cellStyle name="40% - Accent4 2 3 2" xfId="654" xr:uid="{00000000-0005-0000-0000-000097000000}"/>
    <cellStyle name="40% - Accent4 2 3 2 2" xfId="4165" xr:uid="{FBE13D09-D0B3-4F05-A227-77BE5FC08B18}"/>
    <cellStyle name="40% - Accent4 2 3 2 2 2" xfId="8383" xr:uid="{13A9C4F2-D049-4D12-A93A-9A76DBA3819E}"/>
    <cellStyle name="40% - Accent4 2 3 2 3" xfId="6238" xr:uid="{DB46BE07-0743-4E42-A337-C975E1DEF79A}"/>
    <cellStyle name="40% - Accent4 2 3 2 4" xfId="1934" xr:uid="{52E65113-DC08-4BF6-8879-764C06A80A42}"/>
    <cellStyle name="40% - Accent4 2 3 3" xfId="1107" xr:uid="{5C4C8B54-2825-427A-968F-7627655516AD}"/>
    <cellStyle name="40% - Accent4 2 3 3 2" xfId="4578" xr:uid="{63D9933F-56B6-49F7-AEC3-E2D6BEB0C327}"/>
    <cellStyle name="40% - Accent4 2 3 3 2 2" xfId="8796" xr:uid="{2326CD94-4E3F-4850-A9CF-27D691981D3D}"/>
    <cellStyle name="40% - Accent4 2 3 3 3" xfId="6651" xr:uid="{AE786FA0-7FC4-4F42-A893-866257572859}"/>
    <cellStyle name="40% - Accent4 2 3 3 4" xfId="2349" xr:uid="{B7637CA2-EAEE-4A53-8EFF-AB527FDF8ED3}"/>
    <cellStyle name="40% - Accent4 2 3 4" xfId="2762" xr:uid="{692007BB-7B8E-4023-8951-957A401B9A8E}"/>
    <cellStyle name="40% - Accent4 2 3 4 2" xfId="4991" xr:uid="{F35535E2-49BD-4148-8DCC-DD8F9AC0D2E1}"/>
    <cellStyle name="40% - Accent4 2 3 4 2 2" xfId="9209" xr:uid="{5EF02EE1-9201-43E5-B5CD-5A1ED8222F28}"/>
    <cellStyle name="40% - Accent4 2 3 4 3" xfId="7064" xr:uid="{4C4AB854-35E3-43A4-BF57-0EC10796E641}"/>
    <cellStyle name="40% - Accent4 2 3 5" xfId="3175" xr:uid="{FFDF7D01-763E-4424-82F2-243990CA3EB2}"/>
    <cellStyle name="40% - Accent4 2 3 5 2" xfId="5404" xr:uid="{0B5B358E-6682-4A2D-A9E9-0D5C00DA8CA3}"/>
    <cellStyle name="40% - Accent4 2 3 5 2 2" xfId="9622" xr:uid="{FCE9F8A8-F7EB-46A1-8CB8-242CCC30318B}"/>
    <cellStyle name="40% - Accent4 2 3 5 3" xfId="7477" xr:uid="{B7E8CECF-84A4-48E3-A5D4-8EF8CB4D6277}"/>
    <cellStyle name="40% - Accent4 2 3 6" xfId="3588" xr:uid="{1819EC79-993E-463C-8D58-1F4F6B440DF8}"/>
    <cellStyle name="40% - Accent4 2 3 6 2" xfId="7890" xr:uid="{840FB69E-2F73-4E03-B44E-E7EE7A2B7E1D}"/>
    <cellStyle name="40% - Accent4 2 3 7" xfId="5824" xr:uid="{78BBA349-5BCD-468F-8680-5A197AE378E0}"/>
    <cellStyle name="40% - Accent4 2 3 8" xfId="1520" xr:uid="{980D9251-7CB1-405C-AD1B-8C1F1908720A}"/>
    <cellStyle name="40% - Accent4 2 4" xfId="651" xr:uid="{00000000-0005-0000-0000-000098000000}"/>
    <cellStyle name="40% - Accent4 2 4 2" xfId="4162" xr:uid="{25231348-9888-4BB0-8792-97F9643EA7CF}"/>
    <cellStyle name="40% - Accent4 2 4 2 2" xfId="8380" xr:uid="{B5525DD1-FA4B-4CC9-B3D3-D37124A7C85F}"/>
    <cellStyle name="40% - Accent4 2 4 3" xfId="6235" xr:uid="{967598EE-477F-45D5-82C3-F56FABB52BB9}"/>
    <cellStyle name="40% - Accent4 2 4 4" xfId="1931" xr:uid="{6B5A7D91-4263-402D-BBFE-4487008089BD}"/>
    <cellStyle name="40% - Accent4 2 5" xfId="1104" xr:uid="{3473A25F-3D1A-40E3-93BA-B0D7C47E3A6F}"/>
    <cellStyle name="40% - Accent4 2 5 2" xfId="4575" xr:uid="{4565E742-4644-44D3-A388-5BFB6A0F8CA3}"/>
    <cellStyle name="40% - Accent4 2 5 2 2" xfId="8793" xr:uid="{F7715AFC-4DE0-472D-86FC-E581E8EB37FC}"/>
    <cellStyle name="40% - Accent4 2 5 3" xfId="6648" xr:uid="{1C702A60-40E3-4BDF-955B-3EFA900E4AC9}"/>
    <cellStyle name="40% - Accent4 2 5 4" xfId="2346" xr:uid="{894B092F-E5F0-4775-8275-E8AD9AEF1E5D}"/>
    <cellStyle name="40% - Accent4 2 6" xfId="2759" xr:uid="{AEA82DA5-7911-4629-8555-7CB5CC857C0C}"/>
    <cellStyle name="40% - Accent4 2 6 2" xfId="4988" xr:uid="{78621E9E-5B34-4E6B-91D3-10F18C431905}"/>
    <cellStyle name="40% - Accent4 2 6 2 2" xfId="9206" xr:uid="{8833ABA3-F3F0-4021-B099-47E9C0381C01}"/>
    <cellStyle name="40% - Accent4 2 6 3" xfId="7061" xr:uid="{75455393-AF46-453E-A56C-8CB81F354BDC}"/>
    <cellStyle name="40% - Accent4 2 7" xfId="3172" xr:uid="{5A1602B3-3222-4B1A-B22A-74FD31C8D377}"/>
    <cellStyle name="40% - Accent4 2 7 2" xfId="5401" xr:uid="{03E8D268-EDEB-4F29-83C2-8610575BEEC2}"/>
    <cellStyle name="40% - Accent4 2 7 2 2" xfId="9619" xr:uid="{5F1F361E-D29E-40A8-9782-6A10DE91EF89}"/>
    <cellStyle name="40% - Accent4 2 7 3" xfId="7474" xr:uid="{AEF3DDEB-2C46-428C-83A6-8A22A54FCAE5}"/>
    <cellStyle name="40% - Accent4 2 8" xfId="3585" xr:uid="{C1AFBE0B-C896-4363-9952-7B8916848976}"/>
    <cellStyle name="40% - Accent4 2 8 2" xfId="7887" xr:uid="{1E4BEC6B-0300-4D11-81ED-61B75850BF1E}"/>
    <cellStyle name="40% - Accent4 2 9" xfId="5821" xr:uid="{F3061DD7-A7F5-46D0-BEE8-0D30A90ED12B}"/>
    <cellStyle name="40% - Accent4 3" xfId="78" xr:uid="{00000000-0005-0000-0000-000099000000}"/>
    <cellStyle name="40% - Accent4 3 2" xfId="79" xr:uid="{00000000-0005-0000-0000-00009A000000}"/>
    <cellStyle name="40% - Accent4 3 2 2" xfId="656" xr:uid="{00000000-0005-0000-0000-00009B000000}"/>
    <cellStyle name="40% - Accent4 3 2 2 2" xfId="4167" xr:uid="{676D30EB-1230-4F7D-B66D-B669796C5A9D}"/>
    <cellStyle name="40% - Accent4 3 2 2 2 2" xfId="8385" xr:uid="{3166327A-8500-4F80-9A9C-1F03E06AF50E}"/>
    <cellStyle name="40% - Accent4 3 2 2 3" xfId="6240" xr:uid="{D69B9788-1B84-4A30-A961-AE1983757CD6}"/>
    <cellStyle name="40% - Accent4 3 2 2 4" xfId="1936" xr:uid="{DC1BFEF4-6245-4834-95C0-F872D96F416C}"/>
    <cellStyle name="40% - Accent4 3 2 3" xfId="1109" xr:uid="{F3F6A528-065C-4438-B16C-34A4C5A9E99E}"/>
    <cellStyle name="40% - Accent4 3 2 3 2" xfId="4580" xr:uid="{702FA710-7517-425A-A528-3B63C07A986F}"/>
    <cellStyle name="40% - Accent4 3 2 3 2 2" xfId="8798" xr:uid="{A93059C2-2229-48CD-920E-81A552BAFC2F}"/>
    <cellStyle name="40% - Accent4 3 2 3 3" xfId="6653" xr:uid="{04B8A891-1B2D-4802-9E5E-01E83F742568}"/>
    <cellStyle name="40% - Accent4 3 2 3 4" xfId="2351" xr:uid="{E69C89DE-8E1B-4885-8CB9-3A31410109FC}"/>
    <cellStyle name="40% - Accent4 3 2 4" xfId="2764" xr:uid="{A0BEC5A7-1163-4F98-88DE-566B76374E12}"/>
    <cellStyle name="40% - Accent4 3 2 4 2" xfId="4993" xr:uid="{A965B2F8-1C6D-490A-B4E0-642751C7A86C}"/>
    <cellStyle name="40% - Accent4 3 2 4 2 2" xfId="9211" xr:uid="{C275807B-FDDD-4206-AFBA-371AB69BF943}"/>
    <cellStyle name="40% - Accent4 3 2 4 3" xfId="7066" xr:uid="{8DDB1A41-1C03-44AD-BD5C-81CD254CBC17}"/>
    <cellStyle name="40% - Accent4 3 2 5" xfId="3177" xr:uid="{652EB430-3A33-4260-9255-338115BED4F9}"/>
    <cellStyle name="40% - Accent4 3 2 5 2" xfId="5406" xr:uid="{A63EB816-BC78-466A-9382-7E0269069381}"/>
    <cellStyle name="40% - Accent4 3 2 5 2 2" xfId="9624" xr:uid="{9DBC51C3-2868-43F9-9736-CDCE99205DCB}"/>
    <cellStyle name="40% - Accent4 3 2 5 3" xfId="7479" xr:uid="{54D05CDF-72EC-4BFB-A533-62449889955B}"/>
    <cellStyle name="40% - Accent4 3 2 6" xfId="3590" xr:uid="{2DC53D74-59B2-4A93-ABC0-A667201A54A3}"/>
    <cellStyle name="40% - Accent4 3 2 6 2" xfId="7892" xr:uid="{C3D72D7D-4A08-48F9-A273-A9815805EAF3}"/>
    <cellStyle name="40% - Accent4 3 2 7" xfId="5826" xr:uid="{B42DC0C3-4864-4090-BD4C-8D095C4BDCEE}"/>
    <cellStyle name="40% - Accent4 3 2 8" xfId="1522" xr:uid="{00D17EEC-91FC-4567-8047-9C00DD7DCCC2}"/>
    <cellStyle name="40% - Accent4 3 3" xfId="655" xr:uid="{00000000-0005-0000-0000-00009C000000}"/>
    <cellStyle name="40% - Accent4 3 3 2" xfId="4166" xr:uid="{6EEC28FC-D5B1-46B5-9DBB-DC0A414B4A89}"/>
    <cellStyle name="40% - Accent4 3 3 2 2" xfId="8384" xr:uid="{12A24558-5D06-433C-8C19-49DF99E06702}"/>
    <cellStyle name="40% - Accent4 3 3 3" xfId="6239" xr:uid="{30E91950-3823-4129-8F62-37B2940752CF}"/>
    <cellStyle name="40% - Accent4 3 3 4" xfId="1935" xr:uid="{ED1D3A7F-1AE3-49FA-B53B-5CD82D8FBE0D}"/>
    <cellStyle name="40% - Accent4 3 4" xfId="1108" xr:uid="{EBE89804-14CF-43E5-B8C6-7EB4059A4C38}"/>
    <cellStyle name="40% - Accent4 3 4 2" xfId="4579" xr:uid="{C0FF65FE-679F-45E9-9246-D06C900735F2}"/>
    <cellStyle name="40% - Accent4 3 4 2 2" xfId="8797" xr:uid="{6FB41D66-4DF0-4C5E-B6D3-2F0844E303D6}"/>
    <cellStyle name="40% - Accent4 3 4 3" xfId="6652" xr:uid="{2C688A7D-03EC-4F2B-9676-ECA8C74EBBFB}"/>
    <cellStyle name="40% - Accent4 3 4 4" xfId="2350" xr:uid="{ADDE4162-5D1D-478D-A91C-E33681D4470B}"/>
    <cellStyle name="40% - Accent4 3 5" xfId="2763" xr:uid="{67BFC233-EBFA-4846-84F8-BDA04077A87B}"/>
    <cellStyle name="40% - Accent4 3 5 2" xfId="4992" xr:uid="{BFD01C26-CF1B-424B-A6DB-79B12DCC1302}"/>
    <cellStyle name="40% - Accent4 3 5 2 2" xfId="9210" xr:uid="{2AAEDAC1-AFF7-4CB3-88FF-481ED4B4D558}"/>
    <cellStyle name="40% - Accent4 3 5 3" xfId="7065" xr:uid="{792BE844-A163-4671-8E65-728E8B744071}"/>
    <cellStyle name="40% - Accent4 3 6" xfId="3176" xr:uid="{A716A847-C906-4A63-BCD3-16755D8D2A08}"/>
    <cellStyle name="40% - Accent4 3 6 2" xfId="5405" xr:uid="{BE8CF7E2-37A7-43B6-ACB3-844C56794DBD}"/>
    <cellStyle name="40% - Accent4 3 6 2 2" xfId="9623" xr:uid="{A5BF36F0-C93D-4EAC-8CD5-CC2507037866}"/>
    <cellStyle name="40% - Accent4 3 6 3" xfId="7478" xr:uid="{97803E22-3636-47F8-B641-82303BF06669}"/>
    <cellStyle name="40% - Accent4 3 7" xfId="3589" xr:uid="{0A1059B8-B684-4D1B-800A-6D92DEFB3669}"/>
    <cellStyle name="40% - Accent4 3 7 2" xfId="7891" xr:uid="{967F052A-8706-4E3C-903E-DEE3D19E37E6}"/>
    <cellStyle name="40% - Accent4 3 8" xfId="5825" xr:uid="{CAC893AD-514C-4200-BA53-56EC6F00A21C}"/>
    <cellStyle name="40% - Accent4 3 9" xfId="1521" xr:uid="{092B3F89-D134-4D68-A2B7-0C4CAA9E8FC2}"/>
    <cellStyle name="40% - Accent4 4" xfId="80" xr:uid="{00000000-0005-0000-0000-00009D000000}"/>
    <cellStyle name="40% - Accent4 4 2" xfId="657" xr:uid="{00000000-0005-0000-0000-00009E000000}"/>
    <cellStyle name="40% - Accent4 4 2 2" xfId="4168" xr:uid="{54ED0F12-AE68-44C3-8BD5-4CA5E62C989F}"/>
    <cellStyle name="40% - Accent4 4 2 2 2" xfId="8386" xr:uid="{AE988073-21C7-44A0-8392-C37CD71D9C5E}"/>
    <cellStyle name="40% - Accent4 4 2 3" xfId="6241" xr:uid="{D1F4F9E6-A8B9-42CA-8A81-5EEA1F0D0F5F}"/>
    <cellStyle name="40% - Accent4 4 2 4" xfId="1937" xr:uid="{59851831-35E1-4908-9207-FD71760D3AD3}"/>
    <cellStyle name="40% - Accent4 4 3" xfId="1110" xr:uid="{9C7BDB12-78FE-4A83-9D4D-5E43E14BBA6F}"/>
    <cellStyle name="40% - Accent4 4 3 2" xfId="4581" xr:uid="{7BA16110-DCDB-43B4-8A63-99307B731166}"/>
    <cellStyle name="40% - Accent4 4 3 2 2" xfId="8799" xr:uid="{2BF8D32F-8F38-45C6-8DB9-C09EDFBBC93D}"/>
    <cellStyle name="40% - Accent4 4 3 3" xfId="6654" xr:uid="{AD46F27B-A67A-4DF1-AC8D-A07A65268916}"/>
    <cellStyle name="40% - Accent4 4 3 4" xfId="2352" xr:uid="{8A56B004-7336-4143-84B3-2707D88D502F}"/>
    <cellStyle name="40% - Accent4 4 4" xfId="2765" xr:uid="{1AD7B62E-C53A-4D72-A166-E6CC2EE88734}"/>
    <cellStyle name="40% - Accent4 4 4 2" xfId="4994" xr:uid="{03A385AA-AC50-46B3-BC03-A116282B685F}"/>
    <cellStyle name="40% - Accent4 4 4 2 2" xfId="9212" xr:uid="{DDBEEEDA-3338-45E6-877A-C84F3033E6D4}"/>
    <cellStyle name="40% - Accent4 4 4 3" xfId="7067" xr:uid="{E87C2420-3CD3-4E0F-B96C-9C3E4840FF20}"/>
    <cellStyle name="40% - Accent4 4 5" xfId="3178" xr:uid="{5C140F3E-2DB5-456F-B812-7883D0DA819F}"/>
    <cellStyle name="40% - Accent4 4 5 2" xfId="5407" xr:uid="{4051FFC4-D63C-491D-A440-7C47D0B3DFB3}"/>
    <cellStyle name="40% - Accent4 4 5 2 2" xfId="9625" xr:uid="{37B3A6ED-BE23-4F07-B034-D67337FCEA12}"/>
    <cellStyle name="40% - Accent4 4 5 3" xfId="7480" xr:uid="{942A2F08-7515-4FE7-B93C-09D3327A2E24}"/>
    <cellStyle name="40% - Accent4 4 6" xfId="3591" xr:uid="{573AE9E0-952C-4A21-B3C8-6695A3FA567F}"/>
    <cellStyle name="40% - Accent4 4 6 2" xfId="7893" xr:uid="{180172D3-A97A-4453-B8BD-FA976E7C1E29}"/>
    <cellStyle name="40% - Accent4 4 7" xfId="5827" xr:uid="{C40B7C7A-2943-4003-8686-CEFDE38CE87B}"/>
    <cellStyle name="40% - Accent4 4 8" xfId="1523" xr:uid="{74813F4E-EF64-42F6-913D-872F32B32C2F}"/>
    <cellStyle name="40% - Accent4 5" xfId="650" xr:uid="{00000000-0005-0000-0000-00009F000000}"/>
    <cellStyle name="40% - Accent4 5 2" xfId="4161" xr:uid="{6CD0EADC-EB15-46D3-AB4B-38E83D768C05}"/>
    <cellStyle name="40% - Accent4 5 2 2" xfId="8379" xr:uid="{8EA9FD49-531F-452A-A66B-0A3CFDBC5CB4}"/>
    <cellStyle name="40% - Accent4 5 3" xfId="6234" xr:uid="{E500AB87-1DFE-4493-B566-28481B19E028}"/>
    <cellStyle name="40% - Accent4 5 4" xfId="1930" xr:uid="{99FB5616-7322-40E7-B97B-1C5A13F52158}"/>
    <cellStyle name="40% - Accent4 6" xfId="1103" xr:uid="{4766FD3E-262F-49A3-B8BA-3FF7E8DD4320}"/>
    <cellStyle name="40% - Accent4 6 2" xfId="4574" xr:uid="{CF03BB66-A5BE-4E87-9324-253A638BB552}"/>
    <cellStyle name="40% - Accent4 6 2 2" xfId="8792" xr:uid="{360A9AB8-C9A5-4778-BDBD-56FA2892F3CC}"/>
    <cellStyle name="40% - Accent4 6 3" xfId="6647" xr:uid="{ED863873-CCA1-4297-8CED-364C8A97EBCD}"/>
    <cellStyle name="40% - Accent4 6 4" xfId="2345" xr:uid="{ACB63499-DDDF-472E-B0C4-2EB5BA253390}"/>
    <cellStyle name="40% - Accent4 7" xfId="2758" xr:uid="{7A91E035-E164-488F-BB28-7BBD04242BC6}"/>
    <cellStyle name="40% - Accent4 7 2" xfId="4987" xr:uid="{A69A7C10-D6C9-4FDB-8FD7-40D4D90EAE94}"/>
    <cellStyle name="40% - Accent4 7 2 2" xfId="9205" xr:uid="{AC12B668-4305-4039-B478-2EBB3D7276D1}"/>
    <cellStyle name="40% - Accent4 7 3" xfId="7060" xr:uid="{429DF9F6-CDEC-4305-A6C7-11C07BAD7583}"/>
    <cellStyle name="40% - Accent4 8" xfId="3171" xr:uid="{61470BE0-C0EA-47C2-9A2B-681222116FA0}"/>
    <cellStyle name="40% - Accent4 8 2" xfId="5400" xr:uid="{CBE82642-CACD-48CC-8E51-1225406B1B15}"/>
    <cellStyle name="40% - Accent4 8 2 2" xfId="9618" xr:uid="{950EA22D-752B-403D-9CC3-30FA9019A17B}"/>
    <cellStyle name="40% - Accent4 8 3" xfId="7473" xr:uid="{B9F38DF0-956F-4541-8A68-6B8C7B69CBCE}"/>
    <cellStyle name="40% - Accent4 9" xfId="3584" xr:uid="{3A7B823C-3DD7-4089-8AE3-9D111FE0DE0D}"/>
    <cellStyle name="40% - Accent4 9 2" xfId="7886" xr:uid="{F2564E0D-2F34-465C-906F-55811659A9BA}"/>
    <cellStyle name="40% - Accent5" xfId="81" builtinId="47" customBuiltin="1"/>
    <cellStyle name="40% - Accent5 10" xfId="5828" xr:uid="{441CB72E-6C10-4515-888C-F139C226EB69}"/>
    <cellStyle name="40% - Accent5 11" xfId="1524" xr:uid="{4963DE37-D652-4AC6-BF95-426964F8AA25}"/>
    <cellStyle name="40% - Accent5 2" xfId="82" xr:uid="{00000000-0005-0000-0000-0000A1000000}"/>
    <cellStyle name="40% - Accent5 2 10" xfId="1525" xr:uid="{C4DDA099-7EF4-420D-AB65-13664D6ACEBA}"/>
    <cellStyle name="40% - Accent5 2 2" xfId="83" xr:uid="{00000000-0005-0000-0000-0000A2000000}"/>
    <cellStyle name="40% - Accent5 2 2 2" xfId="84" xr:uid="{00000000-0005-0000-0000-0000A3000000}"/>
    <cellStyle name="40% - Accent5 2 2 2 2" xfId="661" xr:uid="{00000000-0005-0000-0000-0000A4000000}"/>
    <cellStyle name="40% - Accent5 2 2 2 2 2" xfId="4172" xr:uid="{C5A564D9-A65E-4FCB-8CD5-4BB6C7E6AFEB}"/>
    <cellStyle name="40% - Accent5 2 2 2 2 2 2" xfId="8390" xr:uid="{D6E1EF85-FA78-44F1-85D7-22AB54448FC5}"/>
    <cellStyle name="40% - Accent5 2 2 2 2 3" xfId="6245" xr:uid="{4C858D9B-41B7-4472-AD33-27CD54EE1385}"/>
    <cellStyle name="40% - Accent5 2 2 2 2 4" xfId="1941" xr:uid="{1469A9B2-7C02-4660-91FE-FA39D0B96A8A}"/>
    <cellStyle name="40% - Accent5 2 2 2 3" xfId="1114" xr:uid="{C0C7503F-76D6-4DD0-ABCA-719F6E60B544}"/>
    <cellStyle name="40% - Accent5 2 2 2 3 2" xfId="4585" xr:uid="{325DE27E-75EE-4F67-8F14-8B3B861C3EB6}"/>
    <cellStyle name="40% - Accent5 2 2 2 3 2 2" xfId="8803" xr:uid="{80870C47-9EA4-4600-80DF-4E83C0B1AE2C}"/>
    <cellStyle name="40% - Accent5 2 2 2 3 3" xfId="6658" xr:uid="{0EAF2DE6-13BE-46EA-93DF-6317D6D31A37}"/>
    <cellStyle name="40% - Accent5 2 2 2 3 4" xfId="2356" xr:uid="{4383B647-B12E-4743-A534-562466BCDAF8}"/>
    <cellStyle name="40% - Accent5 2 2 2 4" xfId="2769" xr:uid="{06FEC391-D8C5-4C8F-A352-A6A8AD748976}"/>
    <cellStyle name="40% - Accent5 2 2 2 4 2" xfId="4998" xr:uid="{09D1F801-0525-4ACA-9079-E52DC2C3A547}"/>
    <cellStyle name="40% - Accent5 2 2 2 4 2 2" xfId="9216" xr:uid="{83B902A9-50D2-41F0-97C6-AD4FA3383ECE}"/>
    <cellStyle name="40% - Accent5 2 2 2 4 3" xfId="7071" xr:uid="{543BDD36-8D0E-4E4C-916D-B8BE051AF858}"/>
    <cellStyle name="40% - Accent5 2 2 2 5" xfId="3182" xr:uid="{B823BF35-FBF1-4DE5-94B0-EFB26DCB99A3}"/>
    <cellStyle name="40% - Accent5 2 2 2 5 2" xfId="5411" xr:uid="{1CAA202A-12EF-47DE-9654-12BBCC294890}"/>
    <cellStyle name="40% - Accent5 2 2 2 5 2 2" xfId="9629" xr:uid="{4A00CEA7-C125-45C6-AD56-2C58C0388B9B}"/>
    <cellStyle name="40% - Accent5 2 2 2 5 3" xfId="7484" xr:uid="{1096D76F-D340-4084-8D42-105168AE18C8}"/>
    <cellStyle name="40% - Accent5 2 2 2 6" xfId="3595" xr:uid="{20BCBB79-0D12-4D47-8599-DDEAFADBC360}"/>
    <cellStyle name="40% - Accent5 2 2 2 6 2" xfId="7897" xr:uid="{3782CA46-6192-4ABA-BC39-5BCCA6CB3340}"/>
    <cellStyle name="40% - Accent5 2 2 2 7" xfId="5831" xr:uid="{F4F5681A-7244-4382-8473-C864AE2FBEBD}"/>
    <cellStyle name="40% - Accent5 2 2 2 8" xfId="1527" xr:uid="{46DF0784-AEF8-4AF6-B7B4-46692142570A}"/>
    <cellStyle name="40% - Accent5 2 2 3" xfId="660" xr:uid="{00000000-0005-0000-0000-0000A5000000}"/>
    <cellStyle name="40% - Accent5 2 2 3 2" xfId="4171" xr:uid="{17F04C4B-F01E-4152-B207-35A70E8A49B6}"/>
    <cellStyle name="40% - Accent5 2 2 3 2 2" xfId="8389" xr:uid="{22BF3D7A-B1A0-4709-9D49-4C4B81A98CA0}"/>
    <cellStyle name="40% - Accent5 2 2 3 3" xfId="6244" xr:uid="{3DBA883F-8CE8-4AF0-B2B3-FABC4EA58BDA}"/>
    <cellStyle name="40% - Accent5 2 2 3 4" xfId="1940" xr:uid="{FD182969-3513-4C4C-BAE8-8A252709B8B1}"/>
    <cellStyle name="40% - Accent5 2 2 4" xfId="1113" xr:uid="{8926318E-72F5-4C85-BF69-502FA3A2C276}"/>
    <cellStyle name="40% - Accent5 2 2 4 2" xfId="4584" xr:uid="{EE27FD59-FCB7-427B-A70B-FA5F8AAE4080}"/>
    <cellStyle name="40% - Accent5 2 2 4 2 2" xfId="8802" xr:uid="{9DE643CE-BCEA-4774-A13C-86D2B0837484}"/>
    <cellStyle name="40% - Accent5 2 2 4 3" xfId="6657" xr:uid="{3077F71D-33DC-4E92-BB44-E7A907C76D52}"/>
    <cellStyle name="40% - Accent5 2 2 4 4" xfId="2355" xr:uid="{BD0A526D-7388-47E9-9B43-BE5860475D8C}"/>
    <cellStyle name="40% - Accent5 2 2 5" xfId="2768" xr:uid="{0E1C6052-2F22-40EE-A858-D8EA9705E80C}"/>
    <cellStyle name="40% - Accent5 2 2 5 2" xfId="4997" xr:uid="{B9088137-F243-41B1-9BB5-68C0C478EBB4}"/>
    <cellStyle name="40% - Accent5 2 2 5 2 2" xfId="9215" xr:uid="{19424AD3-60A8-45EE-8C0B-747D20E370DC}"/>
    <cellStyle name="40% - Accent5 2 2 5 3" xfId="7070" xr:uid="{86E46582-964E-4386-9A11-D6F2E517BF78}"/>
    <cellStyle name="40% - Accent5 2 2 6" xfId="3181" xr:uid="{A4011DA1-D04E-433C-8FE4-B0B2AD259238}"/>
    <cellStyle name="40% - Accent5 2 2 6 2" xfId="5410" xr:uid="{4B8B3C98-6705-4697-8219-90E16E2B1793}"/>
    <cellStyle name="40% - Accent5 2 2 6 2 2" xfId="9628" xr:uid="{5CCADC89-76CA-4659-889C-EFEC4DA2C556}"/>
    <cellStyle name="40% - Accent5 2 2 6 3" xfId="7483" xr:uid="{297CADC2-0F05-4ABC-9F87-77342EA7F71D}"/>
    <cellStyle name="40% - Accent5 2 2 7" xfId="3594" xr:uid="{0C9CA618-936E-463A-8DC4-B8CF283477BB}"/>
    <cellStyle name="40% - Accent5 2 2 7 2" xfId="7896" xr:uid="{9EDED900-B244-4048-A424-F5568B8D962B}"/>
    <cellStyle name="40% - Accent5 2 2 8" xfId="5830" xr:uid="{1FDC4C50-3455-483D-8D7A-3F6408500453}"/>
    <cellStyle name="40% - Accent5 2 2 9" xfId="1526" xr:uid="{EE1666A8-EA43-4F5B-AE8C-21751688F9F7}"/>
    <cellStyle name="40% - Accent5 2 3" xfId="85" xr:uid="{00000000-0005-0000-0000-0000A6000000}"/>
    <cellStyle name="40% - Accent5 2 3 2" xfId="662" xr:uid="{00000000-0005-0000-0000-0000A7000000}"/>
    <cellStyle name="40% - Accent5 2 3 2 2" xfId="4173" xr:uid="{3E52C41A-8921-47C8-854B-E2C963697BBD}"/>
    <cellStyle name="40% - Accent5 2 3 2 2 2" xfId="8391" xr:uid="{B9C48400-F0F2-40E5-A440-E051EA5C24EA}"/>
    <cellStyle name="40% - Accent5 2 3 2 3" xfId="6246" xr:uid="{BCD5C9C4-4AD2-4597-8DF2-B3746675345B}"/>
    <cellStyle name="40% - Accent5 2 3 2 4" xfId="1942" xr:uid="{B1262C08-0E53-4AC5-ADD3-B564EBF46BE7}"/>
    <cellStyle name="40% - Accent5 2 3 3" xfId="1115" xr:uid="{A1887975-31BB-42EB-888E-DE0827528850}"/>
    <cellStyle name="40% - Accent5 2 3 3 2" xfId="4586" xr:uid="{83383D68-52F0-4FE7-A962-64EAA89547CA}"/>
    <cellStyle name="40% - Accent5 2 3 3 2 2" xfId="8804" xr:uid="{5738ACE6-7F75-4D85-8B85-F97EE6D0CDFC}"/>
    <cellStyle name="40% - Accent5 2 3 3 3" xfId="6659" xr:uid="{358793BC-7119-477D-BF9C-31FF143D77B1}"/>
    <cellStyle name="40% - Accent5 2 3 3 4" xfId="2357" xr:uid="{E2610276-065C-4226-ACEF-11F71458DEBD}"/>
    <cellStyle name="40% - Accent5 2 3 4" xfId="2770" xr:uid="{C1964899-E112-4993-8D29-D639B8A77ED0}"/>
    <cellStyle name="40% - Accent5 2 3 4 2" xfId="4999" xr:uid="{BF01C3A4-5208-490F-AB97-59927F7C7F0C}"/>
    <cellStyle name="40% - Accent5 2 3 4 2 2" xfId="9217" xr:uid="{B646A230-C983-4591-BDDC-876E5D192050}"/>
    <cellStyle name="40% - Accent5 2 3 4 3" xfId="7072" xr:uid="{E4C82EA9-E1FC-4789-8CCB-24027C08103E}"/>
    <cellStyle name="40% - Accent5 2 3 5" xfId="3183" xr:uid="{84CD7505-3F72-4206-B062-DB021C615255}"/>
    <cellStyle name="40% - Accent5 2 3 5 2" xfId="5412" xr:uid="{7C9AF86F-00AC-4EB1-9F7D-9F81F17A4D70}"/>
    <cellStyle name="40% - Accent5 2 3 5 2 2" xfId="9630" xr:uid="{5CD9A144-5C4E-494E-83CC-94806C216EAB}"/>
    <cellStyle name="40% - Accent5 2 3 5 3" xfId="7485" xr:uid="{97F92205-D4AB-4824-86C9-EB1D027F6D36}"/>
    <cellStyle name="40% - Accent5 2 3 6" xfId="3596" xr:uid="{08D98F47-2D6A-4936-9BBA-AF91C1C6A4D7}"/>
    <cellStyle name="40% - Accent5 2 3 6 2" xfId="7898" xr:uid="{B9C5B84B-576F-4AE0-BDF3-4D1FB95E67E0}"/>
    <cellStyle name="40% - Accent5 2 3 7" xfId="5832" xr:uid="{AD4B698D-58DC-4F9B-8F52-B1ABB5034655}"/>
    <cellStyle name="40% - Accent5 2 3 8" xfId="1528" xr:uid="{BBAEDABE-DA01-422E-BD33-839CAFEA9525}"/>
    <cellStyle name="40% - Accent5 2 4" xfId="659" xr:uid="{00000000-0005-0000-0000-0000A8000000}"/>
    <cellStyle name="40% - Accent5 2 4 2" xfId="4170" xr:uid="{543985A8-F4FB-4F13-9F29-64EBA5FCA5D4}"/>
    <cellStyle name="40% - Accent5 2 4 2 2" xfId="8388" xr:uid="{5956FEC2-9750-4C2E-A074-E4C4ECE452F0}"/>
    <cellStyle name="40% - Accent5 2 4 3" xfId="6243" xr:uid="{18C4A639-D2CA-403A-ABE6-E40AC627B9F5}"/>
    <cellStyle name="40% - Accent5 2 4 4" xfId="1939" xr:uid="{C0373B4C-1754-4D63-A24C-6C7AC816A9CC}"/>
    <cellStyle name="40% - Accent5 2 5" xfId="1112" xr:uid="{D4E2133D-31A8-4DC3-A216-888659120DD3}"/>
    <cellStyle name="40% - Accent5 2 5 2" xfId="4583" xr:uid="{5E5E0958-42BC-445E-8253-E5AB1CB2E1AD}"/>
    <cellStyle name="40% - Accent5 2 5 2 2" xfId="8801" xr:uid="{449D8234-6839-4595-8F28-FC5A36233E5E}"/>
    <cellStyle name="40% - Accent5 2 5 3" xfId="6656" xr:uid="{3F354EA5-7203-4F0F-969A-045C8660A2A6}"/>
    <cellStyle name="40% - Accent5 2 5 4" xfId="2354" xr:uid="{28B7A3EC-6B31-47E3-80F8-94102945830C}"/>
    <cellStyle name="40% - Accent5 2 6" xfId="2767" xr:uid="{798E2622-2BB3-4C95-8229-1C7E7BD393E6}"/>
    <cellStyle name="40% - Accent5 2 6 2" xfId="4996" xr:uid="{5F27866B-6227-46C5-87A8-A9B89931FE60}"/>
    <cellStyle name="40% - Accent5 2 6 2 2" xfId="9214" xr:uid="{1C58C3AA-CB85-41C8-928B-AD881C026D05}"/>
    <cellStyle name="40% - Accent5 2 6 3" xfId="7069" xr:uid="{48253D64-F805-4FD0-ADF2-C8018AB6845D}"/>
    <cellStyle name="40% - Accent5 2 7" xfId="3180" xr:uid="{E3865090-0B23-476A-8921-1891CD1E0AC8}"/>
    <cellStyle name="40% - Accent5 2 7 2" xfId="5409" xr:uid="{C5D8E521-A6D6-4350-B791-ABCF7E231B57}"/>
    <cellStyle name="40% - Accent5 2 7 2 2" xfId="9627" xr:uid="{6DDDC661-2872-4CE4-B3C9-A757FC6E39E6}"/>
    <cellStyle name="40% - Accent5 2 7 3" xfId="7482" xr:uid="{D146FE0E-6852-4D63-A54D-E23C5EEB9BE2}"/>
    <cellStyle name="40% - Accent5 2 8" xfId="3593" xr:uid="{E7BAFF1C-BB68-43CF-9C90-37FDC685EE8F}"/>
    <cellStyle name="40% - Accent5 2 8 2" xfId="7895" xr:uid="{9C4ED851-81C8-4DA5-8B2C-1ADFD233C6C3}"/>
    <cellStyle name="40% - Accent5 2 9" xfId="5829" xr:uid="{1430AE67-B399-484C-B84F-D72583A98F21}"/>
    <cellStyle name="40% - Accent5 3" xfId="86" xr:uid="{00000000-0005-0000-0000-0000A9000000}"/>
    <cellStyle name="40% - Accent5 3 2" xfId="87" xr:uid="{00000000-0005-0000-0000-0000AA000000}"/>
    <cellStyle name="40% - Accent5 3 2 2" xfId="664" xr:uid="{00000000-0005-0000-0000-0000AB000000}"/>
    <cellStyle name="40% - Accent5 3 2 2 2" xfId="4175" xr:uid="{919D98AE-7FB5-4543-A539-BB1E0E211654}"/>
    <cellStyle name="40% - Accent5 3 2 2 2 2" xfId="8393" xr:uid="{C4619482-935C-45CB-9AAC-44E47829A85E}"/>
    <cellStyle name="40% - Accent5 3 2 2 3" xfId="6248" xr:uid="{367B7561-D722-46D7-A037-FFE12F94A92B}"/>
    <cellStyle name="40% - Accent5 3 2 2 4" xfId="1944" xr:uid="{07AF993D-D5D2-413F-B378-1511D65ECB50}"/>
    <cellStyle name="40% - Accent5 3 2 3" xfId="1117" xr:uid="{1F13F6CF-6AD5-47EA-9981-AB761B271884}"/>
    <cellStyle name="40% - Accent5 3 2 3 2" xfId="4588" xr:uid="{F96D2AF8-18FF-4810-BFA3-D56A8930510D}"/>
    <cellStyle name="40% - Accent5 3 2 3 2 2" xfId="8806" xr:uid="{81A532C8-D485-4B65-A704-D0CB48E900AC}"/>
    <cellStyle name="40% - Accent5 3 2 3 3" xfId="6661" xr:uid="{207AEE5C-6EA3-4EEA-98DE-B512F640997E}"/>
    <cellStyle name="40% - Accent5 3 2 3 4" xfId="2359" xr:uid="{3BBFEDF8-6436-4A71-8B66-5481C5D3B588}"/>
    <cellStyle name="40% - Accent5 3 2 4" xfId="2772" xr:uid="{052F0FA9-AEB5-4E63-9BD8-5C14716105DE}"/>
    <cellStyle name="40% - Accent5 3 2 4 2" xfId="5001" xr:uid="{E37929C6-6B00-43A8-B274-D9ED3F5E4A13}"/>
    <cellStyle name="40% - Accent5 3 2 4 2 2" xfId="9219" xr:uid="{BF039331-F5F1-4CE1-9B22-DB81A0FF4278}"/>
    <cellStyle name="40% - Accent5 3 2 4 3" xfId="7074" xr:uid="{B95327F5-7999-4A6A-AA31-7824DA8BA349}"/>
    <cellStyle name="40% - Accent5 3 2 5" xfId="3185" xr:uid="{DB4F171E-1CF7-4035-9FE8-EA9B432086DC}"/>
    <cellStyle name="40% - Accent5 3 2 5 2" xfId="5414" xr:uid="{F04F4D05-F896-4072-AC00-78910F1BDFD0}"/>
    <cellStyle name="40% - Accent5 3 2 5 2 2" xfId="9632" xr:uid="{A36B9725-623B-48EE-8AD7-FCD341F48132}"/>
    <cellStyle name="40% - Accent5 3 2 5 3" xfId="7487" xr:uid="{2A155B25-1226-4D16-B5E9-F2D60EE60A40}"/>
    <cellStyle name="40% - Accent5 3 2 6" xfId="3598" xr:uid="{D65AD19D-19F8-4DC9-8304-E38B3B61B44E}"/>
    <cellStyle name="40% - Accent5 3 2 6 2" xfId="7900" xr:uid="{E440E8D3-AE7A-4E7F-B736-9251025B26FF}"/>
    <cellStyle name="40% - Accent5 3 2 7" xfId="5834" xr:uid="{8FBCC6F4-96BD-47A2-BB95-D545501820B3}"/>
    <cellStyle name="40% - Accent5 3 2 8" xfId="1530" xr:uid="{91AF7E33-AA34-4F2A-9DD3-30909DCACAB3}"/>
    <cellStyle name="40% - Accent5 3 3" xfId="663" xr:uid="{00000000-0005-0000-0000-0000AC000000}"/>
    <cellStyle name="40% - Accent5 3 3 2" xfId="4174" xr:uid="{6CDD9730-0A57-49F5-972C-7D2DC936E873}"/>
    <cellStyle name="40% - Accent5 3 3 2 2" xfId="8392" xr:uid="{2DAF71A2-6D95-463D-8496-9226DE36FAD6}"/>
    <cellStyle name="40% - Accent5 3 3 3" xfId="6247" xr:uid="{5E3BB1D8-4C03-415E-9C2C-00B63B54DB3D}"/>
    <cellStyle name="40% - Accent5 3 3 4" xfId="1943" xr:uid="{55A1D666-8C7A-4F2B-8FF8-9DB27AD0A42A}"/>
    <cellStyle name="40% - Accent5 3 4" xfId="1116" xr:uid="{2F20DA13-37C3-4F6B-B00F-4B9891F26734}"/>
    <cellStyle name="40% - Accent5 3 4 2" xfId="4587" xr:uid="{4D7350C4-3C6E-48F5-8FA6-30400E3D99EA}"/>
    <cellStyle name="40% - Accent5 3 4 2 2" xfId="8805" xr:uid="{6CEF33E2-D5E6-46B8-8280-C26F553AE373}"/>
    <cellStyle name="40% - Accent5 3 4 3" xfId="6660" xr:uid="{43D49593-4FE2-4314-BB77-47F507F5F2D9}"/>
    <cellStyle name="40% - Accent5 3 4 4" xfId="2358" xr:uid="{9A22CFA7-49DD-429F-B3C0-A75B02367673}"/>
    <cellStyle name="40% - Accent5 3 5" xfId="2771" xr:uid="{C499AF65-8C22-4696-BB68-7777777DE6E9}"/>
    <cellStyle name="40% - Accent5 3 5 2" xfId="5000" xr:uid="{431893B6-07F8-4CD4-9105-A5045C31812F}"/>
    <cellStyle name="40% - Accent5 3 5 2 2" xfId="9218" xr:uid="{74B4BD0E-CE98-418A-9402-49A781C1016C}"/>
    <cellStyle name="40% - Accent5 3 5 3" xfId="7073" xr:uid="{BD24ACF1-28D7-4AAE-AEEE-B136B63CE39C}"/>
    <cellStyle name="40% - Accent5 3 6" xfId="3184" xr:uid="{15DA7B62-58C8-4A32-92CC-B560174CF38C}"/>
    <cellStyle name="40% - Accent5 3 6 2" xfId="5413" xr:uid="{0BDDA7D8-F7B1-4F21-8646-7BB345DFA140}"/>
    <cellStyle name="40% - Accent5 3 6 2 2" xfId="9631" xr:uid="{9D2166B3-62BB-4A70-9477-7A9FD8BC02D7}"/>
    <cellStyle name="40% - Accent5 3 6 3" xfId="7486" xr:uid="{BFBF32C2-28FF-41B3-973A-A909BDABB132}"/>
    <cellStyle name="40% - Accent5 3 7" xfId="3597" xr:uid="{0705865E-0D04-4B1E-A111-0936CBEE913C}"/>
    <cellStyle name="40% - Accent5 3 7 2" xfId="7899" xr:uid="{B35B3EA6-77FF-46EC-A976-4E5E2A58DE1C}"/>
    <cellStyle name="40% - Accent5 3 8" xfId="5833" xr:uid="{02D88773-EDD7-43D9-A377-EB378DB96EFB}"/>
    <cellStyle name="40% - Accent5 3 9" xfId="1529" xr:uid="{47B22A6D-4542-495F-A640-EFB375F3A3D3}"/>
    <cellStyle name="40% - Accent5 4" xfId="88" xr:uid="{00000000-0005-0000-0000-0000AD000000}"/>
    <cellStyle name="40% - Accent5 4 2" xfId="665" xr:uid="{00000000-0005-0000-0000-0000AE000000}"/>
    <cellStyle name="40% - Accent5 4 2 2" xfId="4176" xr:uid="{3CE67009-0E8F-472F-84F7-7BE4E8F2F8EF}"/>
    <cellStyle name="40% - Accent5 4 2 2 2" xfId="8394" xr:uid="{A180107A-4D70-4FC1-8A5C-F7D2BBE72D0B}"/>
    <cellStyle name="40% - Accent5 4 2 3" xfId="6249" xr:uid="{F0D7BD3A-3E43-481D-92A5-6A2809E916B3}"/>
    <cellStyle name="40% - Accent5 4 2 4" xfId="1945" xr:uid="{F1B91EFE-829C-435D-8D60-751D6D73185B}"/>
    <cellStyle name="40% - Accent5 4 3" xfId="1118" xr:uid="{8A40FF73-507F-46FA-9429-F6EB69CDD38D}"/>
    <cellStyle name="40% - Accent5 4 3 2" xfId="4589" xr:uid="{EE4663AF-8F98-4227-AE31-62500C196762}"/>
    <cellStyle name="40% - Accent5 4 3 2 2" xfId="8807" xr:uid="{94AA3D42-160C-41D2-A807-6397FB58734A}"/>
    <cellStyle name="40% - Accent5 4 3 3" xfId="6662" xr:uid="{8F5D2D66-EC21-40C1-B66A-63AE874F993D}"/>
    <cellStyle name="40% - Accent5 4 3 4" xfId="2360" xr:uid="{CF5E3D61-7B60-45AD-AE78-40B8F0E323CB}"/>
    <cellStyle name="40% - Accent5 4 4" xfId="2773" xr:uid="{2C87E3DA-1ECA-4EC8-A5BB-E9F99A5F989F}"/>
    <cellStyle name="40% - Accent5 4 4 2" xfId="5002" xr:uid="{15ACC02D-C1DB-435C-924F-EBAED7C2C3EB}"/>
    <cellStyle name="40% - Accent5 4 4 2 2" xfId="9220" xr:uid="{903C4540-B9D5-4DEE-BEDB-E9B55809E7E3}"/>
    <cellStyle name="40% - Accent5 4 4 3" xfId="7075" xr:uid="{F2E78190-D831-48E6-8D37-18EF00854BB0}"/>
    <cellStyle name="40% - Accent5 4 5" xfId="3186" xr:uid="{C1FAD467-2CDF-444E-9ABE-C409CB64CA4F}"/>
    <cellStyle name="40% - Accent5 4 5 2" xfId="5415" xr:uid="{85AF791C-A85E-4EF7-AB78-2DE8462D2E35}"/>
    <cellStyle name="40% - Accent5 4 5 2 2" xfId="9633" xr:uid="{D0B65399-B5F0-406A-A6CA-B50F5FF252A2}"/>
    <cellStyle name="40% - Accent5 4 5 3" xfId="7488" xr:uid="{6719B511-AEC6-4B91-A4BB-6E8B46436838}"/>
    <cellStyle name="40% - Accent5 4 6" xfId="3599" xr:uid="{07180621-5D38-41C8-B791-C9B5FFBBFCF3}"/>
    <cellStyle name="40% - Accent5 4 6 2" xfId="7901" xr:uid="{DF9438A0-ADE9-45A8-8B57-3BAF0C532308}"/>
    <cellStyle name="40% - Accent5 4 7" xfId="5835" xr:uid="{1BC5C9B3-0A8A-4741-8A1B-1F3AE50F3D27}"/>
    <cellStyle name="40% - Accent5 4 8" xfId="1531" xr:uid="{2848E5BC-75C1-4316-9EA6-06FF42ABC7EE}"/>
    <cellStyle name="40% - Accent5 5" xfId="658" xr:uid="{00000000-0005-0000-0000-0000AF000000}"/>
    <cellStyle name="40% - Accent5 5 2" xfId="4169" xr:uid="{3C9D807E-B4EB-43F5-93FA-5074325DA902}"/>
    <cellStyle name="40% - Accent5 5 2 2" xfId="8387" xr:uid="{41A0C128-773D-426B-8294-208F0D6461DF}"/>
    <cellStyle name="40% - Accent5 5 3" xfId="6242" xr:uid="{8DFDCD67-8130-4716-80B5-1F9EFF810F60}"/>
    <cellStyle name="40% - Accent5 5 4" xfId="1938" xr:uid="{3C6F8324-F1B8-4DA6-B054-0D906CFEC273}"/>
    <cellStyle name="40% - Accent5 6" xfId="1111" xr:uid="{916AABD8-721B-4494-BFF1-4DF1C887DC58}"/>
    <cellStyle name="40% - Accent5 6 2" xfId="4582" xr:uid="{93389D22-F0AC-4C91-AE77-D24BB827FC02}"/>
    <cellStyle name="40% - Accent5 6 2 2" xfId="8800" xr:uid="{30948C87-E5EF-42D5-9FD4-475BB4D77C4E}"/>
    <cellStyle name="40% - Accent5 6 3" xfId="6655" xr:uid="{09B680C2-0555-4825-8E0C-94721EF6ED2E}"/>
    <cellStyle name="40% - Accent5 6 4" xfId="2353" xr:uid="{4D1446C2-E523-45C4-B110-0F22B1873FBA}"/>
    <cellStyle name="40% - Accent5 7" xfId="2766" xr:uid="{04126EB3-1836-4258-A3F3-D49176D95939}"/>
    <cellStyle name="40% - Accent5 7 2" xfId="4995" xr:uid="{210685B2-BB46-442F-AE93-B46A3A95E603}"/>
    <cellStyle name="40% - Accent5 7 2 2" xfId="9213" xr:uid="{A82E03F0-A8D5-4CB9-AA2C-A28BB1C6182D}"/>
    <cellStyle name="40% - Accent5 7 3" xfId="7068" xr:uid="{0D9311C8-AEA3-4DB5-B858-1A077D9617DE}"/>
    <cellStyle name="40% - Accent5 8" xfId="3179" xr:uid="{EB8135F1-7855-4AEE-8E06-040CBB694176}"/>
    <cellStyle name="40% - Accent5 8 2" xfId="5408" xr:uid="{F9619B0A-36A7-4154-A19A-D8D54C970461}"/>
    <cellStyle name="40% - Accent5 8 2 2" xfId="9626" xr:uid="{D801C2E8-BC28-4107-B623-C42A685D04EF}"/>
    <cellStyle name="40% - Accent5 8 3" xfId="7481" xr:uid="{58271A1C-2C56-42D5-A526-9B3CD13977CB}"/>
    <cellStyle name="40% - Accent5 9" xfId="3592" xr:uid="{BC7CD254-5A86-457C-BA87-5A0F0AAD8E13}"/>
    <cellStyle name="40% - Accent5 9 2" xfId="7894" xr:uid="{38E98A94-C8AE-401E-8B15-0392DFD09A33}"/>
    <cellStyle name="40% - Accent6" xfId="89" builtinId="51" customBuiltin="1"/>
    <cellStyle name="40% - Accent6 10" xfId="5836" xr:uid="{A3E15184-1585-44FC-A209-3C9A21B2199E}"/>
    <cellStyle name="40% - Accent6 11" xfId="1532" xr:uid="{F897823E-E26B-4756-BE63-FA5D33D4A734}"/>
    <cellStyle name="40% - Accent6 2" xfId="90" xr:uid="{00000000-0005-0000-0000-0000B1000000}"/>
    <cellStyle name="40% - Accent6 2 10" xfId="1533" xr:uid="{0094CE77-5A51-4B83-BD9E-4EA5A5A6A8E9}"/>
    <cellStyle name="40% - Accent6 2 2" xfId="91" xr:uid="{00000000-0005-0000-0000-0000B2000000}"/>
    <cellStyle name="40% - Accent6 2 2 2" xfId="92" xr:uid="{00000000-0005-0000-0000-0000B3000000}"/>
    <cellStyle name="40% - Accent6 2 2 2 2" xfId="669" xr:uid="{00000000-0005-0000-0000-0000B4000000}"/>
    <cellStyle name="40% - Accent6 2 2 2 2 2" xfId="4180" xr:uid="{0EDE1CBF-DC7C-49CB-A71F-58B281EC86E4}"/>
    <cellStyle name="40% - Accent6 2 2 2 2 2 2" xfId="8398" xr:uid="{BE6F593D-7013-4C2B-97FC-5F99B98FF3F6}"/>
    <cellStyle name="40% - Accent6 2 2 2 2 3" xfId="6253" xr:uid="{95FC5164-2607-4ABF-BFDD-FB0A5126AC02}"/>
    <cellStyle name="40% - Accent6 2 2 2 2 4" xfId="1949" xr:uid="{94F6ADF6-EC50-4BEA-A947-CDBFF80E8E66}"/>
    <cellStyle name="40% - Accent6 2 2 2 3" xfId="1122" xr:uid="{299C695F-1CA7-42BD-AD76-180288107015}"/>
    <cellStyle name="40% - Accent6 2 2 2 3 2" xfId="4593" xr:uid="{7913DD5C-77E7-46EC-AA44-BD524AEBF976}"/>
    <cellStyle name="40% - Accent6 2 2 2 3 2 2" xfId="8811" xr:uid="{E94DECED-3512-495F-9A2F-372948850F52}"/>
    <cellStyle name="40% - Accent6 2 2 2 3 3" xfId="6666" xr:uid="{637F3A57-C7E0-4B42-B73A-D096341A2565}"/>
    <cellStyle name="40% - Accent6 2 2 2 3 4" xfId="2364" xr:uid="{77B45E88-DFA7-4486-BFC2-A5C693EBD9C1}"/>
    <cellStyle name="40% - Accent6 2 2 2 4" xfId="2777" xr:uid="{64B9B8E7-1857-48B3-B683-7BD343EFEA2E}"/>
    <cellStyle name="40% - Accent6 2 2 2 4 2" xfId="5006" xr:uid="{BE70665E-2577-4D4C-9B29-155054B744A3}"/>
    <cellStyle name="40% - Accent6 2 2 2 4 2 2" xfId="9224" xr:uid="{32A7B65C-35CA-4EB8-8241-75C745D15ED1}"/>
    <cellStyle name="40% - Accent6 2 2 2 4 3" xfId="7079" xr:uid="{58A8E35C-F444-444B-B66A-7BC2399C3FC5}"/>
    <cellStyle name="40% - Accent6 2 2 2 5" xfId="3190" xr:uid="{527CBE60-8366-460A-8324-683F63A26C9B}"/>
    <cellStyle name="40% - Accent6 2 2 2 5 2" xfId="5419" xr:uid="{70B059F1-4828-4231-A1F9-F25D4D853003}"/>
    <cellStyle name="40% - Accent6 2 2 2 5 2 2" xfId="9637" xr:uid="{34C00CF9-3E7E-4524-94F6-352F6F4CF2D3}"/>
    <cellStyle name="40% - Accent6 2 2 2 5 3" xfId="7492" xr:uid="{88DC12D7-36CE-44FD-98A8-B9864A360364}"/>
    <cellStyle name="40% - Accent6 2 2 2 6" xfId="3603" xr:uid="{1AFAA645-FBAB-4EFE-AE2D-26173A768EFE}"/>
    <cellStyle name="40% - Accent6 2 2 2 6 2" xfId="7905" xr:uid="{4E8E4DF3-6C91-40E0-AB0F-56E081EC64C8}"/>
    <cellStyle name="40% - Accent6 2 2 2 7" xfId="5839" xr:uid="{E4844D9C-47CB-4E57-AF9D-D8F5CD3724CD}"/>
    <cellStyle name="40% - Accent6 2 2 2 8" xfId="1535" xr:uid="{CD511E87-EE84-480A-BD01-15C80B242FA1}"/>
    <cellStyle name="40% - Accent6 2 2 3" xfId="668" xr:uid="{00000000-0005-0000-0000-0000B5000000}"/>
    <cellStyle name="40% - Accent6 2 2 3 2" xfId="4179" xr:uid="{70803FC0-EE2B-405C-B7F6-848F179EBC3A}"/>
    <cellStyle name="40% - Accent6 2 2 3 2 2" xfId="8397" xr:uid="{7B550439-BAC6-49AD-82B6-A021350F214A}"/>
    <cellStyle name="40% - Accent6 2 2 3 3" xfId="6252" xr:uid="{E92D8FDC-6997-41D0-A2B6-286D3BC31BDF}"/>
    <cellStyle name="40% - Accent6 2 2 3 4" xfId="1948" xr:uid="{23F85DB5-296D-405A-BAB3-DCDF5FB8AD3B}"/>
    <cellStyle name="40% - Accent6 2 2 4" xfId="1121" xr:uid="{015774F7-8006-4D04-8279-924BA12BC652}"/>
    <cellStyle name="40% - Accent6 2 2 4 2" xfId="4592" xr:uid="{417D46D5-E676-4291-95CE-A565948786C1}"/>
    <cellStyle name="40% - Accent6 2 2 4 2 2" xfId="8810" xr:uid="{EE273C64-13CF-4D96-9C53-66D8D07ED388}"/>
    <cellStyle name="40% - Accent6 2 2 4 3" xfId="6665" xr:uid="{AFE4CA7E-1D59-4D99-87CF-9C755D217F2C}"/>
    <cellStyle name="40% - Accent6 2 2 4 4" xfId="2363" xr:uid="{A5A91F49-AFD6-4D6B-83D1-133EA409C68F}"/>
    <cellStyle name="40% - Accent6 2 2 5" xfId="2776" xr:uid="{557C49A6-022C-4D5F-8949-73698D715DFA}"/>
    <cellStyle name="40% - Accent6 2 2 5 2" xfId="5005" xr:uid="{94FAB794-19EC-4298-A9AF-BDFF51F0272A}"/>
    <cellStyle name="40% - Accent6 2 2 5 2 2" xfId="9223" xr:uid="{38102BD9-2536-49F9-B335-B72204529EE6}"/>
    <cellStyle name="40% - Accent6 2 2 5 3" xfId="7078" xr:uid="{BC25AF13-31B5-40F2-9C90-A61D17547F7F}"/>
    <cellStyle name="40% - Accent6 2 2 6" xfId="3189" xr:uid="{49E5939A-C066-48DD-B8A2-28435F6B8840}"/>
    <cellStyle name="40% - Accent6 2 2 6 2" xfId="5418" xr:uid="{93F8324F-22D1-4D56-BE7F-77D6059867FE}"/>
    <cellStyle name="40% - Accent6 2 2 6 2 2" xfId="9636" xr:uid="{97A7571D-66A2-4D91-A6B1-604BE6A70B43}"/>
    <cellStyle name="40% - Accent6 2 2 6 3" xfId="7491" xr:uid="{4C7ADBE2-E5B2-4C38-8678-D7BDC7E198C3}"/>
    <cellStyle name="40% - Accent6 2 2 7" xfId="3602" xr:uid="{574146F8-4617-4E51-A994-177B71EF3A15}"/>
    <cellStyle name="40% - Accent6 2 2 7 2" xfId="7904" xr:uid="{66869934-082A-41A8-AA1D-E00B997C17A9}"/>
    <cellStyle name="40% - Accent6 2 2 8" xfId="5838" xr:uid="{1A01900E-4F72-4298-9CE9-DE801D9FDD36}"/>
    <cellStyle name="40% - Accent6 2 2 9" xfId="1534" xr:uid="{D4F8C282-AA7E-4964-B22B-952F1249F87A}"/>
    <cellStyle name="40% - Accent6 2 3" xfId="93" xr:uid="{00000000-0005-0000-0000-0000B6000000}"/>
    <cellStyle name="40% - Accent6 2 3 2" xfId="670" xr:uid="{00000000-0005-0000-0000-0000B7000000}"/>
    <cellStyle name="40% - Accent6 2 3 2 2" xfId="4181" xr:uid="{AA679648-A6D2-468E-9BC8-BD43D7F87E34}"/>
    <cellStyle name="40% - Accent6 2 3 2 2 2" xfId="8399" xr:uid="{D491D0A3-C33E-4069-B4D4-BEDD29AA2CB0}"/>
    <cellStyle name="40% - Accent6 2 3 2 3" xfId="6254" xr:uid="{05C7C638-C756-40C1-A537-1583441C4D98}"/>
    <cellStyle name="40% - Accent6 2 3 2 4" xfId="1950" xr:uid="{0ACE8576-4076-4174-BF12-81846C131A12}"/>
    <cellStyle name="40% - Accent6 2 3 3" xfId="1123" xr:uid="{89E32098-49EB-4C30-A01C-C6C0152854F1}"/>
    <cellStyle name="40% - Accent6 2 3 3 2" xfId="4594" xr:uid="{0BCB50A3-DE3C-4611-B729-8D15774C6FB0}"/>
    <cellStyle name="40% - Accent6 2 3 3 2 2" xfId="8812" xr:uid="{CAD9105A-622C-4043-9F4B-F9DB0E8FA4DF}"/>
    <cellStyle name="40% - Accent6 2 3 3 3" xfId="6667" xr:uid="{A5250387-D02C-4275-B623-73AD2E0CFD92}"/>
    <cellStyle name="40% - Accent6 2 3 3 4" xfId="2365" xr:uid="{B75F355F-222B-4238-9525-FA5C70B213F7}"/>
    <cellStyle name="40% - Accent6 2 3 4" xfId="2778" xr:uid="{37F65030-9CD0-4F2D-8727-BDD9316F10F2}"/>
    <cellStyle name="40% - Accent6 2 3 4 2" xfId="5007" xr:uid="{3469C036-001E-4067-869F-774DE15F11A2}"/>
    <cellStyle name="40% - Accent6 2 3 4 2 2" xfId="9225" xr:uid="{5462C558-C66B-47B5-A168-B0ACF5E3B730}"/>
    <cellStyle name="40% - Accent6 2 3 4 3" xfId="7080" xr:uid="{E9D8D6F6-4B46-4DB8-9E97-2A4C5994CFDB}"/>
    <cellStyle name="40% - Accent6 2 3 5" xfId="3191" xr:uid="{DB0304BF-669E-4E74-B45F-774A0E23B145}"/>
    <cellStyle name="40% - Accent6 2 3 5 2" xfId="5420" xr:uid="{18E34F2A-0656-439D-BE11-5924D096DCBE}"/>
    <cellStyle name="40% - Accent6 2 3 5 2 2" xfId="9638" xr:uid="{902BF4C0-DCE9-4A54-9FE9-C1069A8D0632}"/>
    <cellStyle name="40% - Accent6 2 3 5 3" xfId="7493" xr:uid="{D11EC498-3D4B-4488-914F-F6DF2C7D18B0}"/>
    <cellStyle name="40% - Accent6 2 3 6" xfId="3604" xr:uid="{D29DBC82-0B7B-4DAC-95FC-7DB79A350F3E}"/>
    <cellStyle name="40% - Accent6 2 3 6 2" xfId="7906" xr:uid="{83F8E0B9-2B30-4070-A2D9-2AC53C5C2973}"/>
    <cellStyle name="40% - Accent6 2 3 7" xfId="5840" xr:uid="{F703E988-8AB1-48DE-8D93-D2B40C80DADD}"/>
    <cellStyle name="40% - Accent6 2 3 8" xfId="1536" xr:uid="{1B51C265-9687-4EBA-953D-1B6D4F8E3D26}"/>
    <cellStyle name="40% - Accent6 2 4" xfId="667" xr:uid="{00000000-0005-0000-0000-0000B8000000}"/>
    <cellStyle name="40% - Accent6 2 4 2" xfId="4178" xr:uid="{01246E92-0E88-4893-85AD-D8A5A47698E2}"/>
    <cellStyle name="40% - Accent6 2 4 2 2" xfId="8396" xr:uid="{8745F587-1F12-4321-84EC-84804E4DA05B}"/>
    <cellStyle name="40% - Accent6 2 4 3" xfId="6251" xr:uid="{EC4338CF-BBBF-4AC5-A225-815C71140756}"/>
    <cellStyle name="40% - Accent6 2 4 4" xfId="1947" xr:uid="{7C14CCCE-9120-4DCF-B908-DBE11E6C68ED}"/>
    <cellStyle name="40% - Accent6 2 5" xfId="1120" xr:uid="{8B4A5901-DE34-41E6-BB39-0581EC074BB5}"/>
    <cellStyle name="40% - Accent6 2 5 2" xfId="4591" xr:uid="{33C8346A-0457-4D8B-BFCB-C57E3AEF1812}"/>
    <cellStyle name="40% - Accent6 2 5 2 2" xfId="8809" xr:uid="{DD27B542-C1DE-4F6D-86AB-2598DB98DDEA}"/>
    <cellStyle name="40% - Accent6 2 5 3" xfId="6664" xr:uid="{E8C6CD82-7B57-490B-9A54-E3DD224F4775}"/>
    <cellStyle name="40% - Accent6 2 5 4" xfId="2362" xr:uid="{9DF2A462-4BB4-4007-80A8-0581B1444504}"/>
    <cellStyle name="40% - Accent6 2 6" xfId="2775" xr:uid="{B10B63E9-08C8-4715-9F61-827C7C19C86F}"/>
    <cellStyle name="40% - Accent6 2 6 2" xfId="5004" xr:uid="{26DBA7E1-2820-4F43-8DCD-1BF5DA6C0FAC}"/>
    <cellStyle name="40% - Accent6 2 6 2 2" xfId="9222" xr:uid="{CD94841A-7445-4611-859E-772CFA80AECB}"/>
    <cellStyle name="40% - Accent6 2 6 3" xfId="7077" xr:uid="{AA1BD2F7-CB72-45A8-B735-3436FB55E145}"/>
    <cellStyle name="40% - Accent6 2 7" xfId="3188" xr:uid="{D51E0ECE-C968-43F3-B7EC-86E4DB2391F1}"/>
    <cellStyle name="40% - Accent6 2 7 2" xfId="5417" xr:uid="{D812C7D9-1864-420A-B224-9489578DFADA}"/>
    <cellStyle name="40% - Accent6 2 7 2 2" xfId="9635" xr:uid="{2F44D39E-C399-4B5E-9158-010EAB434CA7}"/>
    <cellStyle name="40% - Accent6 2 7 3" xfId="7490" xr:uid="{E7701F86-3294-4C66-8CEE-D52EA6219041}"/>
    <cellStyle name="40% - Accent6 2 8" xfId="3601" xr:uid="{A01D0045-4FD1-434E-9761-E2EDDE8C5AA1}"/>
    <cellStyle name="40% - Accent6 2 8 2" xfId="7903" xr:uid="{90D52CA3-33A5-49CF-8F63-80A34523FCEB}"/>
    <cellStyle name="40% - Accent6 2 9" xfId="5837" xr:uid="{58FBF51F-EC08-4EAB-BA79-C4ED3148DF9F}"/>
    <cellStyle name="40% - Accent6 3" xfId="94" xr:uid="{00000000-0005-0000-0000-0000B9000000}"/>
    <cellStyle name="40% - Accent6 3 2" xfId="95" xr:uid="{00000000-0005-0000-0000-0000BA000000}"/>
    <cellStyle name="40% - Accent6 3 2 2" xfId="672" xr:uid="{00000000-0005-0000-0000-0000BB000000}"/>
    <cellStyle name="40% - Accent6 3 2 2 2" xfId="4183" xr:uid="{F46AC421-C0BE-4FE7-AEB1-CC6BD405297A}"/>
    <cellStyle name="40% - Accent6 3 2 2 2 2" xfId="8401" xr:uid="{CFF656FE-9477-4039-B110-9A070FE30C12}"/>
    <cellStyle name="40% - Accent6 3 2 2 3" xfId="6256" xr:uid="{A833AFE1-B8CC-4FD3-9668-4E56E734F4EB}"/>
    <cellStyle name="40% - Accent6 3 2 2 4" xfId="1952" xr:uid="{0DE45FF4-6EFA-4FE4-A635-4F537D69F55C}"/>
    <cellStyle name="40% - Accent6 3 2 3" xfId="1125" xr:uid="{4789E870-D5DB-4E8D-B03E-FE1614F14B40}"/>
    <cellStyle name="40% - Accent6 3 2 3 2" xfId="4596" xr:uid="{C28C1B82-B375-453F-9959-6CD3E62CBC1D}"/>
    <cellStyle name="40% - Accent6 3 2 3 2 2" xfId="8814" xr:uid="{650D6A03-1005-41F1-9BDD-9E58DEE0B093}"/>
    <cellStyle name="40% - Accent6 3 2 3 3" xfId="6669" xr:uid="{1EF28DBE-4F45-4635-8024-71C5E0C73A97}"/>
    <cellStyle name="40% - Accent6 3 2 3 4" xfId="2367" xr:uid="{2068BF36-5A53-4AB7-AE95-718054E7AF12}"/>
    <cellStyle name="40% - Accent6 3 2 4" xfId="2780" xr:uid="{BB620260-A757-49D0-967D-D3A91573E2F8}"/>
    <cellStyle name="40% - Accent6 3 2 4 2" xfId="5009" xr:uid="{6ED34F0B-EE74-463E-8AA8-6123F0BE1817}"/>
    <cellStyle name="40% - Accent6 3 2 4 2 2" xfId="9227" xr:uid="{AE02CFAD-2AAC-4815-97EA-419DCF2A0D91}"/>
    <cellStyle name="40% - Accent6 3 2 4 3" xfId="7082" xr:uid="{DBD4FA99-1305-4327-A0F1-79F54FF9218D}"/>
    <cellStyle name="40% - Accent6 3 2 5" xfId="3193" xr:uid="{2F2BCF87-3964-4D13-BA68-DE8EA0BA7271}"/>
    <cellStyle name="40% - Accent6 3 2 5 2" xfId="5422" xr:uid="{A86BB679-DE4C-4714-B508-2844EF8891BD}"/>
    <cellStyle name="40% - Accent6 3 2 5 2 2" xfId="9640" xr:uid="{F97B15AA-7BD2-494B-AF01-BF3FDF775666}"/>
    <cellStyle name="40% - Accent6 3 2 5 3" xfId="7495" xr:uid="{0835868A-C2B7-480C-8BB8-85150396EB0D}"/>
    <cellStyle name="40% - Accent6 3 2 6" xfId="3606" xr:uid="{AEA36AED-191C-4007-9811-75767BAD63E9}"/>
    <cellStyle name="40% - Accent6 3 2 6 2" xfId="7908" xr:uid="{DFF3FB63-5C96-4E13-9D37-F846320491E8}"/>
    <cellStyle name="40% - Accent6 3 2 7" xfId="5842" xr:uid="{6B4477F1-EA2A-4D56-BBB5-86A71928FEF8}"/>
    <cellStyle name="40% - Accent6 3 2 8" xfId="1538" xr:uid="{2D0A3DE8-7F57-472E-BF14-F0408E393D9C}"/>
    <cellStyle name="40% - Accent6 3 3" xfId="671" xr:uid="{00000000-0005-0000-0000-0000BC000000}"/>
    <cellStyle name="40% - Accent6 3 3 2" xfId="4182" xr:uid="{A75FF892-89DA-4EE5-AFA9-B664243C756A}"/>
    <cellStyle name="40% - Accent6 3 3 2 2" xfId="8400" xr:uid="{E0B8F801-6231-4010-AAC1-3FC34A869BC5}"/>
    <cellStyle name="40% - Accent6 3 3 3" xfId="6255" xr:uid="{447596AE-8A32-4CEF-8DF3-B937B00E1AE5}"/>
    <cellStyle name="40% - Accent6 3 3 4" xfId="1951" xr:uid="{D297ACD1-4791-40C2-A5F3-0A6AD032AB3D}"/>
    <cellStyle name="40% - Accent6 3 4" xfId="1124" xr:uid="{D738C090-DEF7-4C0D-9EEB-6A25E70E1784}"/>
    <cellStyle name="40% - Accent6 3 4 2" xfId="4595" xr:uid="{E74DCE8B-48D5-4C83-A956-94923768A2E0}"/>
    <cellStyle name="40% - Accent6 3 4 2 2" xfId="8813" xr:uid="{FE0E3A9F-098E-45B5-BD25-CEEC1E3F6481}"/>
    <cellStyle name="40% - Accent6 3 4 3" xfId="6668" xr:uid="{C2289348-ED24-46E7-922E-89531AF10F08}"/>
    <cellStyle name="40% - Accent6 3 4 4" xfId="2366" xr:uid="{54C849E5-0FAE-4B4B-BAC6-65AB95B58823}"/>
    <cellStyle name="40% - Accent6 3 5" xfId="2779" xr:uid="{74A9564D-A731-4D4D-A6CF-8BB6671A520D}"/>
    <cellStyle name="40% - Accent6 3 5 2" xfId="5008" xr:uid="{27636163-0FE8-471E-AEB2-C9269BBA9D91}"/>
    <cellStyle name="40% - Accent6 3 5 2 2" xfId="9226" xr:uid="{1BA634DC-FD0C-431A-8BA4-4FA67CA8A9F5}"/>
    <cellStyle name="40% - Accent6 3 5 3" xfId="7081" xr:uid="{45B21C7E-6D45-4C06-9143-2D63EFCE2A5F}"/>
    <cellStyle name="40% - Accent6 3 6" xfId="3192" xr:uid="{9821E41D-13E1-4DAD-B60E-8D64399184EE}"/>
    <cellStyle name="40% - Accent6 3 6 2" xfId="5421" xr:uid="{C89CE57B-FA99-4706-A9A4-BF424502832A}"/>
    <cellStyle name="40% - Accent6 3 6 2 2" xfId="9639" xr:uid="{4493CB21-D8B1-41D9-A895-4F55BD31FBC1}"/>
    <cellStyle name="40% - Accent6 3 6 3" xfId="7494" xr:uid="{26D0C520-BDBC-4382-8FAD-0861162B656A}"/>
    <cellStyle name="40% - Accent6 3 7" xfId="3605" xr:uid="{5C49E97D-09FA-47E6-ADE6-60807964AAD8}"/>
    <cellStyle name="40% - Accent6 3 7 2" xfId="7907" xr:uid="{8CA0F2EE-FAD5-4810-90D7-B35AD787913C}"/>
    <cellStyle name="40% - Accent6 3 8" xfId="5841" xr:uid="{AC7F42AC-3F59-4606-8EDF-937FA8089D42}"/>
    <cellStyle name="40% - Accent6 3 9" xfId="1537" xr:uid="{F6FDA158-6E5D-4A1A-88F0-6C3BA06FA250}"/>
    <cellStyle name="40% - Accent6 4" xfId="96" xr:uid="{00000000-0005-0000-0000-0000BD000000}"/>
    <cellStyle name="40% - Accent6 4 2" xfId="673" xr:uid="{00000000-0005-0000-0000-0000BE000000}"/>
    <cellStyle name="40% - Accent6 4 2 2" xfId="4184" xr:uid="{634DF9C9-1EF1-4112-B43E-F5DF66B83AC9}"/>
    <cellStyle name="40% - Accent6 4 2 2 2" xfId="8402" xr:uid="{1306B94C-B057-4E16-82AF-47F71100A98A}"/>
    <cellStyle name="40% - Accent6 4 2 3" xfId="6257" xr:uid="{F20B111D-FF81-4053-B526-2696CF1C0643}"/>
    <cellStyle name="40% - Accent6 4 2 4" xfId="1953" xr:uid="{2F6EA267-1324-4149-B332-B94D04E05B08}"/>
    <cellStyle name="40% - Accent6 4 3" xfId="1126" xr:uid="{D39AC1A0-B3CD-4376-9A22-1FBD88949928}"/>
    <cellStyle name="40% - Accent6 4 3 2" xfId="4597" xr:uid="{51183A86-72E3-41C9-8873-AAB8EDCC9C4E}"/>
    <cellStyle name="40% - Accent6 4 3 2 2" xfId="8815" xr:uid="{5A0E14D3-5B26-4F97-8949-BD2359D142C0}"/>
    <cellStyle name="40% - Accent6 4 3 3" xfId="6670" xr:uid="{9597DDEB-8207-4546-9DA3-18A7DF58B827}"/>
    <cellStyle name="40% - Accent6 4 3 4" xfId="2368" xr:uid="{5E986705-4C45-49DC-9158-0D15AD4914F8}"/>
    <cellStyle name="40% - Accent6 4 4" xfId="2781" xr:uid="{BC8FBD72-C052-42AE-9BF6-1217414E842F}"/>
    <cellStyle name="40% - Accent6 4 4 2" xfId="5010" xr:uid="{2737230C-F27F-4150-9264-EE74F0B75CE1}"/>
    <cellStyle name="40% - Accent6 4 4 2 2" xfId="9228" xr:uid="{60B2EED3-7B21-4735-AA12-C103C7D9F7FA}"/>
    <cellStyle name="40% - Accent6 4 4 3" xfId="7083" xr:uid="{4B33A7B3-2CDF-4CE9-A8FE-DCE6825F2A7B}"/>
    <cellStyle name="40% - Accent6 4 5" xfId="3194" xr:uid="{56D42846-713D-41BA-8516-EC0FF01DC3D8}"/>
    <cellStyle name="40% - Accent6 4 5 2" xfId="5423" xr:uid="{3ED599DB-BC68-4391-874C-19F2C09E3547}"/>
    <cellStyle name="40% - Accent6 4 5 2 2" xfId="9641" xr:uid="{150BA4A4-DA96-41CB-A4AD-7C24873410DA}"/>
    <cellStyle name="40% - Accent6 4 5 3" xfId="7496" xr:uid="{CC9E7B09-9055-4615-9A53-C2330EA85994}"/>
    <cellStyle name="40% - Accent6 4 6" xfId="3607" xr:uid="{45B26050-B449-4665-8A8A-F0CE3AA891BB}"/>
    <cellStyle name="40% - Accent6 4 6 2" xfId="7909" xr:uid="{BEAF82E5-29A9-433B-9A1A-BDA46195F687}"/>
    <cellStyle name="40% - Accent6 4 7" xfId="5843" xr:uid="{6FA8FD09-575A-44AD-8A73-58AA09283EC5}"/>
    <cellStyle name="40% - Accent6 4 8" xfId="1539" xr:uid="{457F3D29-6426-4312-B8B7-042749130106}"/>
    <cellStyle name="40% - Accent6 5" xfId="666" xr:uid="{00000000-0005-0000-0000-0000BF000000}"/>
    <cellStyle name="40% - Accent6 5 2" xfId="4177" xr:uid="{7C9CC491-BA0B-4241-94FB-8689A21C31AF}"/>
    <cellStyle name="40% - Accent6 5 2 2" xfId="8395" xr:uid="{5A6463F4-2BEA-49E0-8122-FD9AB1948B01}"/>
    <cellStyle name="40% - Accent6 5 3" xfId="6250" xr:uid="{0864F188-23FC-466E-B236-A5BE5CFEC439}"/>
    <cellStyle name="40% - Accent6 5 4" xfId="1946" xr:uid="{264F4BB7-5034-403C-B574-2AB63D204A4A}"/>
    <cellStyle name="40% - Accent6 6" xfId="1119" xr:uid="{337D89DE-B627-4FAF-8CB1-E2FCC2CBD35D}"/>
    <cellStyle name="40% - Accent6 6 2" xfId="4590" xr:uid="{85E3B952-0FCC-4B3B-A69D-7E02CDD96ED2}"/>
    <cellStyle name="40% - Accent6 6 2 2" xfId="8808" xr:uid="{9CAD97F5-E89B-4535-AA77-B1399BB678D8}"/>
    <cellStyle name="40% - Accent6 6 3" xfId="6663" xr:uid="{CBCA037B-1703-44C7-9694-8E0473289814}"/>
    <cellStyle name="40% - Accent6 6 4" xfId="2361" xr:uid="{C3BAD5F2-1276-4F81-A71D-41517EDE32F7}"/>
    <cellStyle name="40% - Accent6 7" xfId="2774" xr:uid="{F66DEF0D-FE1B-4103-8A67-13084E4F7FC5}"/>
    <cellStyle name="40% - Accent6 7 2" xfId="5003" xr:uid="{E8264A25-D424-41D7-BF94-8C98DB04156A}"/>
    <cellStyle name="40% - Accent6 7 2 2" xfId="9221" xr:uid="{C0FD0A0F-9562-433C-B2F5-09B857CE8529}"/>
    <cellStyle name="40% - Accent6 7 3" xfId="7076" xr:uid="{81BBFFC6-CAB5-47A9-8521-C276781003CC}"/>
    <cellStyle name="40% - Accent6 8" xfId="3187" xr:uid="{A66C3AF3-4EAA-4B73-AF7D-0784BD00DEBC}"/>
    <cellStyle name="40% - Accent6 8 2" xfId="5416" xr:uid="{1D1AE545-0502-4176-A18B-0310C19F0511}"/>
    <cellStyle name="40% - Accent6 8 2 2" xfId="9634" xr:uid="{D5BD5D3D-FC90-4E78-A315-42B1A48762CB}"/>
    <cellStyle name="40% - Accent6 8 3" xfId="7489" xr:uid="{BBF79772-A8F8-49F1-AF9B-98E82C53D1AE}"/>
    <cellStyle name="40% - Accent6 9" xfId="3600" xr:uid="{83EDD8A1-1283-4984-999A-B69F5039B117}"/>
    <cellStyle name="40% - Accent6 9 2" xfId="7902" xr:uid="{17F7CBD7-B20B-4994-A55A-AF203F5FA1E1}"/>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4008" xr:uid="{87766141-A1EE-4C60-BDAE-D0FC08A84D13}"/>
    <cellStyle name="Comma 4 2 2 2 10 2" xfId="8227" xr:uid="{822168BB-C534-48DE-B74A-970677EF8E89}"/>
    <cellStyle name="Comma 4 2 2 2 11" xfId="5844" xr:uid="{5018BEEF-1030-4303-AD4E-171F5D63B10F}"/>
    <cellStyle name="Comma 4 2 2 2 12" xfId="1540" xr:uid="{7D3316FD-77EC-4630-B501-EE4E94BFA7CA}"/>
    <cellStyle name="Comma 4 2 2 2 2" xfId="129" xr:uid="{00000000-0005-0000-0000-0000E0000000}"/>
    <cellStyle name="Comma 4 2 2 2 2 10" xfId="5845" xr:uid="{60618F26-A6AD-4039-9085-90FDA824298F}"/>
    <cellStyle name="Comma 4 2 2 2 2 11" xfId="1541" xr:uid="{557BD572-D75F-4FB7-B5D0-9DF66B944AFB}"/>
    <cellStyle name="Comma 4 2 2 2 2 2" xfId="130" xr:uid="{00000000-0005-0000-0000-0000E1000000}"/>
    <cellStyle name="Comma 4 2 2 2 2 2 10" xfId="1542" xr:uid="{0BA30074-DD28-4F17-8613-EFD339501241}"/>
    <cellStyle name="Comma 4 2 2 2 2 2 2" xfId="676" xr:uid="{00000000-0005-0000-0000-0000E2000000}"/>
    <cellStyle name="Comma 4 2 2 2 2 2 2 2" xfId="4187" xr:uid="{38BEED12-3C10-42C4-B148-96BA86A30EF2}"/>
    <cellStyle name="Comma 4 2 2 2 2 2 2 2 2" xfId="8405" xr:uid="{716BD139-0367-4108-9783-0C6717440B99}"/>
    <cellStyle name="Comma 4 2 2 2 2 2 2 3" xfId="6260" xr:uid="{01E36E5B-C256-48A6-92C9-63BFAD91F37D}"/>
    <cellStyle name="Comma 4 2 2 2 2 2 2 4" xfId="1956" xr:uid="{134861FF-0718-4DA6-8AA6-F2933CA32E09}"/>
    <cellStyle name="Comma 4 2 2 2 2 2 3" xfId="1129" xr:uid="{27B82D98-0897-4D12-B4B4-AAA11DBDEA53}"/>
    <cellStyle name="Comma 4 2 2 2 2 2 3 2" xfId="4600" xr:uid="{03AD5BB7-09C7-46B7-8166-6D2268AC3E70}"/>
    <cellStyle name="Comma 4 2 2 2 2 2 3 2 2" xfId="8818" xr:uid="{0DD1B545-E144-4307-80F0-44F68B88AE5B}"/>
    <cellStyle name="Comma 4 2 2 2 2 2 3 3" xfId="6673" xr:uid="{9DCDB9AF-6EE2-419F-93E7-7478BC54B94C}"/>
    <cellStyle name="Comma 4 2 2 2 2 2 3 4" xfId="2371" xr:uid="{36AC1B64-44E4-4460-89DF-A1DC5432E589}"/>
    <cellStyle name="Comma 4 2 2 2 2 2 4" xfId="2784" xr:uid="{19A1AF7D-CC07-4506-9FF6-80618C4ADAF8}"/>
    <cellStyle name="Comma 4 2 2 2 2 2 4 2" xfId="5013" xr:uid="{D81F7A49-6CF6-4879-9255-A09B451A8C94}"/>
    <cellStyle name="Comma 4 2 2 2 2 2 4 2 2" xfId="9231" xr:uid="{CFE01013-6BA5-4D1A-9AEB-1ECE5C92914A}"/>
    <cellStyle name="Comma 4 2 2 2 2 2 4 3" xfId="7086" xr:uid="{C4C1E30F-298F-45E3-9EE3-D3F890AAEF97}"/>
    <cellStyle name="Comma 4 2 2 2 2 2 5" xfId="3197" xr:uid="{B1435829-699F-446C-B75F-696EF7779D6D}"/>
    <cellStyle name="Comma 4 2 2 2 2 2 5 2" xfId="5426" xr:uid="{CE84B21B-1518-43A5-8DE9-DB6A4CD0C5A5}"/>
    <cellStyle name="Comma 4 2 2 2 2 2 5 2 2" xfId="9644" xr:uid="{02C9A6A3-4698-44EA-A779-01E2ACF8D1E0}"/>
    <cellStyle name="Comma 4 2 2 2 2 2 5 3" xfId="7499" xr:uid="{E76E7E12-362E-4BE0-8897-166E42BC1697}"/>
    <cellStyle name="Comma 4 2 2 2 2 2 6" xfId="3632" xr:uid="{C8C984F2-397D-485B-B5B3-865DC747D7B6}"/>
    <cellStyle name="Comma 4 2 2 2 2 2 6 2" xfId="7912" xr:uid="{913087CC-A126-41D1-9C31-7243F8C0F2D9}"/>
    <cellStyle name="Comma 4 2 2 2 2 2 7" xfId="3627" xr:uid="{7A700655-6E4F-42CA-9FD2-9AA2E54A2C84}"/>
    <cellStyle name="Comma 4 2 2 2 2 2 8" xfId="4010" xr:uid="{7378FD49-128D-4C31-9026-5D63E1045583}"/>
    <cellStyle name="Comma 4 2 2 2 2 2 8 2" xfId="8229" xr:uid="{C42B2C05-66B3-4AB8-9237-0A12EC42F3B2}"/>
    <cellStyle name="Comma 4 2 2 2 2 2 9" xfId="5846" xr:uid="{6E238DC6-EB89-4F40-8EE3-253BC7E9F3F6}"/>
    <cellStyle name="Comma 4 2 2 2 2 3" xfId="675" xr:uid="{00000000-0005-0000-0000-0000E3000000}"/>
    <cellStyle name="Comma 4 2 2 2 2 3 2" xfId="4186" xr:uid="{2A843E24-6546-4EF0-B389-9B628E5C66C9}"/>
    <cellStyle name="Comma 4 2 2 2 2 3 2 2" xfId="8404" xr:uid="{0AC8A619-3AB5-466F-9695-74D018A31608}"/>
    <cellStyle name="Comma 4 2 2 2 2 3 3" xfId="6259" xr:uid="{CDDAF13A-868B-4A03-95C8-65438C9C5BF2}"/>
    <cellStyle name="Comma 4 2 2 2 2 3 4" xfId="1955" xr:uid="{F54F0561-F4E3-402A-8C98-64C91107351C}"/>
    <cellStyle name="Comma 4 2 2 2 2 4" xfId="1128" xr:uid="{6D870F30-769F-41D0-B871-EF0327127C4E}"/>
    <cellStyle name="Comma 4 2 2 2 2 4 2" xfId="4599" xr:uid="{4773F979-E960-4FDF-B5EF-7F26C82DCC9B}"/>
    <cellStyle name="Comma 4 2 2 2 2 4 2 2" xfId="8817" xr:uid="{B03C8594-861E-4D4B-9FF2-7D44A2298F63}"/>
    <cellStyle name="Comma 4 2 2 2 2 4 3" xfId="6672" xr:uid="{626113F4-E66E-486F-BA89-593FE0F712D9}"/>
    <cellStyle name="Comma 4 2 2 2 2 4 4" xfId="2370" xr:uid="{915702E5-3172-4CBB-9920-2FB0C9B9F66D}"/>
    <cellStyle name="Comma 4 2 2 2 2 5" xfId="2783" xr:uid="{E5114C66-E802-44CF-9A95-3BE9B6DFB68B}"/>
    <cellStyle name="Comma 4 2 2 2 2 5 2" xfId="5012" xr:uid="{B016D641-FF92-44D1-AB83-205FD04D5AC9}"/>
    <cellStyle name="Comma 4 2 2 2 2 5 2 2" xfId="9230" xr:uid="{DDF4B284-E507-4FB7-9069-68E3248A3785}"/>
    <cellStyle name="Comma 4 2 2 2 2 5 3" xfId="7085" xr:uid="{7D31317F-8DD4-43FC-8F10-E7BB35A3B3B2}"/>
    <cellStyle name="Comma 4 2 2 2 2 6" xfId="3196" xr:uid="{17F25BFD-ACB7-49E1-B2A7-1A3C00A14B87}"/>
    <cellStyle name="Comma 4 2 2 2 2 6 2" xfId="5425" xr:uid="{B6EBDB23-E308-45BF-AFB2-FB73CECC8605}"/>
    <cellStyle name="Comma 4 2 2 2 2 6 2 2" xfId="9643" xr:uid="{5D1EB82C-0EDE-4893-9E97-FB4C47D7D0EE}"/>
    <cellStyle name="Comma 4 2 2 2 2 6 3" xfId="7498" xr:uid="{B91175D9-DD24-49CE-9D3A-3DC932BE0B84}"/>
    <cellStyle name="Comma 4 2 2 2 2 7" xfId="3631" xr:uid="{E7175AB1-03D1-4760-BB65-8A9294D2A72C}"/>
    <cellStyle name="Comma 4 2 2 2 2 7 2" xfId="7911" xr:uid="{F7CEE879-1DE5-4197-B2DA-617818437097}"/>
    <cellStyle name="Comma 4 2 2 2 2 8" xfId="3628" xr:uid="{B620B851-C222-4ED4-9B0C-EAAC40008BA9}"/>
    <cellStyle name="Comma 4 2 2 2 2 9" xfId="4009" xr:uid="{229BAD01-13D3-48D5-808A-FB559A29C625}"/>
    <cellStyle name="Comma 4 2 2 2 2 9 2" xfId="8228" xr:uid="{C1B807DE-8E53-40F1-8760-D6B4D2BF59F6}"/>
    <cellStyle name="Comma 4 2 2 2 3" xfId="131" xr:uid="{00000000-0005-0000-0000-0000E4000000}"/>
    <cellStyle name="Comma 4 2 2 2 3 10" xfId="1543" xr:uid="{82016DD0-569D-40C1-825E-07CA4B95F8CF}"/>
    <cellStyle name="Comma 4 2 2 2 3 2" xfId="677" xr:uid="{00000000-0005-0000-0000-0000E5000000}"/>
    <cellStyle name="Comma 4 2 2 2 3 2 2" xfId="4188" xr:uid="{EE0FBF83-6224-4B44-875C-4666047360B3}"/>
    <cellStyle name="Comma 4 2 2 2 3 2 2 2" xfId="8406" xr:uid="{279D6C37-1ADF-4431-9DD1-489BC7953577}"/>
    <cellStyle name="Comma 4 2 2 2 3 2 3" xfId="6261" xr:uid="{60EE4291-4A60-4595-B193-72FF5DF2290F}"/>
    <cellStyle name="Comma 4 2 2 2 3 2 4" xfId="1957" xr:uid="{B349C139-DF1E-4BB3-96D1-E6B2A82A29C7}"/>
    <cellStyle name="Comma 4 2 2 2 3 3" xfId="1130" xr:uid="{4F6EB582-3414-4AFE-9926-F565B84DE433}"/>
    <cellStyle name="Comma 4 2 2 2 3 3 2" xfId="4601" xr:uid="{44DB262E-A19E-4909-B3ED-FEAAF7A39902}"/>
    <cellStyle name="Comma 4 2 2 2 3 3 2 2" xfId="8819" xr:uid="{E5413E68-F1EA-4AD5-855E-97D4029B3438}"/>
    <cellStyle name="Comma 4 2 2 2 3 3 3" xfId="6674" xr:uid="{60D2EF06-74CC-486C-9E94-9B3B446DDEBD}"/>
    <cellStyle name="Comma 4 2 2 2 3 3 4" xfId="2372" xr:uid="{5784EC20-6F04-42C2-9867-5610668FD4AA}"/>
    <cellStyle name="Comma 4 2 2 2 3 4" xfId="2785" xr:uid="{91E000ED-A05C-4560-AF2C-4DC9257B1A56}"/>
    <cellStyle name="Comma 4 2 2 2 3 4 2" xfId="5014" xr:uid="{197B5040-9B6C-49C4-93C5-FF12E3E31C81}"/>
    <cellStyle name="Comma 4 2 2 2 3 4 2 2" xfId="9232" xr:uid="{8C704D4B-8A4A-4447-90CF-C26C83F9236A}"/>
    <cellStyle name="Comma 4 2 2 2 3 4 3" xfId="7087" xr:uid="{61C1BE66-EC56-4370-9C73-49ADA2ECC7CB}"/>
    <cellStyle name="Comma 4 2 2 2 3 5" xfId="3198" xr:uid="{991E6871-74BB-4EDE-B7E9-5D138D0F6060}"/>
    <cellStyle name="Comma 4 2 2 2 3 5 2" xfId="5427" xr:uid="{1A643D33-FF75-4C5C-B1E9-3DC5C519A6C0}"/>
    <cellStyle name="Comma 4 2 2 2 3 5 2 2" xfId="9645" xr:uid="{2DB15882-41C7-4FD2-9B34-EBA3719E0392}"/>
    <cellStyle name="Comma 4 2 2 2 3 5 3" xfId="7500" xr:uid="{3ABA01F9-80F6-4C31-86DF-8B55395B804B}"/>
    <cellStyle name="Comma 4 2 2 2 3 6" xfId="3633" xr:uid="{1CDBC242-F45A-4AFA-A7C8-D2E8C7C6C3AB}"/>
    <cellStyle name="Comma 4 2 2 2 3 6 2" xfId="7913" xr:uid="{3068081E-984D-47CC-9759-231A8E5CEC6F}"/>
    <cellStyle name="Comma 4 2 2 2 3 7" xfId="3626" xr:uid="{0A4B7491-29AE-4D75-8CA6-B082AAD8327F}"/>
    <cellStyle name="Comma 4 2 2 2 3 8" xfId="4011" xr:uid="{A35C5C3F-18A4-4E48-ACFA-5157C029A1AF}"/>
    <cellStyle name="Comma 4 2 2 2 3 8 2" xfId="8230" xr:uid="{5730AC95-D1D5-4F87-AF3F-C05B069E3E8A}"/>
    <cellStyle name="Comma 4 2 2 2 3 9" xfId="5847" xr:uid="{3AD6E727-6270-428D-84CA-3FFA5F991886}"/>
    <cellStyle name="Comma 4 2 2 2 4" xfId="674" xr:uid="{00000000-0005-0000-0000-0000E6000000}"/>
    <cellStyle name="Comma 4 2 2 2 4 2" xfId="4185" xr:uid="{652E805B-BCA6-44C8-B894-4BACD59C6CAF}"/>
    <cellStyle name="Comma 4 2 2 2 4 2 2" xfId="8403" xr:uid="{DEEE4826-2D54-44B1-9C7D-E3FF790DA61F}"/>
    <cellStyle name="Comma 4 2 2 2 4 3" xfId="6258" xr:uid="{0A5E3EB6-6C73-453C-B38C-001800BC7DB5}"/>
    <cellStyle name="Comma 4 2 2 2 4 4" xfId="1954" xr:uid="{C53E5FAB-5349-40B6-B9B0-7733D22AD58B}"/>
    <cellStyle name="Comma 4 2 2 2 5" xfId="1127" xr:uid="{333C5AB8-4BD2-4F16-B8E0-CFEADDDF1D84}"/>
    <cellStyle name="Comma 4 2 2 2 5 2" xfId="4598" xr:uid="{A531D28D-11EB-4D9B-9519-D2EAEF6688A8}"/>
    <cellStyle name="Comma 4 2 2 2 5 2 2" xfId="8816" xr:uid="{D6D58BAC-4D24-4B3B-B217-7118CDB6A8D1}"/>
    <cellStyle name="Comma 4 2 2 2 5 3" xfId="6671" xr:uid="{D0428BCC-99F0-4834-85F7-9346FF7D7855}"/>
    <cellStyle name="Comma 4 2 2 2 5 4" xfId="2369" xr:uid="{D6E37EFE-F08D-44B0-A5D2-B5CE1DBBF0C5}"/>
    <cellStyle name="Comma 4 2 2 2 6" xfId="2782" xr:uid="{7A0CBB23-47C6-4916-835D-4D692E71E911}"/>
    <cellStyle name="Comma 4 2 2 2 6 2" xfId="5011" xr:uid="{38EC2169-DD23-473B-85AE-81A2992CC807}"/>
    <cellStyle name="Comma 4 2 2 2 6 2 2" xfId="9229" xr:uid="{C25D209D-949B-4E1D-B35A-A0D9952D3414}"/>
    <cellStyle name="Comma 4 2 2 2 6 3" xfId="7084" xr:uid="{0D00AEAE-C37D-4120-BFBD-7CB0AD95CE86}"/>
    <cellStyle name="Comma 4 2 2 2 7" xfId="3195" xr:uid="{D046B062-4671-4C38-9E89-87C2F1DEED6A}"/>
    <cellStyle name="Comma 4 2 2 2 7 2" xfId="5424" xr:uid="{9AF04E9F-E2A1-46CB-9B2C-3422083C558B}"/>
    <cellStyle name="Comma 4 2 2 2 7 2 2" xfId="9642" xr:uid="{F48C2E4B-BCD7-445A-B1B1-9FBC6402B6E4}"/>
    <cellStyle name="Comma 4 2 2 2 7 3" xfId="7497" xr:uid="{52C14022-3D79-431A-BE2E-FA3861E20165}"/>
    <cellStyle name="Comma 4 2 2 2 8" xfId="3630" xr:uid="{4B106DF3-F641-4B14-9A61-CC622B5838B3}"/>
    <cellStyle name="Comma 4 2 2 2 8 2" xfId="7910" xr:uid="{FCE9ED9D-F073-4954-BD54-D75CFA8FE9F0}"/>
    <cellStyle name="Comma 4 2 2 2 9" xfId="3629" xr:uid="{D3DAF467-07E3-4E68-8E07-6A8C6B3DBB24}"/>
    <cellStyle name="Comma 4 2 2 3" xfId="132" xr:uid="{00000000-0005-0000-0000-0000E7000000}"/>
    <cellStyle name="Comma 4 2 2 3 10" xfId="5848" xr:uid="{B160DC29-24B2-43B3-8C8E-C718561220EA}"/>
    <cellStyle name="Comma 4 2 2 3 11" xfId="1544" xr:uid="{8CF71EC4-F26A-4CCA-99BD-D35F3A0957B0}"/>
    <cellStyle name="Comma 4 2 2 3 2" xfId="133" xr:uid="{00000000-0005-0000-0000-0000E8000000}"/>
    <cellStyle name="Comma 4 2 2 3 2 10" xfId="1545" xr:uid="{E73B5A08-D257-468A-9D03-FDFC3136924E}"/>
    <cellStyle name="Comma 4 2 2 3 2 2" xfId="679" xr:uid="{00000000-0005-0000-0000-0000E9000000}"/>
    <cellStyle name="Comma 4 2 2 3 2 2 2" xfId="4190" xr:uid="{51ABD6B4-6032-45FB-8AFE-FB3E8FE4712A}"/>
    <cellStyle name="Comma 4 2 2 3 2 2 2 2" xfId="8408" xr:uid="{16018B73-28BA-4C7D-8C98-3666CF61A5F3}"/>
    <cellStyle name="Comma 4 2 2 3 2 2 3" xfId="6263" xr:uid="{FEFD4BB0-C4AC-4BE6-9D2C-B1ABCDF5A072}"/>
    <cellStyle name="Comma 4 2 2 3 2 2 4" xfId="1959" xr:uid="{4BB32B87-8779-4825-AB50-C31072996D15}"/>
    <cellStyle name="Comma 4 2 2 3 2 3" xfId="1132" xr:uid="{A07FCC8C-CF92-4F74-915C-7AF9326A5485}"/>
    <cellStyle name="Comma 4 2 2 3 2 3 2" xfId="4603" xr:uid="{613FA564-92EF-403A-8FD3-812F4156A550}"/>
    <cellStyle name="Comma 4 2 2 3 2 3 2 2" xfId="8821" xr:uid="{E26920E1-C913-442C-B20A-F2440809C16B}"/>
    <cellStyle name="Comma 4 2 2 3 2 3 3" xfId="6676" xr:uid="{80A46A2B-B09D-4CA5-9A81-9798C77EDE36}"/>
    <cellStyle name="Comma 4 2 2 3 2 3 4" xfId="2374" xr:uid="{787C2292-FB77-40CE-A26E-DE0ADFFB3215}"/>
    <cellStyle name="Comma 4 2 2 3 2 4" xfId="2787" xr:uid="{29013BC9-283B-480E-BF47-50AFC8A07C58}"/>
    <cellStyle name="Comma 4 2 2 3 2 4 2" xfId="5016" xr:uid="{7AF371C4-4C10-4090-A858-0E19E2A6B3AB}"/>
    <cellStyle name="Comma 4 2 2 3 2 4 2 2" xfId="9234" xr:uid="{FAAF4A01-6847-4771-9A56-EA9BC8223335}"/>
    <cellStyle name="Comma 4 2 2 3 2 4 3" xfId="7089" xr:uid="{C3868B94-E610-444D-AD56-651B1039AF48}"/>
    <cellStyle name="Comma 4 2 2 3 2 5" xfId="3200" xr:uid="{5CFE3742-15DE-4323-B747-514CA430EFBC}"/>
    <cellStyle name="Comma 4 2 2 3 2 5 2" xfId="5429" xr:uid="{A1C60425-0BB9-4A92-947D-9172598A005F}"/>
    <cellStyle name="Comma 4 2 2 3 2 5 2 2" xfId="9647" xr:uid="{1FE0813A-E761-42D5-B51B-C9F5EF93D08C}"/>
    <cellStyle name="Comma 4 2 2 3 2 5 3" xfId="7502" xr:uid="{402BEFC7-A656-459B-B4C0-53BF12416838}"/>
    <cellStyle name="Comma 4 2 2 3 2 6" xfId="3635" xr:uid="{A0FD88E8-65E9-4783-9BA0-B00B9EF28188}"/>
    <cellStyle name="Comma 4 2 2 3 2 6 2" xfId="7915" xr:uid="{B6FBC4CF-7372-40FE-8F10-3C95A92D4254}"/>
    <cellStyle name="Comma 4 2 2 3 2 7" xfId="3624" xr:uid="{35A72CD1-EBC9-46C0-ABEE-4325D520526A}"/>
    <cellStyle name="Comma 4 2 2 3 2 8" xfId="4013" xr:uid="{73FE1367-32E9-4890-8EE2-AB91568AF911}"/>
    <cellStyle name="Comma 4 2 2 3 2 8 2" xfId="8232" xr:uid="{428632AA-1B7E-43AA-830E-6AF813AC5CDC}"/>
    <cellStyle name="Comma 4 2 2 3 2 9" xfId="5849" xr:uid="{474E4154-F9C2-4DDA-816B-0720A9521D16}"/>
    <cellStyle name="Comma 4 2 2 3 3" xfId="678" xr:uid="{00000000-0005-0000-0000-0000EA000000}"/>
    <cellStyle name="Comma 4 2 2 3 3 2" xfId="4189" xr:uid="{78D0EFA8-B217-472E-8898-86721F7986AE}"/>
    <cellStyle name="Comma 4 2 2 3 3 2 2" xfId="8407" xr:uid="{9E8AF9B7-1F4A-47E9-BBD2-DEF38229E264}"/>
    <cellStyle name="Comma 4 2 2 3 3 3" xfId="6262" xr:uid="{41ACCBB1-224C-462F-9DFD-5AB42F896AEA}"/>
    <cellStyle name="Comma 4 2 2 3 3 4" xfId="1958" xr:uid="{D5615C71-3ED1-43A0-8A0E-BC0C3A9CD0C1}"/>
    <cellStyle name="Comma 4 2 2 3 4" xfId="1131" xr:uid="{2482F71C-7B25-4853-9562-1A4D63E05086}"/>
    <cellStyle name="Comma 4 2 2 3 4 2" xfId="4602" xr:uid="{558518E1-94B1-4566-9BB9-5CC828AEA9C0}"/>
    <cellStyle name="Comma 4 2 2 3 4 2 2" xfId="8820" xr:uid="{4B32681C-DF27-4E4F-BAF1-D7945D587A00}"/>
    <cellStyle name="Comma 4 2 2 3 4 3" xfId="6675" xr:uid="{D5E91AE9-5FD0-4839-B89F-30DDA045430D}"/>
    <cellStyle name="Comma 4 2 2 3 4 4" xfId="2373" xr:uid="{F3827608-7251-4A28-B609-26CDA5B889E0}"/>
    <cellStyle name="Comma 4 2 2 3 5" xfId="2786" xr:uid="{E39B586F-5950-494C-A224-54E4BCFB7521}"/>
    <cellStyle name="Comma 4 2 2 3 5 2" xfId="5015" xr:uid="{DC24481A-F060-424C-98A1-AFC8466B9625}"/>
    <cellStyle name="Comma 4 2 2 3 5 2 2" xfId="9233" xr:uid="{2FBBE52E-ACD7-4BAD-BD72-4D4C2F3E1423}"/>
    <cellStyle name="Comma 4 2 2 3 5 3" xfId="7088" xr:uid="{951F489B-1AD5-4C5A-9C15-BAA9643E7A7A}"/>
    <cellStyle name="Comma 4 2 2 3 6" xfId="3199" xr:uid="{1309232D-FAB8-40B0-B915-EFBD9E5FD13A}"/>
    <cellStyle name="Comma 4 2 2 3 6 2" xfId="5428" xr:uid="{7E3ADE01-0BB7-4DD9-95FC-2186B0A4E332}"/>
    <cellStyle name="Comma 4 2 2 3 6 2 2" xfId="9646" xr:uid="{285D619E-9B2D-46C4-BDC2-24E79C9E2BD2}"/>
    <cellStyle name="Comma 4 2 2 3 6 3" xfId="7501" xr:uid="{83A34AEB-9FF2-459C-A450-918FF7361458}"/>
    <cellStyle name="Comma 4 2 2 3 7" xfId="3634" xr:uid="{7B8F9F52-6882-448C-A696-B149E014E59C}"/>
    <cellStyle name="Comma 4 2 2 3 7 2" xfId="7914" xr:uid="{3119327B-5936-4E1A-B99B-6D60E6399CD3}"/>
    <cellStyle name="Comma 4 2 2 3 8" xfId="3625" xr:uid="{F21C037F-8E82-455F-ACB0-C2646D211A44}"/>
    <cellStyle name="Comma 4 2 2 3 9" xfId="4012" xr:uid="{70177122-EC9D-45A6-A2B2-117C819F782F}"/>
    <cellStyle name="Comma 4 2 2 3 9 2" xfId="8231" xr:uid="{72C704FD-C906-4E4B-B17D-4DD863C6979A}"/>
    <cellStyle name="Comma 4 2 2 4" xfId="134" xr:uid="{00000000-0005-0000-0000-0000EB000000}"/>
    <cellStyle name="Comma 4 2 2 4 10" xfId="1546" xr:uid="{30A280AF-834E-43EF-9F13-65D29519BD4F}"/>
    <cellStyle name="Comma 4 2 2 4 2" xfId="680" xr:uid="{00000000-0005-0000-0000-0000EC000000}"/>
    <cellStyle name="Comma 4 2 2 4 2 2" xfId="4191" xr:uid="{66EF0FCB-D613-4EAF-ADEC-2CF71DD2CACB}"/>
    <cellStyle name="Comma 4 2 2 4 2 2 2" xfId="8409" xr:uid="{2271D5C6-02DA-40C1-85F7-CA6C9D94C729}"/>
    <cellStyle name="Comma 4 2 2 4 2 3" xfId="6264" xr:uid="{DD4A578F-8CC9-4F70-A77B-21E0984C4BF2}"/>
    <cellStyle name="Comma 4 2 2 4 2 4" xfId="1960" xr:uid="{2E3BF7A4-A20E-41B0-99D2-F1AF20AF203D}"/>
    <cellStyle name="Comma 4 2 2 4 3" xfId="1133" xr:uid="{3B866BA4-B29D-4369-B954-79825BAF22B8}"/>
    <cellStyle name="Comma 4 2 2 4 3 2" xfId="4604" xr:uid="{F01C3DD5-B727-4E47-8E5C-6524E9C946D6}"/>
    <cellStyle name="Comma 4 2 2 4 3 2 2" xfId="8822" xr:uid="{686BEBC1-EC31-4ABB-A2AC-2659F88E0E74}"/>
    <cellStyle name="Comma 4 2 2 4 3 3" xfId="6677" xr:uid="{2A3B4F13-4617-4DB0-B67B-9C676AD21EA5}"/>
    <cellStyle name="Comma 4 2 2 4 3 4" xfId="2375" xr:uid="{9A721A9E-2DE3-4AD2-A1DF-94A1C889913F}"/>
    <cellStyle name="Comma 4 2 2 4 4" xfId="2788" xr:uid="{7180C788-A99E-4A18-AF66-FAE99AC43026}"/>
    <cellStyle name="Comma 4 2 2 4 4 2" xfId="5017" xr:uid="{898C4F06-A17F-43CA-B22E-BB8EC0F3A540}"/>
    <cellStyle name="Comma 4 2 2 4 4 2 2" xfId="9235" xr:uid="{35AAD03F-C84E-4AED-AAEA-56B23F40B9BC}"/>
    <cellStyle name="Comma 4 2 2 4 4 3" xfId="7090" xr:uid="{417A1E15-54A1-438B-96C3-15F2010386BD}"/>
    <cellStyle name="Comma 4 2 2 4 5" xfId="3201" xr:uid="{7CF56E40-EAE1-4DF7-916D-8F10B02BB97A}"/>
    <cellStyle name="Comma 4 2 2 4 5 2" xfId="5430" xr:uid="{7B8C1772-90B6-45ED-9114-3F96F120C663}"/>
    <cellStyle name="Comma 4 2 2 4 5 2 2" xfId="9648" xr:uid="{39756805-002A-4976-AA71-D3229AAE805D}"/>
    <cellStyle name="Comma 4 2 2 4 5 3" xfId="7503" xr:uid="{0CC9EF84-19C6-4A06-8E1F-0065FA7A931D}"/>
    <cellStyle name="Comma 4 2 2 4 6" xfId="3636" xr:uid="{D00B053D-C02E-4671-A425-D3164E50917B}"/>
    <cellStyle name="Comma 4 2 2 4 6 2" xfId="7916" xr:uid="{CE3FFF7A-8639-40CA-A75E-5420FF804E16}"/>
    <cellStyle name="Comma 4 2 2 4 7" xfId="3623" xr:uid="{20DD985F-C88E-447C-A089-029B4F89FC44}"/>
    <cellStyle name="Comma 4 2 2 4 8" xfId="4014" xr:uid="{4E495AA4-4ADB-4475-8373-DC86A4976E9F}"/>
    <cellStyle name="Comma 4 2 2 4 8 2" xfId="8233" xr:uid="{F792B39B-90E0-44FD-87CC-869377E03576}"/>
    <cellStyle name="Comma 4 2 2 4 9" xfId="5850" xr:uid="{45ABA70B-D290-4BFF-B4A8-DE563ABAEDEC}"/>
    <cellStyle name="Comma 4 2 2 5" xfId="135" xr:uid="{00000000-0005-0000-0000-0000ED000000}"/>
    <cellStyle name="Comma 4 2 2 5 10" xfId="1547" xr:uid="{7BD40E6C-6355-419E-AADA-3CE918BBFD78}"/>
    <cellStyle name="Comma 4 2 2 5 2" xfId="681" xr:uid="{00000000-0005-0000-0000-0000EE000000}"/>
    <cellStyle name="Comma 4 2 2 5 2 2" xfId="4192" xr:uid="{ADEF7E9E-D806-429A-9305-901BCA58A4EC}"/>
    <cellStyle name="Comma 4 2 2 5 2 2 2" xfId="8410" xr:uid="{0E8BF82C-4004-4F35-8DCB-FFCD679268BB}"/>
    <cellStyle name="Comma 4 2 2 5 2 3" xfId="6265" xr:uid="{3E84F3A5-B809-475C-BE2D-B53DF05EB901}"/>
    <cellStyle name="Comma 4 2 2 5 2 4" xfId="1961" xr:uid="{69F6BB81-C491-451F-8C05-D8B2918F53FF}"/>
    <cellStyle name="Comma 4 2 2 5 3" xfId="1134" xr:uid="{6E65CC86-ED80-4B30-9A93-31D62A19AB58}"/>
    <cellStyle name="Comma 4 2 2 5 3 2" xfId="4605" xr:uid="{E9E53332-1E24-4812-8935-3B24AB587332}"/>
    <cellStyle name="Comma 4 2 2 5 3 2 2" xfId="8823" xr:uid="{BC57F17E-A3B0-41F4-BA8B-D2A21E94864D}"/>
    <cellStyle name="Comma 4 2 2 5 3 3" xfId="6678" xr:uid="{B80863B4-3CB9-40AC-80CF-68998BDA1922}"/>
    <cellStyle name="Comma 4 2 2 5 3 4" xfId="2376" xr:uid="{865C1AD9-6732-4514-A30F-D1FF99ACBC4A}"/>
    <cellStyle name="Comma 4 2 2 5 4" xfId="2789" xr:uid="{C5B41DE4-FC81-4A09-8C56-655F409CCCF8}"/>
    <cellStyle name="Comma 4 2 2 5 4 2" xfId="5018" xr:uid="{81119461-FF41-4A43-B147-D8884FE35A59}"/>
    <cellStyle name="Comma 4 2 2 5 4 2 2" xfId="9236" xr:uid="{33E1310E-E417-4398-ADF9-F4E6B2FF4E07}"/>
    <cellStyle name="Comma 4 2 2 5 4 3" xfId="7091" xr:uid="{ACB9E3A8-761A-4186-9CB6-F054C83A9718}"/>
    <cellStyle name="Comma 4 2 2 5 5" xfId="3202" xr:uid="{90434DD5-1B5E-4638-B672-1B6561E0A3A3}"/>
    <cellStyle name="Comma 4 2 2 5 5 2" xfId="5431" xr:uid="{4EE210E1-2DCD-42CF-A703-BE236B124ADF}"/>
    <cellStyle name="Comma 4 2 2 5 5 2 2" xfId="9649" xr:uid="{92582BFA-BA50-4401-A72F-2CDC11D4BCFB}"/>
    <cellStyle name="Comma 4 2 2 5 5 3" xfId="7504" xr:uid="{2D62F29C-AA6B-4F8F-8C54-9540BC5C1A56}"/>
    <cellStyle name="Comma 4 2 2 5 6" xfId="3637" xr:uid="{13F06154-8557-4495-9DF3-EB681A1029F1}"/>
    <cellStyle name="Comma 4 2 2 5 6 2" xfId="7917" xr:uid="{3FA0C64C-0B93-4DF1-9DC6-78C520139C1E}"/>
    <cellStyle name="Comma 4 2 2 5 7" xfId="3622" xr:uid="{14E74974-A5F7-47AF-ABE8-A6AF453F4063}"/>
    <cellStyle name="Comma 4 2 2 5 8" xfId="4015" xr:uid="{EF54411E-41C5-44D6-A194-EBFC93862420}"/>
    <cellStyle name="Comma 4 2 2 5 8 2" xfId="8234" xr:uid="{083CB547-246D-4F57-8489-A198B9DA7206}"/>
    <cellStyle name="Comma 4 2 2 5 9" xfId="5851" xr:uid="{11F5FB47-9087-449D-B2A4-7FB6DE30B834}"/>
    <cellStyle name="Comma 4 2 3" xfId="136" xr:uid="{00000000-0005-0000-0000-0000EF000000}"/>
    <cellStyle name="Comma 4 2 3 10" xfId="4016" xr:uid="{B94878B3-D026-414C-9287-65F8EC494245}"/>
    <cellStyle name="Comma 4 2 3 10 2" xfId="8235" xr:uid="{BB68DC1D-131F-4781-91B9-171180ACD362}"/>
    <cellStyle name="Comma 4 2 3 11" xfId="5852" xr:uid="{FEBB820E-82F4-4969-8521-3089546A11C4}"/>
    <cellStyle name="Comma 4 2 3 12" xfId="1548" xr:uid="{831BD786-B23F-40CF-9D75-3EE98F0D4FEB}"/>
    <cellStyle name="Comma 4 2 3 2" xfId="137" xr:uid="{00000000-0005-0000-0000-0000F0000000}"/>
    <cellStyle name="Comma 4 2 3 2 10" xfId="5853" xr:uid="{FA095A6A-6A40-484C-AA15-99F7F320FC3C}"/>
    <cellStyle name="Comma 4 2 3 2 11" xfId="1549" xr:uid="{10B9F1F5-2D78-47D7-AD1F-D958301446AF}"/>
    <cellStyle name="Comma 4 2 3 2 2" xfId="138" xr:uid="{00000000-0005-0000-0000-0000F1000000}"/>
    <cellStyle name="Comma 4 2 3 2 2 10" xfId="1550" xr:uid="{11D4BA41-9472-4B6D-A106-BC276299CDE2}"/>
    <cellStyle name="Comma 4 2 3 2 2 2" xfId="684" xr:uid="{00000000-0005-0000-0000-0000F2000000}"/>
    <cellStyle name="Comma 4 2 3 2 2 2 2" xfId="4195" xr:uid="{37FA0773-F75E-4965-BFDB-A40FD33E8682}"/>
    <cellStyle name="Comma 4 2 3 2 2 2 2 2" xfId="8413" xr:uid="{89215BD2-B26C-4584-9B03-4008F0E34D48}"/>
    <cellStyle name="Comma 4 2 3 2 2 2 3" xfId="6268" xr:uid="{A1E6C049-3FE0-47E7-B9C0-9C51D2898170}"/>
    <cellStyle name="Comma 4 2 3 2 2 2 4" xfId="1964" xr:uid="{BA2894D8-5132-4F22-95AD-0F3D4F7C310C}"/>
    <cellStyle name="Comma 4 2 3 2 2 3" xfId="1137" xr:uid="{915E2B51-65B8-434B-9F05-19A8520C8644}"/>
    <cellStyle name="Comma 4 2 3 2 2 3 2" xfId="4608" xr:uid="{81CDDD79-EEE7-4479-9C01-8F15E2919BB2}"/>
    <cellStyle name="Comma 4 2 3 2 2 3 2 2" xfId="8826" xr:uid="{610C6A4F-72C9-4CB4-A976-C481A8FCDCD3}"/>
    <cellStyle name="Comma 4 2 3 2 2 3 3" xfId="6681" xr:uid="{9A86477F-B069-4B6E-9558-E3730286F03C}"/>
    <cellStyle name="Comma 4 2 3 2 2 3 4" xfId="2379" xr:uid="{70D9B0A6-AAC4-4D91-A88E-CC75C0EB9264}"/>
    <cellStyle name="Comma 4 2 3 2 2 4" xfId="2792" xr:uid="{BF77CD15-80AC-4322-BD2C-F6ABA54A16AF}"/>
    <cellStyle name="Comma 4 2 3 2 2 4 2" xfId="5021" xr:uid="{015983B2-7855-4B65-862D-149C3F53FCED}"/>
    <cellStyle name="Comma 4 2 3 2 2 4 2 2" xfId="9239" xr:uid="{CC62E278-C177-411F-BFB3-AB1F6934A94C}"/>
    <cellStyle name="Comma 4 2 3 2 2 4 3" xfId="7094" xr:uid="{27B924A9-5319-4A9D-9FF8-9B0CF564398E}"/>
    <cellStyle name="Comma 4 2 3 2 2 5" xfId="3205" xr:uid="{269F5112-B021-451B-A668-A78DF72DE37A}"/>
    <cellStyle name="Comma 4 2 3 2 2 5 2" xfId="5434" xr:uid="{83F7762F-5774-450F-8312-7038F2D61D4B}"/>
    <cellStyle name="Comma 4 2 3 2 2 5 2 2" xfId="9652" xr:uid="{46D6535A-D65F-4B45-A452-0E83884DAE81}"/>
    <cellStyle name="Comma 4 2 3 2 2 5 3" xfId="7507" xr:uid="{EF20ED02-7D67-4FE3-BB8A-C09DB4ED8BA1}"/>
    <cellStyle name="Comma 4 2 3 2 2 6" xfId="3640" xr:uid="{4923C41C-6504-4FB0-90A1-D3E5F438012C}"/>
    <cellStyle name="Comma 4 2 3 2 2 6 2" xfId="7920" xr:uid="{B4D79898-9A2B-40D7-A781-BD99BB0EF87A}"/>
    <cellStyle name="Comma 4 2 3 2 2 7" xfId="3619" xr:uid="{CFE8FCEF-1EBC-4742-954C-2C99C57F3992}"/>
    <cellStyle name="Comma 4 2 3 2 2 8" xfId="4018" xr:uid="{2C6A55C3-AA7E-46EA-99C7-7F4CECDD022E}"/>
    <cellStyle name="Comma 4 2 3 2 2 8 2" xfId="8237" xr:uid="{F939E719-86E5-43F5-B878-3EA3C066116A}"/>
    <cellStyle name="Comma 4 2 3 2 2 9" xfId="5854" xr:uid="{A43ACF7B-978F-45B9-80D1-10F26301341E}"/>
    <cellStyle name="Comma 4 2 3 2 3" xfId="683" xr:uid="{00000000-0005-0000-0000-0000F3000000}"/>
    <cellStyle name="Comma 4 2 3 2 3 2" xfId="4194" xr:uid="{DD22EA90-BC04-4273-9BB6-5083114777E3}"/>
    <cellStyle name="Comma 4 2 3 2 3 2 2" xfId="8412" xr:uid="{378439E3-C6B6-4227-961A-8191F6C6F469}"/>
    <cellStyle name="Comma 4 2 3 2 3 3" xfId="6267" xr:uid="{DFE44DA6-9C97-4BD2-8B32-D7883141DA75}"/>
    <cellStyle name="Comma 4 2 3 2 3 4" xfId="1963" xr:uid="{0DB7FD5D-1B35-42D2-8874-48C45A06074F}"/>
    <cellStyle name="Comma 4 2 3 2 4" xfId="1136" xr:uid="{3CB24049-E7AB-4FB4-9CAA-3B670DC04054}"/>
    <cellStyle name="Comma 4 2 3 2 4 2" xfId="4607" xr:uid="{C45A86F6-B5E8-4C21-82CD-B43427340C2D}"/>
    <cellStyle name="Comma 4 2 3 2 4 2 2" xfId="8825" xr:uid="{7292F4DC-9F45-4CB3-8DC4-7C0E6D9552E7}"/>
    <cellStyle name="Comma 4 2 3 2 4 3" xfId="6680" xr:uid="{3E6CF229-EB8A-41F9-9880-52C2553137F7}"/>
    <cellStyle name="Comma 4 2 3 2 4 4" xfId="2378" xr:uid="{8D71A501-18B5-4C28-B3CF-1522633EE15E}"/>
    <cellStyle name="Comma 4 2 3 2 5" xfId="2791" xr:uid="{E4D98490-DF55-438A-8392-F5C8ED16731F}"/>
    <cellStyle name="Comma 4 2 3 2 5 2" xfId="5020" xr:uid="{A8FE476D-6B64-4E9F-9EBF-0D8093DB173B}"/>
    <cellStyle name="Comma 4 2 3 2 5 2 2" xfId="9238" xr:uid="{A81D0C6B-886E-4204-B146-EC46027C26DA}"/>
    <cellStyle name="Comma 4 2 3 2 5 3" xfId="7093" xr:uid="{514F3E77-2206-4C7B-861E-70A548BED61F}"/>
    <cellStyle name="Comma 4 2 3 2 6" xfId="3204" xr:uid="{AB93867A-5D44-42CA-A17F-C52867AE6E60}"/>
    <cellStyle name="Comma 4 2 3 2 6 2" xfId="5433" xr:uid="{3566949A-3370-4439-A903-B68AD1795441}"/>
    <cellStyle name="Comma 4 2 3 2 6 2 2" xfId="9651" xr:uid="{99D3CDEC-4C9C-4069-8004-D188D8443C28}"/>
    <cellStyle name="Comma 4 2 3 2 6 3" xfId="7506" xr:uid="{114ABBAB-D03A-4055-BC35-9ABB369BD9D0}"/>
    <cellStyle name="Comma 4 2 3 2 7" xfId="3639" xr:uid="{A700DED2-162D-4389-9C8E-CD2DA5E08B62}"/>
    <cellStyle name="Comma 4 2 3 2 7 2" xfId="7919" xr:uid="{D35403EA-7BF1-4F59-BEC8-D3B71BEF43BC}"/>
    <cellStyle name="Comma 4 2 3 2 8" xfId="3620" xr:uid="{4B7671BE-BB46-4606-8446-88008D52AE8C}"/>
    <cellStyle name="Comma 4 2 3 2 9" xfId="4017" xr:uid="{9F02901A-2FA5-4170-AF2C-FC413DC647DB}"/>
    <cellStyle name="Comma 4 2 3 2 9 2" xfId="8236" xr:uid="{12B52497-6977-4E24-B853-B44E8A2EBB3C}"/>
    <cellStyle name="Comma 4 2 3 3" xfId="139" xr:uid="{00000000-0005-0000-0000-0000F4000000}"/>
    <cellStyle name="Comma 4 2 3 3 10" xfId="1551" xr:uid="{4F8B7428-0A64-4EA3-AED0-4A299EA8342F}"/>
    <cellStyle name="Comma 4 2 3 3 2" xfId="685" xr:uid="{00000000-0005-0000-0000-0000F5000000}"/>
    <cellStyle name="Comma 4 2 3 3 2 2" xfId="4196" xr:uid="{F4D29BF0-CC23-4C07-9795-2159285D5EA0}"/>
    <cellStyle name="Comma 4 2 3 3 2 2 2" xfId="8414" xr:uid="{FF5FCAD5-C56D-4484-8BBA-A5326F6116CA}"/>
    <cellStyle name="Comma 4 2 3 3 2 3" xfId="6269" xr:uid="{0B9374A8-B146-478A-A791-9B9FCD5323CD}"/>
    <cellStyle name="Comma 4 2 3 3 2 4" xfId="1965" xr:uid="{8979BD04-D445-43CD-ADED-DE4ADA94E245}"/>
    <cellStyle name="Comma 4 2 3 3 3" xfId="1138" xr:uid="{1E6397F0-1937-4D45-B536-01EEDB120466}"/>
    <cellStyle name="Comma 4 2 3 3 3 2" xfId="4609" xr:uid="{B00B34D9-810E-4584-9741-8F360B61F194}"/>
    <cellStyle name="Comma 4 2 3 3 3 2 2" xfId="8827" xr:uid="{5D63522E-523C-4FA1-ABED-C757E3C31903}"/>
    <cellStyle name="Comma 4 2 3 3 3 3" xfId="6682" xr:uid="{2E330645-418C-431F-8A66-EA7E895CAE04}"/>
    <cellStyle name="Comma 4 2 3 3 3 4" xfId="2380" xr:uid="{2070219C-A591-44F8-9D78-FD1359F196EC}"/>
    <cellStyle name="Comma 4 2 3 3 4" xfId="2793" xr:uid="{5137D538-BC09-49FD-B5FC-FE32D0EDFABB}"/>
    <cellStyle name="Comma 4 2 3 3 4 2" xfId="5022" xr:uid="{B6B5CFE4-118C-4780-B12C-4B8C2501DA76}"/>
    <cellStyle name="Comma 4 2 3 3 4 2 2" xfId="9240" xr:uid="{793CACD5-E588-41F5-9808-BAD4C7171C23}"/>
    <cellStyle name="Comma 4 2 3 3 4 3" xfId="7095" xr:uid="{DF30AEFA-6607-4427-A3B2-48D7BF4751B3}"/>
    <cellStyle name="Comma 4 2 3 3 5" xfId="3206" xr:uid="{99AE87D7-4074-4DA2-9890-6B2959F12279}"/>
    <cellStyle name="Comma 4 2 3 3 5 2" xfId="5435" xr:uid="{DCCDACB2-1488-4B46-A58B-B50A2043102A}"/>
    <cellStyle name="Comma 4 2 3 3 5 2 2" xfId="9653" xr:uid="{19DEACE7-4387-4BEE-BE85-3EFB77E456C1}"/>
    <cellStyle name="Comma 4 2 3 3 5 3" xfId="7508" xr:uid="{F087DBC3-7BAD-42F7-BD19-D1D385A765CD}"/>
    <cellStyle name="Comma 4 2 3 3 6" xfId="3641" xr:uid="{9A740793-7574-43FB-9FC6-BD68BD799EC8}"/>
    <cellStyle name="Comma 4 2 3 3 6 2" xfId="7921" xr:uid="{B5096ABA-71A1-4765-BD4F-B8B349F1502D}"/>
    <cellStyle name="Comma 4 2 3 3 7" xfId="3618" xr:uid="{31CD3921-5AE1-45C8-94CD-E6CF9FC2F34A}"/>
    <cellStyle name="Comma 4 2 3 3 8" xfId="4019" xr:uid="{9454A785-0E3E-4FDD-B5BB-D5DF64A58836}"/>
    <cellStyle name="Comma 4 2 3 3 8 2" xfId="8238" xr:uid="{1D3C2102-98E2-47A2-BFF0-CDC9793F7B54}"/>
    <cellStyle name="Comma 4 2 3 3 9" xfId="5855" xr:uid="{15BBE82E-695D-402F-9D9D-460FF43062D9}"/>
    <cellStyle name="Comma 4 2 3 4" xfId="682" xr:uid="{00000000-0005-0000-0000-0000F6000000}"/>
    <cellStyle name="Comma 4 2 3 4 2" xfId="4193" xr:uid="{EFCA3386-9AD4-4B4E-AC1F-788797AE19DC}"/>
    <cellStyle name="Comma 4 2 3 4 2 2" xfId="8411" xr:uid="{2DA0E685-98E1-40E3-A70F-8E1D626403FD}"/>
    <cellStyle name="Comma 4 2 3 4 3" xfId="6266" xr:uid="{0E95A89B-1EF5-4D01-9CFC-2C959BCFBA5A}"/>
    <cellStyle name="Comma 4 2 3 4 4" xfId="1962" xr:uid="{76C1DA60-720A-45FF-AAE5-ED61BB94C971}"/>
    <cellStyle name="Comma 4 2 3 5" xfId="1135" xr:uid="{F0B91407-E842-4A14-84A5-B062E2A07932}"/>
    <cellStyle name="Comma 4 2 3 5 2" xfId="4606" xr:uid="{75C27380-37DC-4216-AD0D-4C4387DF9798}"/>
    <cellStyle name="Comma 4 2 3 5 2 2" xfId="8824" xr:uid="{B837C862-6600-4ACB-AA2C-F382D98B69E0}"/>
    <cellStyle name="Comma 4 2 3 5 3" xfId="6679" xr:uid="{38693908-9380-4D02-A651-BF535626467D}"/>
    <cellStyle name="Comma 4 2 3 5 4" xfId="2377" xr:uid="{8A44B343-AA4D-40CF-8DA4-60E0E17690B0}"/>
    <cellStyle name="Comma 4 2 3 6" xfId="2790" xr:uid="{C8DA7158-6860-4295-AFC5-3D22254C0622}"/>
    <cellStyle name="Comma 4 2 3 6 2" xfId="5019" xr:uid="{D322C8AB-B281-436F-A138-F7034B61BB7E}"/>
    <cellStyle name="Comma 4 2 3 6 2 2" xfId="9237" xr:uid="{6C0C848B-C5E1-4733-959D-21981DD8A1BA}"/>
    <cellStyle name="Comma 4 2 3 6 3" xfId="7092" xr:uid="{C23BBE78-46CD-4CAF-8BF0-99C85027BBAE}"/>
    <cellStyle name="Comma 4 2 3 7" xfId="3203" xr:uid="{C402AAAF-91B9-4AE2-95A1-F2F9DF1EF66D}"/>
    <cellStyle name="Comma 4 2 3 7 2" xfId="5432" xr:uid="{7509821F-688C-46F5-BC30-3609A319FF58}"/>
    <cellStyle name="Comma 4 2 3 7 2 2" xfId="9650" xr:uid="{3BF4C902-3C5B-4FD6-9687-E8E823E67D8C}"/>
    <cellStyle name="Comma 4 2 3 7 3" xfId="7505" xr:uid="{21BEC4F7-E550-41AF-8129-6399D10C941A}"/>
    <cellStyle name="Comma 4 2 3 8" xfId="3638" xr:uid="{6D66A0BB-EB11-41FA-BB48-3DC48AB17BE7}"/>
    <cellStyle name="Comma 4 2 3 8 2" xfId="7918" xr:uid="{3CE02864-AEED-4B3C-82D9-634FC7D8B339}"/>
    <cellStyle name="Comma 4 2 3 9" xfId="3621" xr:uid="{CD68228C-9064-4CC5-8611-B5126302D3F4}"/>
    <cellStyle name="Comma 4 2 4" xfId="140" xr:uid="{00000000-0005-0000-0000-0000F7000000}"/>
    <cellStyle name="Comma 4 2 4 10" xfId="5856" xr:uid="{77EF16E4-9613-4863-A3E0-BD53E34EC7A8}"/>
    <cellStyle name="Comma 4 2 4 11" xfId="1552" xr:uid="{06F6A58C-4EDF-40E8-A08D-80EB4DBCCFDE}"/>
    <cellStyle name="Comma 4 2 4 2" xfId="141" xr:uid="{00000000-0005-0000-0000-0000F8000000}"/>
    <cellStyle name="Comma 4 2 4 2 10" xfId="1553" xr:uid="{E61A27FB-8F45-44E2-8821-7F60CC91B505}"/>
    <cellStyle name="Comma 4 2 4 2 2" xfId="687" xr:uid="{00000000-0005-0000-0000-0000F9000000}"/>
    <cellStyle name="Comma 4 2 4 2 2 2" xfId="4198" xr:uid="{D68F05CF-79EE-4CE0-BBA7-E35B2ED36564}"/>
    <cellStyle name="Comma 4 2 4 2 2 2 2" xfId="8416" xr:uid="{E7194A13-F380-4597-B9A0-17DDCB8E009C}"/>
    <cellStyle name="Comma 4 2 4 2 2 3" xfId="6271" xr:uid="{2F0B7624-39B1-4619-A066-EADA77D01848}"/>
    <cellStyle name="Comma 4 2 4 2 2 4" xfId="1967" xr:uid="{6C4EE986-7C13-4284-83B3-4F6F3B85E5DB}"/>
    <cellStyle name="Comma 4 2 4 2 3" xfId="1140" xr:uid="{8ABE6C02-C1F9-483B-99F8-7B993085AB85}"/>
    <cellStyle name="Comma 4 2 4 2 3 2" xfId="4611" xr:uid="{60866DF6-9602-4EDD-AC74-5C6EA8BF449C}"/>
    <cellStyle name="Comma 4 2 4 2 3 2 2" xfId="8829" xr:uid="{57C047C7-FB2F-4C69-A1DB-C79CA06A8BCD}"/>
    <cellStyle name="Comma 4 2 4 2 3 3" xfId="6684" xr:uid="{4406C413-1320-41E9-BD6C-FF07043A1C40}"/>
    <cellStyle name="Comma 4 2 4 2 3 4" xfId="2382" xr:uid="{8792024A-64CB-4C70-A2D5-A83C81FC8BCC}"/>
    <cellStyle name="Comma 4 2 4 2 4" xfId="2795" xr:uid="{2EAD5F41-0C58-4EB6-A39D-002189F3003B}"/>
    <cellStyle name="Comma 4 2 4 2 4 2" xfId="5024" xr:uid="{44B14AE2-087F-49B6-82FC-9045E49EECDB}"/>
    <cellStyle name="Comma 4 2 4 2 4 2 2" xfId="9242" xr:uid="{6174C153-AF7B-4448-96E9-0364C99D45E2}"/>
    <cellStyle name="Comma 4 2 4 2 4 3" xfId="7097" xr:uid="{FEA4F330-94FC-45FD-B087-CCE77632B1CE}"/>
    <cellStyle name="Comma 4 2 4 2 5" xfId="3208" xr:uid="{5C4D03D1-685F-4842-AA40-F1FC92708EF9}"/>
    <cellStyle name="Comma 4 2 4 2 5 2" xfId="5437" xr:uid="{71FC4507-2977-4696-823F-D8640DB8CFD6}"/>
    <cellStyle name="Comma 4 2 4 2 5 2 2" xfId="9655" xr:uid="{39E48893-BDF9-4C67-98FC-C116EA3DBA65}"/>
    <cellStyle name="Comma 4 2 4 2 5 3" xfId="7510" xr:uid="{83C4D0A2-6A3A-4143-8A9B-0BF4E711AD9D}"/>
    <cellStyle name="Comma 4 2 4 2 6" xfId="3643" xr:uid="{D31C2A05-D3D6-405B-8A54-CD40F1D0473A}"/>
    <cellStyle name="Comma 4 2 4 2 6 2" xfId="7923" xr:uid="{53FA278C-E960-4F49-9B07-D57729D9D126}"/>
    <cellStyle name="Comma 4 2 4 2 7" xfId="3616" xr:uid="{228EBCBE-E621-4D3E-A766-B30DBAA71F2D}"/>
    <cellStyle name="Comma 4 2 4 2 8" xfId="4021" xr:uid="{D4034B8C-2053-4447-94CF-B2D07157BB0D}"/>
    <cellStyle name="Comma 4 2 4 2 8 2" xfId="8240" xr:uid="{D0BF0796-A181-45FD-B767-5C0E12E99671}"/>
    <cellStyle name="Comma 4 2 4 2 9" xfId="5857" xr:uid="{42D9247A-CE23-4484-B948-1A890D64444F}"/>
    <cellStyle name="Comma 4 2 4 3" xfId="686" xr:uid="{00000000-0005-0000-0000-0000FA000000}"/>
    <cellStyle name="Comma 4 2 4 3 2" xfId="4197" xr:uid="{4BE09BDF-E2A4-4A9F-B380-7CA371190171}"/>
    <cellStyle name="Comma 4 2 4 3 2 2" xfId="8415" xr:uid="{15236CED-4494-4B49-9D11-53F751A5C227}"/>
    <cellStyle name="Comma 4 2 4 3 3" xfId="6270" xr:uid="{9937173A-8138-4D45-AFAE-32173DDB4932}"/>
    <cellStyle name="Comma 4 2 4 3 4" xfId="1966" xr:uid="{28D7C8C9-9006-4350-8D21-C802C902EDA4}"/>
    <cellStyle name="Comma 4 2 4 4" xfId="1139" xr:uid="{FA8B92AF-3B90-4092-A60E-3324AA0BE473}"/>
    <cellStyle name="Comma 4 2 4 4 2" xfId="4610" xr:uid="{B46F6E81-084B-4F00-8818-D07F511059E1}"/>
    <cellStyle name="Comma 4 2 4 4 2 2" xfId="8828" xr:uid="{236C227A-2E8C-4619-9141-9E6B3A200E11}"/>
    <cellStyle name="Comma 4 2 4 4 3" xfId="6683" xr:uid="{29D3646B-D842-4182-A05A-593F9754D468}"/>
    <cellStyle name="Comma 4 2 4 4 4" xfId="2381" xr:uid="{1ACAD2C9-9371-4E41-8BDD-6684D77FB2E1}"/>
    <cellStyle name="Comma 4 2 4 5" xfId="2794" xr:uid="{E55AE44B-0F1D-4E00-BF7E-E34D178C3EE9}"/>
    <cellStyle name="Comma 4 2 4 5 2" xfId="5023" xr:uid="{A38A0235-D4D9-4192-834B-43365994E9D1}"/>
    <cellStyle name="Comma 4 2 4 5 2 2" xfId="9241" xr:uid="{C8B5F7F4-19BA-40E3-8B11-74B24A9E9133}"/>
    <cellStyle name="Comma 4 2 4 5 3" xfId="7096" xr:uid="{5AE30248-BC4A-49AE-9EDB-E4C7E3461DB1}"/>
    <cellStyle name="Comma 4 2 4 6" xfId="3207" xr:uid="{4A122B13-0971-4F76-B741-2EAAC9FD69FA}"/>
    <cellStyle name="Comma 4 2 4 6 2" xfId="5436" xr:uid="{5CBA24CE-DABB-4C55-880F-055810583516}"/>
    <cellStyle name="Comma 4 2 4 6 2 2" xfId="9654" xr:uid="{D220A685-EDCF-4F97-A383-F9432806E9E0}"/>
    <cellStyle name="Comma 4 2 4 6 3" xfId="7509" xr:uid="{B8E59E6F-F1E7-4C55-9042-1273A9AC8ED2}"/>
    <cellStyle name="Comma 4 2 4 7" xfId="3642" xr:uid="{85BD9E20-423A-47F6-90C2-882B9DEA32AC}"/>
    <cellStyle name="Comma 4 2 4 7 2" xfId="7922" xr:uid="{6E32C612-1C93-4AB4-9B01-02F6820ECDF3}"/>
    <cellStyle name="Comma 4 2 4 8" xfId="3617" xr:uid="{DB5463C7-BFD6-4548-94BC-AF67E64A7400}"/>
    <cellStyle name="Comma 4 2 4 9" xfId="4020" xr:uid="{F3B2822A-2CA3-477A-A268-5B0FA1351CAC}"/>
    <cellStyle name="Comma 4 2 4 9 2" xfId="8239" xr:uid="{44CD3CAB-BF9A-4056-BB31-326D55DB790D}"/>
    <cellStyle name="Comma 4 2 5" xfId="142" xr:uid="{00000000-0005-0000-0000-0000FB000000}"/>
    <cellStyle name="Comma 4 2 5 10" xfId="1554" xr:uid="{3A0BD326-9C59-4D97-8B5C-2A0473A1B337}"/>
    <cellStyle name="Comma 4 2 5 2" xfId="688" xr:uid="{00000000-0005-0000-0000-0000FC000000}"/>
    <cellStyle name="Comma 4 2 5 2 2" xfId="4199" xr:uid="{B43C5068-606F-4709-A2E4-CBF0D86B0340}"/>
    <cellStyle name="Comma 4 2 5 2 2 2" xfId="8417" xr:uid="{CBC0C58A-6C2D-4513-A90B-FF9B6177FE2C}"/>
    <cellStyle name="Comma 4 2 5 2 3" xfId="6272" xr:uid="{F4958D57-E901-4194-8DF6-537115C6856C}"/>
    <cellStyle name="Comma 4 2 5 2 4" xfId="1968" xr:uid="{CF6D3BE6-1528-4BAE-A278-06A5C0E51CD0}"/>
    <cellStyle name="Comma 4 2 5 3" xfId="1141" xr:uid="{0882F0F8-C87E-4672-AE81-EF252CB9DE9A}"/>
    <cellStyle name="Comma 4 2 5 3 2" xfId="4612" xr:uid="{2B2F7988-21EF-448F-BAA1-F05EB98460F1}"/>
    <cellStyle name="Comma 4 2 5 3 2 2" xfId="8830" xr:uid="{4AFFEF17-7DFF-4F51-AE4A-F2F79B8BF588}"/>
    <cellStyle name="Comma 4 2 5 3 3" xfId="6685" xr:uid="{6216BA9C-58E8-4BA3-8747-0516D9ABD62C}"/>
    <cellStyle name="Comma 4 2 5 3 4" xfId="2383" xr:uid="{859B4285-83EE-4DA8-BCE1-4B6355BAB7E0}"/>
    <cellStyle name="Comma 4 2 5 4" xfId="2796" xr:uid="{8FEA2E16-98D3-479F-A7F6-43834E0ABD29}"/>
    <cellStyle name="Comma 4 2 5 4 2" xfId="5025" xr:uid="{F3E213AC-EA7E-44BD-9D53-4B518778BA70}"/>
    <cellStyle name="Comma 4 2 5 4 2 2" xfId="9243" xr:uid="{7CFBA6C5-E030-4DC6-8370-3F49AC54E5DB}"/>
    <cellStyle name="Comma 4 2 5 4 3" xfId="7098" xr:uid="{F8220F5C-4D63-4178-A49A-FF3D1CD70711}"/>
    <cellStyle name="Comma 4 2 5 5" xfId="3209" xr:uid="{0F82C18C-F6FA-4B8B-AA04-601EDEA11871}"/>
    <cellStyle name="Comma 4 2 5 5 2" xfId="5438" xr:uid="{09C284B8-3E8C-4358-990F-E9728306BD71}"/>
    <cellStyle name="Comma 4 2 5 5 2 2" xfId="9656" xr:uid="{6185D986-EC7A-4A2A-A1C2-C32308073508}"/>
    <cellStyle name="Comma 4 2 5 5 3" xfId="7511" xr:uid="{63E890A6-DE61-4207-883F-ACB028CD643A}"/>
    <cellStyle name="Comma 4 2 5 6" xfId="3644" xr:uid="{5869D4FB-E84C-4643-926F-71644963D012}"/>
    <cellStyle name="Comma 4 2 5 6 2" xfId="7924" xr:uid="{814280E4-95F4-4B1C-9C7B-46B796DC37C0}"/>
    <cellStyle name="Comma 4 2 5 7" xfId="3615" xr:uid="{FF670CCF-445D-411E-BE74-5B88D5672EFD}"/>
    <cellStyle name="Comma 4 2 5 8" xfId="4022" xr:uid="{1AA4F4CB-0F2C-4135-8540-BDE1205B6E39}"/>
    <cellStyle name="Comma 4 2 5 8 2" xfId="8241" xr:uid="{BB1DE837-770D-47E2-A27A-0BEAF0AD8A78}"/>
    <cellStyle name="Comma 4 2 5 9" xfId="5858" xr:uid="{BD6FA736-D186-4857-90C9-570A7C397864}"/>
    <cellStyle name="Comma 4 2 6" xfId="143" xr:uid="{00000000-0005-0000-0000-0000FD000000}"/>
    <cellStyle name="Comma 4 2 6 10" xfId="1555" xr:uid="{EEB79CB1-A12D-4C6B-A79C-5288D99AAD10}"/>
    <cellStyle name="Comma 4 2 6 2" xfId="689" xr:uid="{00000000-0005-0000-0000-0000FE000000}"/>
    <cellStyle name="Comma 4 2 6 2 2" xfId="4200" xr:uid="{CCC2444C-3AA7-408B-AB6A-C8C3718ADE24}"/>
    <cellStyle name="Comma 4 2 6 2 2 2" xfId="8418" xr:uid="{6E6715FE-B963-4ADC-825E-6BE1F6D05601}"/>
    <cellStyle name="Comma 4 2 6 2 3" xfId="6273" xr:uid="{B0EF2B8E-63B8-4802-BF66-DD0656975787}"/>
    <cellStyle name="Comma 4 2 6 2 4" xfId="1969" xr:uid="{5294A1F0-7C4C-4CFF-9417-3B75D5B64D8A}"/>
    <cellStyle name="Comma 4 2 6 3" xfId="1142" xr:uid="{8B319ACA-47D2-4B6A-85B9-5E8B05F00273}"/>
    <cellStyle name="Comma 4 2 6 3 2" xfId="4613" xr:uid="{94B4410B-1A9D-4DD8-BE44-6F4A661D3FC9}"/>
    <cellStyle name="Comma 4 2 6 3 2 2" xfId="8831" xr:uid="{9C8077AE-A90F-4A3C-BDE7-A6C79F6F9043}"/>
    <cellStyle name="Comma 4 2 6 3 3" xfId="6686" xr:uid="{DB5122AC-48A2-4B9A-AF46-A37B2D3B799E}"/>
    <cellStyle name="Comma 4 2 6 3 4" xfId="2384" xr:uid="{8CF7264C-90B3-4FCB-9E50-2CE33AA12F80}"/>
    <cellStyle name="Comma 4 2 6 4" xfId="2797" xr:uid="{4348BC36-7BEC-4B7B-AFA3-D323187A772D}"/>
    <cellStyle name="Comma 4 2 6 4 2" xfId="5026" xr:uid="{713E58CB-37BD-47B2-BBE9-351A008D362F}"/>
    <cellStyle name="Comma 4 2 6 4 2 2" xfId="9244" xr:uid="{CF80F1E1-FB93-4AB7-9AF4-E30CAFA5D543}"/>
    <cellStyle name="Comma 4 2 6 4 3" xfId="7099" xr:uid="{6471EBA3-83B0-4B5B-BB2E-E827A66D0427}"/>
    <cellStyle name="Comma 4 2 6 5" xfId="3210" xr:uid="{087B6855-74F0-4941-A3F2-DE2C1DC3CC55}"/>
    <cellStyle name="Comma 4 2 6 5 2" xfId="5439" xr:uid="{3F0A95D0-26FF-4B51-974C-2A52EE1995E9}"/>
    <cellStyle name="Comma 4 2 6 5 2 2" xfId="9657" xr:uid="{69346CC3-EC4F-4F2A-9191-1710F74C3572}"/>
    <cellStyle name="Comma 4 2 6 5 3" xfId="7512" xr:uid="{54217481-4AA6-434A-ACA5-934145532D34}"/>
    <cellStyle name="Comma 4 2 6 6" xfId="3645" xr:uid="{045D04C1-DDAC-4010-A04C-37335AAA9211}"/>
    <cellStyle name="Comma 4 2 6 6 2" xfId="7925" xr:uid="{1F705DB9-FC6D-430C-94F5-FF0104C82263}"/>
    <cellStyle name="Comma 4 2 6 7" xfId="3614" xr:uid="{69D0BAFC-708B-462D-890C-4C91586D2134}"/>
    <cellStyle name="Comma 4 2 6 8" xfId="4023" xr:uid="{7B73CA47-0BA9-40DD-A43A-4AABD237664E}"/>
    <cellStyle name="Comma 4 2 6 8 2" xfId="8242" xr:uid="{3E7B7ACB-84E0-4544-AF62-98A95F75A2F2}"/>
    <cellStyle name="Comma 4 2 6 9" xfId="5859" xr:uid="{E1FFB840-BFB3-4F74-B54A-64521D5664DC}"/>
    <cellStyle name="Comma 4 3" xfId="144" xr:uid="{00000000-0005-0000-0000-0000FF000000}"/>
    <cellStyle name="Comma 4 3 2" xfId="145" xr:uid="{00000000-0005-0000-0000-000000010000}"/>
    <cellStyle name="Comma 4 3 2 10" xfId="4024" xr:uid="{DC93CDE1-1DCF-421F-987D-A8F33F5F2317}"/>
    <cellStyle name="Comma 4 3 2 10 2" xfId="8243" xr:uid="{1E87251C-C867-4966-99BC-26C4D0D78427}"/>
    <cellStyle name="Comma 4 3 2 11" xfId="5860" xr:uid="{AFBC4D2D-C9F2-4E7D-9B2B-42D33D56966C}"/>
    <cellStyle name="Comma 4 3 2 12" xfId="1556" xr:uid="{A7F3C803-6C7B-4CE7-9D75-BF78BED79262}"/>
    <cellStyle name="Comma 4 3 2 2" xfId="146" xr:uid="{00000000-0005-0000-0000-000001010000}"/>
    <cellStyle name="Comma 4 3 2 2 10" xfId="5861" xr:uid="{E1D80BD5-156B-497E-9DEE-EBA2986E7D0A}"/>
    <cellStyle name="Comma 4 3 2 2 11" xfId="1557" xr:uid="{C251B7A8-A281-4EF7-83D7-F56B88FEE201}"/>
    <cellStyle name="Comma 4 3 2 2 2" xfId="147" xr:uid="{00000000-0005-0000-0000-000002010000}"/>
    <cellStyle name="Comma 4 3 2 2 2 10" xfId="1558" xr:uid="{9A4F449B-85F7-46B0-9C61-72B6246DE1E1}"/>
    <cellStyle name="Comma 4 3 2 2 2 2" xfId="692" xr:uid="{00000000-0005-0000-0000-000003010000}"/>
    <cellStyle name="Comma 4 3 2 2 2 2 2" xfId="4203" xr:uid="{DD51AC6F-AFF0-40C8-9AAF-92C156205AD0}"/>
    <cellStyle name="Comma 4 3 2 2 2 2 2 2" xfId="8421" xr:uid="{5753E388-FC37-4387-84F4-91173BEB48E8}"/>
    <cellStyle name="Comma 4 3 2 2 2 2 3" xfId="6276" xr:uid="{4F1BF107-8591-4BA3-B3EA-A78AA41CF49A}"/>
    <cellStyle name="Comma 4 3 2 2 2 2 4" xfId="1972" xr:uid="{9A25B38A-5A58-4279-9D36-8573714B3121}"/>
    <cellStyle name="Comma 4 3 2 2 2 3" xfId="1145" xr:uid="{A15BFE16-E6CF-4456-B54D-768B54848EEE}"/>
    <cellStyle name="Comma 4 3 2 2 2 3 2" xfId="4616" xr:uid="{2F7F191B-1F87-4FA3-B5EF-4E94763A8471}"/>
    <cellStyle name="Comma 4 3 2 2 2 3 2 2" xfId="8834" xr:uid="{81BB5E65-9434-4436-BBFC-2C7D89C98E21}"/>
    <cellStyle name="Comma 4 3 2 2 2 3 3" xfId="6689" xr:uid="{88642760-BD5C-4114-A941-258B2E936428}"/>
    <cellStyle name="Comma 4 3 2 2 2 3 4" xfId="2387" xr:uid="{FC485479-DC95-4E89-977D-2E38192612CF}"/>
    <cellStyle name="Comma 4 3 2 2 2 4" xfId="2800" xr:uid="{9515D44D-506E-40AC-AC79-30D484245501}"/>
    <cellStyle name="Comma 4 3 2 2 2 4 2" xfId="5029" xr:uid="{94B1F731-F599-4F8F-89E0-37B15C08F28A}"/>
    <cellStyle name="Comma 4 3 2 2 2 4 2 2" xfId="9247" xr:uid="{9E6F556C-D271-4824-83A6-441683DD319B}"/>
    <cellStyle name="Comma 4 3 2 2 2 4 3" xfId="7102" xr:uid="{C036275B-77C0-490B-A3BA-D20B4B6A3CB2}"/>
    <cellStyle name="Comma 4 3 2 2 2 5" xfId="3213" xr:uid="{DC5ECC2C-C2E1-41F6-8165-C4B934EDC663}"/>
    <cellStyle name="Comma 4 3 2 2 2 5 2" xfId="5442" xr:uid="{A14D9B8F-2743-40F4-9740-4E6082126921}"/>
    <cellStyle name="Comma 4 3 2 2 2 5 2 2" xfId="9660" xr:uid="{2299C804-C5E9-4008-A45F-ADC71E12ADC5}"/>
    <cellStyle name="Comma 4 3 2 2 2 5 3" xfId="7515" xr:uid="{E4725FFE-CCE6-42CE-89B8-1C0B560094FB}"/>
    <cellStyle name="Comma 4 3 2 2 2 6" xfId="3648" xr:uid="{4FF90C25-D2AE-4474-9463-AF050936DDDB}"/>
    <cellStyle name="Comma 4 3 2 2 2 6 2" xfId="7928" xr:uid="{55685E55-B8B2-447C-B118-684C35E34016}"/>
    <cellStyle name="Comma 4 3 2 2 2 7" xfId="3611" xr:uid="{73610980-04B5-4FE3-99B6-75FD2C8F4A99}"/>
    <cellStyle name="Comma 4 3 2 2 2 8" xfId="4026" xr:uid="{E5D25000-39C4-4344-85B4-9F79B2FEBC62}"/>
    <cellStyle name="Comma 4 3 2 2 2 8 2" xfId="8245" xr:uid="{1E6145ED-E7BF-4975-B8E1-3CD40EE0475B}"/>
    <cellStyle name="Comma 4 3 2 2 2 9" xfId="5862" xr:uid="{A5B3192F-0AB7-4375-B265-634AEFEE623B}"/>
    <cellStyle name="Comma 4 3 2 2 3" xfId="691" xr:uid="{00000000-0005-0000-0000-000004010000}"/>
    <cellStyle name="Comma 4 3 2 2 3 2" xfId="4202" xr:uid="{E517FDB8-EB81-4203-B998-CDE3BB61CA8E}"/>
    <cellStyle name="Comma 4 3 2 2 3 2 2" xfId="8420" xr:uid="{BC8F1BEB-8465-4DEC-AA3B-B451BBB71002}"/>
    <cellStyle name="Comma 4 3 2 2 3 3" xfId="6275" xr:uid="{D1D6EF53-4F82-4DCF-A777-E4BA6956B860}"/>
    <cellStyle name="Comma 4 3 2 2 3 4" xfId="1971" xr:uid="{BF821B3A-D501-4027-BD03-80624593F94D}"/>
    <cellStyle name="Comma 4 3 2 2 4" xfId="1144" xr:uid="{7EA32CD9-C4EC-4F50-A935-6A76BDA12AF1}"/>
    <cellStyle name="Comma 4 3 2 2 4 2" xfId="4615" xr:uid="{E8EF0AA8-7BCB-4D3A-B130-E57C273E7EF9}"/>
    <cellStyle name="Comma 4 3 2 2 4 2 2" xfId="8833" xr:uid="{B1CBD072-CDF1-46F3-8E02-9907CFF6D392}"/>
    <cellStyle name="Comma 4 3 2 2 4 3" xfId="6688" xr:uid="{6930D035-54C4-4C32-AD45-534BC1FD56B6}"/>
    <cellStyle name="Comma 4 3 2 2 4 4" xfId="2386" xr:uid="{1F9BC73C-EA60-405E-9545-E3B576BFD4A2}"/>
    <cellStyle name="Comma 4 3 2 2 5" xfId="2799" xr:uid="{F2FA6501-3785-41BE-B2F8-1627DF7C238B}"/>
    <cellStyle name="Comma 4 3 2 2 5 2" xfId="5028" xr:uid="{34BFC736-1976-43AF-86F0-30533DF837C8}"/>
    <cellStyle name="Comma 4 3 2 2 5 2 2" xfId="9246" xr:uid="{764076A4-AEBE-4E67-99BC-D5E5429E470F}"/>
    <cellStyle name="Comma 4 3 2 2 5 3" xfId="7101" xr:uid="{398E197F-615F-436B-ABF3-6203BCCEE7BB}"/>
    <cellStyle name="Comma 4 3 2 2 6" xfId="3212" xr:uid="{CA64CF0B-60D0-4071-88C5-F1A958E05BD9}"/>
    <cellStyle name="Comma 4 3 2 2 6 2" xfId="5441" xr:uid="{A5BED47A-2B20-43B9-9BB0-F7123FCE192B}"/>
    <cellStyle name="Comma 4 3 2 2 6 2 2" xfId="9659" xr:uid="{5D4BC03F-9EC4-4ACD-A024-1CB7504D1EAB}"/>
    <cellStyle name="Comma 4 3 2 2 6 3" xfId="7514" xr:uid="{2B4DD1CA-3D1F-4780-A95B-13FFB89C1D70}"/>
    <cellStyle name="Comma 4 3 2 2 7" xfId="3647" xr:uid="{DEEFDCD7-7130-4410-B9CC-9F99E2F2C801}"/>
    <cellStyle name="Comma 4 3 2 2 7 2" xfId="7927" xr:uid="{B4717A08-41FB-49CB-9953-F18F63D58298}"/>
    <cellStyle name="Comma 4 3 2 2 8" xfId="3612" xr:uid="{04D01EAA-C96C-45F1-B066-678B9C64E270}"/>
    <cellStyle name="Comma 4 3 2 2 9" xfId="4025" xr:uid="{5379EBCF-D613-4173-AB2E-214608C944B6}"/>
    <cellStyle name="Comma 4 3 2 2 9 2" xfId="8244" xr:uid="{66F87C38-DD57-4A53-A903-06DAF58AD6CF}"/>
    <cellStyle name="Comma 4 3 2 3" xfId="148" xr:uid="{00000000-0005-0000-0000-000005010000}"/>
    <cellStyle name="Comma 4 3 2 3 10" xfId="1559" xr:uid="{B752D311-3490-48FF-AAD5-9DE2CB8222D3}"/>
    <cellStyle name="Comma 4 3 2 3 2" xfId="693" xr:uid="{00000000-0005-0000-0000-000006010000}"/>
    <cellStyle name="Comma 4 3 2 3 2 2" xfId="4204" xr:uid="{167652BA-0170-47A9-B2D1-027570CB53AF}"/>
    <cellStyle name="Comma 4 3 2 3 2 2 2" xfId="8422" xr:uid="{649676A2-E6BF-478A-8209-FA78283216BF}"/>
    <cellStyle name="Comma 4 3 2 3 2 3" xfId="6277" xr:uid="{EF666DAA-9D5D-4A6C-8570-66AAD612F214}"/>
    <cellStyle name="Comma 4 3 2 3 2 4" xfId="1973" xr:uid="{5C183014-BD5E-4297-8F56-F852412EF637}"/>
    <cellStyle name="Comma 4 3 2 3 3" xfId="1146" xr:uid="{5F6EFFC7-B265-4786-A305-6AA98848D05A}"/>
    <cellStyle name="Comma 4 3 2 3 3 2" xfId="4617" xr:uid="{5EE1A70C-0D71-4791-A80B-AFAD20EFCAB0}"/>
    <cellStyle name="Comma 4 3 2 3 3 2 2" xfId="8835" xr:uid="{DEB77F09-6C1B-4443-996E-5AAAAE7EB649}"/>
    <cellStyle name="Comma 4 3 2 3 3 3" xfId="6690" xr:uid="{CD75E836-DE56-44D0-82C1-9E6DB49CA44C}"/>
    <cellStyle name="Comma 4 3 2 3 3 4" xfId="2388" xr:uid="{B932DB71-8CE7-4F1A-B2D9-1DA4984A34B6}"/>
    <cellStyle name="Comma 4 3 2 3 4" xfId="2801" xr:uid="{FBC2DC84-DF0F-471C-947C-22425858AB77}"/>
    <cellStyle name="Comma 4 3 2 3 4 2" xfId="5030" xr:uid="{559C5097-7C5D-4B6C-B189-E131E3793BCC}"/>
    <cellStyle name="Comma 4 3 2 3 4 2 2" xfId="9248" xr:uid="{54473039-3A61-49A2-AF78-917856134F9E}"/>
    <cellStyle name="Comma 4 3 2 3 4 3" xfId="7103" xr:uid="{C734078F-8EFC-4655-9515-24A4C289DAD4}"/>
    <cellStyle name="Comma 4 3 2 3 5" xfId="3214" xr:uid="{76696677-893E-45A5-A41F-45527061304D}"/>
    <cellStyle name="Comma 4 3 2 3 5 2" xfId="5443" xr:uid="{1C669D1B-BEC6-486D-9518-E85C6F6E8C2C}"/>
    <cellStyle name="Comma 4 3 2 3 5 2 2" xfId="9661" xr:uid="{F76C2D3C-E731-4447-9542-1D0F9A896722}"/>
    <cellStyle name="Comma 4 3 2 3 5 3" xfId="7516" xr:uid="{16193DFA-F740-4B17-A698-0D163B127565}"/>
    <cellStyle name="Comma 4 3 2 3 6" xfId="3649" xr:uid="{CEBE7398-E2C7-42CC-A61F-5D657096FD34}"/>
    <cellStyle name="Comma 4 3 2 3 6 2" xfId="7929" xr:uid="{35D9BB52-659D-4A08-B4FE-C6B0F501AF8D}"/>
    <cellStyle name="Comma 4 3 2 3 7" xfId="3610" xr:uid="{6B6E2BD1-6D44-4FEE-9149-F7309000ED67}"/>
    <cellStyle name="Comma 4 3 2 3 8" xfId="4027" xr:uid="{CF40D5FB-0C78-452D-8A1E-DCB9D53A3490}"/>
    <cellStyle name="Comma 4 3 2 3 8 2" xfId="8246" xr:uid="{E4168787-B514-472F-827E-011AE03EE921}"/>
    <cellStyle name="Comma 4 3 2 3 9" xfId="5863" xr:uid="{AC8ED826-5E87-4571-8647-ED1954B22D48}"/>
    <cellStyle name="Comma 4 3 2 4" xfId="690" xr:uid="{00000000-0005-0000-0000-000007010000}"/>
    <cellStyle name="Comma 4 3 2 4 2" xfId="4201" xr:uid="{28D094F5-04F3-4497-AEAA-E5B59DE6CB3A}"/>
    <cellStyle name="Comma 4 3 2 4 2 2" xfId="8419" xr:uid="{FCEFBBBB-10DF-4F15-885A-5206E6DE3F60}"/>
    <cellStyle name="Comma 4 3 2 4 3" xfId="6274" xr:uid="{E5363C58-7E1C-45C2-B9DF-2F05F9099CE7}"/>
    <cellStyle name="Comma 4 3 2 4 4" xfId="1970" xr:uid="{4855715A-BB88-4BEC-99CC-A1003D01CF19}"/>
    <cellStyle name="Comma 4 3 2 5" xfId="1143" xr:uid="{481D527A-4F33-43E9-855C-EAFDD00E07AD}"/>
    <cellStyle name="Comma 4 3 2 5 2" xfId="4614" xr:uid="{2B288F11-1B77-4D51-8137-6B59BEB74C4A}"/>
    <cellStyle name="Comma 4 3 2 5 2 2" xfId="8832" xr:uid="{EEEBEFE6-B5E8-4E76-8DCF-9AA9008F9D93}"/>
    <cellStyle name="Comma 4 3 2 5 3" xfId="6687" xr:uid="{7C1C8020-4703-4015-8BA6-C7A7ADC63307}"/>
    <cellStyle name="Comma 4 3 2 5 4" xfId="2385" xr:uid="{BCACEEEA-EBFE-4A21-806D-DEB470CCBE28}"/>
    <cellStyle name="Comma 4 3 2 6" xfId="2798" xr:uid="{B31D4389-FC71-420A-BDEC-2ACF9CAB6FCB}"/>
    <cellStyle name="Comma 4 3 2 6 2" xfId="5027" xr:uid="{B02DBEE4-18B1-4290-84C6-58FAA0C5770D}"/>
    <cellStyle name="Comma 4 3 2 6 2 2" xfId="9245" xr:uid="{8689D339-0B60-41DA-99E5-05DCC9D72A74}"/>
    <cellStyle name="Comma 4 3 2 6 3" xfId="7100" xr:uid="{96F9D691-FD83-4D56-BFFA-58E925E63911}"/>
    <cellStyle name="Comma 4 3 2 7" xfId="3211" xr:uid="{F3341454-37AC-41B8-B928-E7DEAD97FA26}"/>
    <cellStyle name="Comma 4 3 2 7 2" xfId="5440" xr:uid="{2BF9D8BC-EA54-43F0-956A-88F81E6DD8AD}"/>
    <cellStyle name="Comma 4 3 2 7 2 2" xfId="9658" xr:uid="{C75586F0-DABF-4EC9-B878-B0C1F413DBED}"/>
    <cellStyle name="Comma 4 3 2 7 3" xfId="7513" xr:uid="{A73A9CA6-2A7E-44CD-AB24-E72AC0460881}"/>
    <cellStyle name="Comma 4 3 2 8" xfId="3646" xr:uid="{52CEA792-BAE3-4A26-A9F4-5A547C9451FA}"/>
    <cellStyle name="Comma 4 3 2 8 2" xfId="7926" xr:uid="{A85ABF1B-8DDD-4D4F-AB8B-08AF67B79A0D}"/>
    <cellStyle name="Comma 4 3 2 9" xfId="3613" xr:uid="{16EB1802-6658-4A8A-9414-871AEBE78219}"/>
    <cellStyle name="Comma 4 3 3" xfId="149" xr:uid="{00000000-0005-0000-0000-000008010000}"/>
    <cellStyle name="Comma 4 3 3 10" xfId="5864" xr:uid="{1EA5B150-5BD0-434C-B8FD-453B2A6CAA00}"/>
    <cellStyle name="Comma 4 3 3 11" xfId="1560" xr:uid="{9741AF89-0BDA-4009-8673-0EFE531ADD09}"/>
    <cellStyle name="Comma 4 3 3 2" xfId="150" xr:uid="{00000000-0005-0000-0000-000009010000}"/>
    <cellStyle name="Comma 4 3 3 2 10" xfId="1561" xr:uid="{97FD6F79-5119-4870-AA57-04620AD52FC8}"/>
    <cellStyle name="Comma 4 3 3 2 2" xfId="695" xr:uid="{00000000-0005-0000-0000-00000A010000}"/>
    <cellStyle name="Comma 4 3 3 2 2 2" xfId="4206" xr:uid="{845EF359-FA46-4E34-AAD7-C4547F4504C2}"/>
    <cellStyle name="Comma 4 3 3 2 2 2 2" xfId="8424" xr:uid="{BFDB939C-898D-4452-AAF2-8D3B7DC33FF6}"/>
    <cellStyle name="Comma 4 3 3 2 2 3" xfId="6279" xr:uid="{991FF0E1-7AEE-4CD5-827A-EAC67D2191EA}"/>
    <cellStyle name="Comma 4 3 3 2 2 4" xfId="1975" xr:uid="{6E5D0074-8093-48D8-BB97-42C0BD92AC3E}"/>
    <cellStyle name="Comma 4 3 3 2 3" xfId="1148" xr:uid="{1449637A-D06C-4AC5-879A-C5060147A1C4}"/>
    <cellStyle name="Comma 4 3 3 2 3 2" xfId="4619" xr:uid="{13011BF3-C341-46DF-9718-3FC10462AC5F}"/>
    <cellStyle name="Comma 4 3 3 2 3 2 2" xfId="8837" xr:uid="{E8447FFA-2CAD-421A-9FA0-8C8A7C59C3E5}"/>
    <cellStyle name="Comma 4 3 3 2 3 3" xfId="6692" xr:uid="{FA132274-31F2-4F01-89DA-96E5F004A433}"/>
    <cellStyle name="Comma 4 3 3 2 3 4" xfId="2390" xr:uid="{E05B4641-CF99-4CAC-A659-ABD2C36DFDCA}"/>
    <cellStyle name="Comma 4 3 3 2 4" xfId="2803" xr:uid="{F58F464B-0CFA-4651-A6D0-99236FDC136B}"/>
    <cellStyle name="Comma 4 3 3 2 4 2" xfId="5032" xr:uid="{B69B3988-5DEE-4AD7-9AC3-2D3FC9FF830B}"/>
    <cellStyle name="Comma 4 3 3 2 4 2 2" xfId="9250" xr:uid="{C23C60D1-82CE-4AE4-A14A-85C41726BD26}"/>
    <cellStyle name="Comma 4 3 3 2 4 3" xfId="7105" xr:uid="{C0BD6BCA-6236-4E9B-B4D9-85204810DFE4}"/>
    <cellStyle name="Comma 4 3 3 2 5" xfId="3216" xr:uid="{ADAF4835-C51B-4CF7-9C66-57F5F1B8AEDA}"/>
    <cellStyle name="Comma 4 3 3 2 5 2" xfId="5445" xr:uid="{8EC4C04D-2FA5-4025-8D4C-F918151E13C3}"/>
    <cellStyle name="Comma 4 3 3 2 5 2 2" xfId="9663" xr:uid="{0B53802E-EFDB-4552-8F52-BC4A17D1D164}"/>
    <cellStyle name="Comma 4 3 3 2 5 3" xfId="7518" xr:uid="{84C319E0-ED75-42E2-8239-D93208C4C901}"/>
    <cellStyle name="Comma 4 3 3 2 6" xfId="3651" xr:uid="{E1267C77-E4B4-4E74-B477-C939FDA21F55}"/>
    <cellStyle name="Comma 4 3 3 2 6 2" xfId="7931" xr:uid="{2D9C42E3-8126-4337-A2DC-94018DCA2ACA}"/>
    <cellStyle name="Comma 4 3 3 2 7" xfId="3608" xr:uid="{BEE403E8-56CE-4E33-9E43-0008BED8558B}"/>
    <cellStyle name="Comma 4 3 3 2 8" xfId="4029" xr:uid="{B81500F5-A0FC-4522-BE83-42DBDCD7E3DE}"/>
    <cellStyle name="Comma 4 3 3 2 8 2" xfId="8248" xr:uid="{581C989D-F0AC-47BC-A5DB-AB7D23E6E592}"/>
    <cellStyle name="Comma 4 3 3 2 9" xfId="5865" xr:uid="{CC397572-9B1C-43E1-B87D-B513B8198B3A}"/>
    <cellStyle name="Comma 4 3 3 3" xfId="694" xr:uid="{00000000-0005-0000-0000-00000B010000}"/>
    <cellStyle name="Comma 4 3 3 3 2" xfId="4205" xr:uid="{1B2C42D2-B2AF-48EA-9042-BA0114278190}"/>
    <cellStyle name="Comma 4 3 3 3 2 2" xfId="8423" xr:uid="{51922E6F-D905-42E9-A5C5-188E3CB57CE7}"/>
    <cellStyle name="Comma 4 3 3 3 3" xfId="6278" xr:uid="{604251BB-7D65-4ED5-BC03-BF8B520E94B6}"/>
    <cellStyle name="Comma 4 3 3 3 4" xfId="1974" xr:uid="{EE3B9A40-1679-4F8E-8715-5CA24022CBDC}"/>
    <cellStyle name="Comma 4 3 3 4" xfId="1147" xr:uid="{EFF12099-ECA3-44CE-95FD-D50BDB3E0D8A}"/>
    <cellStyle name="Comma 4 3 3 4 2" xfId="4618" xr:uid="{11603CE8-6A09-47A1-A6E0-D9CD52C919B2}"/>
    <cellStyle name="Comma 4 3 3 4 2 2" xfId="8836" xr:uid="{1ECFF44A-639E-41F1-94F4-7ABC92FB3F5A}"/>
    <cellStyle name="Comma 4 3 3 4 3" xfId="6691" xr:uid="{E8105DB2-CE3F-40E2-9A6C-DC389C4F7640}"/>
    <cellStyle name="Comma 4 3 3 4 4" xfId="2389" xr:uid="{C9DC8F07-941E-4275-AE54-3AE4B6EE0118}"/>
    <cellStyle name="Comma 4 3 3 5" xfId="2802" xr:uid="{496953C7-CD3B-4076-BB2F-2DE2A625B6CB}"/>
    <cellStyle name="Comma 4 3 3 5 2" xfId="5031" xr:uid="{1DEFAE03-6554-4D56-B80F-755FA64AA538}"/>
    <cellStyle name="Comma 4 3 3 5 2 2" xfId="9249" xr:uid="{4EF08165-90E5-4EF4-99E5-187B5200FF8B}"/>
    <cellStyle name="Comma 4 3 3 5 3" xfId="7104" xr:uid="{D94AA217-EDBB-450C-8595-74D751D437A5}"/>
    <cellStyle name="Comma 4 3 3 6" xfId="3215" xr:uid="{E6BFA792-39C0-412A-8B85-AE6F22E15249}"/>
    <cellStyle name="Comma 4 3 3 6 2" xfId="5444" xr:uid="{01086A0E-A640-4E8B-A977-C59DCB094F5F}"/>
    <cellStyle name="Comma 4 3 3 6 2 2" xfId="9662" xr:uid="{68DBD3BD-1F1F-4F30-8325-32D24F8B7090}"/>
    <cellStyle name="Comma 4 3 3 6 3" xfId="7517" xr:uid="{8D292379-0656-4D7A-84B7-5FAC1439E80E}"/>
    <cellStyle name="Comma 4 3 3 7" xfId="3650" xr:uid="{81E26E57-50E8-491F-9FE4-42A1529DBE3A}"/>
    <cellStyle name="Comma 4 3 3 7 2" xfId="7930" xr:uid="{1F973B8D-ECF6-45A1-B396-535861F46A79}"/>
    <cellStyle name="Comma 4 3 3 8" xfId="3609" xr:uid="{7645B631-E2E2-4FA3-9605-3A6D4B310871}"/>
    <cellStyle name="Comma 4 3 3 9" xfId="4028" xr:uid="{6FEA677B-697A-432E-B4B4-9189BCE5075E}"/>
    <cellStyle name="Comma 4 3 3 9 2" xfId="8247" xr:uid="{73ED034B-A251-4228-8954-9A6800ECA543}"/>
    <cellStyle name="Comma 4 3 4" xfId="151" xr:uid="{00000000-0005-0000-0000-00000C010000}"/>
    <cellStyle name="Comma 4 3 4 10" xfId="1562" xr:uid="{678D3F99-316E-44E9-8306-C189574382E7}"/>
    <cellStyle name="Comma 4 3 4 2" xfId="696" xr:uid="{00000000-0005-0000-0000-00000D010000}"/>
    <cellStyle name="Comma 4 3 4 2 2" xfId="4207" xr:uid="{DF634D2E-82E5-41DA-BA6B-FC7E94B533B8}"/>
    <cellStyle name="Comma 4 3 4 2 2 2" xfId="8425" xr:uid="{044D2283-AD44-4295-B0B4-7CD650A33444}"/>
    <cellStyle name="Comma 4 3 4 2 3" xfId="6280" xr:uid="{9992627C-F543-453D-B4A2-6A48AFE2FC0B}"/>
    <cellStyle name="Comma 4 3 4 2 4" xfId="1976" xr:uid="{51C40D59-E797-456C-9CF9-4B4ECEF7CB03}"/>
    <cellStyle name="Comma 4 3 4 3" xfId="1149" xr:uid="{A17A0D8B-2261-4DF4-96E3-66EBC701FC3A}"/>
    <cellStyle name="Comma 4 3 4 3 2" xfId="4620" xr:uid="{27AEC67F-CF0D-4E62-8BAA-79D7DC1D16A0}"/>
    <cellStyle name="Comma 4 3 4 3 2 2" xfId="8838" xr:uid="{4E14C42B-2F73-4030-B9F9-580A1EBF1F2B}"/>
    <cellStyle name="Comma 4 3 4 3 3" xfId="6693" xr:uid="{985A20D1-E2BC-4752-B22F-E80EAD487DC5}"/>
    <cellStyle name="Comma 4 3 4 3 4" xfId="2391" xr:uid="{7425FE4A-3C23-4B06-8320-E00FEB31CE73}"/>
    <cellStyle name="Comma 4 3 4 4" xfId="2804" xr:uid="{0D0E77FE-B88E-42EE-9CFD-CF58B9D06F98}"/>
    <cellStyle name="Comma 4 3 4 4 2" xfId="5033" xr:uid="{55F5F7F8-661C-4D4F-A5A2-477169C21F83}"/>
    <cellStyle name="Comma 4 3 4 4 2 2" xfId="9251" xr:uid="{B205E334-DA1D-4CD1-A6F0-BC96A38F56A6}"/>
    <cellStyle name="Comma 4 3 4 4 3" xfId="7106" xr:uid="{B17841DE-ECBB-41E1-A6AA-1F3188CB5FCD}"/>
    <cellStyle name="Comma 4 3 4 5" xfId="3217" xr:uid="{41C5E46C-E1FE-4EC5-BC77-36CF197A8179}"/>
    <cellStyle name="Comma 4 3 4 5 2" xfId="5446" xr:uid="{95605D9A-59C4-4B70-BFB8-CF3D9A76BB19}"/>
    <cellStyle name="Comma 4 3 4 5 2 2" xfId="9664" xr:uid="{01D68A6D-D3D2-42B3-993E-97F7B31B2C47}"/>
    <cellStyle name="Comma 4 3 4 5 3" xfId="7519" xr:uid="{80A087EF-E3C1-4177-A91F-F68E8F93D8AA}"/>
    <cellStyle name="Comma 4 3 4 6" xfId="3652" xr:uid="{42DBF4B3-2B6E-4665-8F6C-69A340F02626}"/>
    <cellStyle name="Comma 4 3 4 6 2" xfId="7932" xr:uid="{35183880-F7DD-451B-880D-C5F74229790E}"/>
    <cellStyle name="Comma 4 3 4 7" xfId="3948" xr:uid="{396D1711-572F-42E5-B44B-12AD6D29AE65}"/>
    <cellStyle name="Comma 4 3 4 8" xfId="4030" xr:uid="{9F6FB517-0032-411F-8934-1067FB14C104}"/>
    <cellStyle name="Comma 4 3 4 8 2" xfId="8249" xr:uid="{89AB4DCE-A5FD-495C-BA81-B59F0D40E8A8}"/>
    <cellStyle name="Comma 4 3 4 9" xfId="5866" xr:uid="{2E029193-5ADC-4C17-8B70-4CCC795D713B}"/>
    <cellStyle name="Comma 4 3 5" xfId="152" xr:uid="{00000000-0005-0000-0000-00000E010000}"/>
    <cellStyle name="Comma 4 3 5 10" xfId="1563" xr:uid="{CD9770B2-2659-4963-A552-5B52FD317972}"/>
    <cellStyle name="Comma 4 3 5 2" xfId="697" xr:uid="{00000000-0005-0000-0000-00000F010000}"/>
    <cellStyle name="Comma 4 3 5 2 2" xfId="4208" xr:uid="{788D5C1F-5F41-4A9D-BE7E-0FEEA56AAF57}"/>
    <cellStyle name="Comma 4 3 5 2 2 2" xfId="8426" xr:uid="{8A009103-91EF-457B-A32E-924793381B84}"/>
    <cellStyle name="Comma 4 3 5 2 3" xfId="6281" xr:uid="{849223A0-D79C-45E2-B2AB-59F028BF981A}"/>
    <cellStyle name="Comma 4 3 5 2 4" xfId="1977" xr:uid="{6D54E8CB-BA1F-43A1-B13A-02883E93A63B}"/>
    <cellStyle name="Comma 4 3 5 3" xfId="1150" xr:uid="{70489711-7AD5-4A08-A54C-963857F8819E}"/>
    <cellStyle name="Comma 4 3 5 3 2" xfId="4621" xr:uid="{5D5567AB-52B4-48CE-8FCD-AF165D82292F}"/>
    <cellStyle name="Comma 4 3 5 3 2 2" xfId="8839" xr:uid="{1410569B-73F5-425E-A20D-465C4984E3B6}"/>
    <cellStyle name="Comma 4 3 5 3 3" xfId="6694" xr:uid="{C69B1958-3123-4DB7-BF86-088FB52900FC}"/>
    <cellStyle name="Comma 4 3 5 3 4" xfId="2392" xr:uid="{88C7D5E0-ACE2-4DAD-B798-35BA980BDBCE}"/>
    <cellStyle name="Comma 4 3 5 4" xfId="2805" xr:uid="{77798F98-B81C-438B-ABBC-166C9082B3AB}"/>
    <cellStyle name="Comma 4 3 5 4 2" xfId="5034" xr:uid="{131AC72B-A7DB-4C7D-BAC7-68C901A46F42}"/>
    <cellStyle name="Comma 4 3 5 4 2 2" xfId="9252" xr:uid="{216ED241-D2AE-48A4-8A61-151BC87B9967}"/>
    <cellStyle name="Comma 4 3 5 4 3" xfId="7107" xr:uid="{23EE95E3-86DB-457F-BF1E-7E1B96C695C9}"/>
    <cellStyle name="Comma 4 3 5 5" xfId="3218" xr:uid="{6A98A880-276E-440E-9510-2FA5974EE0D2}"/>
    <cellStyle name="Comma 4 3 5 5 2" xfId="5447" xr:uid="{E99FC890-AAAF-4505-834B-1EC95256DE29}"/>
    <cellStyle name="Comma 4 3 5 5 2 2" xfId="9665" xr:uid="{10454DC3-21CD-4F4C-A223-948B386C656A}"/>
    <cellStyle name="Comma 4 3 5 5 3" xfId="7520" xr:uid="{6614DF04-9F96-477B-BAE7-385D96401092}"/>
    <cellStyle name="Comma 4 3 5 6" xfId="3653" xr:uid="{43F2DAF7-9456-4943-8550-5BAF19A55013}"/>
    <cellStyle name="Comma 4 3 5 6 2" xfId="7933" xr:uid="{7F9BDA33-EC70-4D8F-8F62-45366F4BAFF0}"/>
    <cellStyle name="Comma 4 3 5 7" xfId="3949" xr:uid="{8ED6A771-6016-48F4-95B8-09DBB012DC33}"/>
    <cellStyle name="Comma 4 3 5 8" xfId="4031" xr:uid="{6987F16F-3298-4410-9478-86BB4352D3F5}"/>
    <cellStyle name="Comma 4 3 5 8 2" xfId="8250" xr:uid="{B96C39D6-B919-4559-95E2-D8D48E292D03}"/>
    <cellStyle name="Comma 4 3 5 9" xfId="5867" xr:uid="{64FA3AE7-2664-4D5C-A140-C9D7CD5DA393}"/>
    <cellStyle name="Comma 4 4" xfId="153" xr:uid="{00000000-0005-0000-0000-000010010000}"/>
    <cellStyle name="Comma 4 4 10" xfId="4032" xr:uid="{F1A3BAE7-C855-4544-B0CD-DAE8A24DC2D5}"/>
    <cellStyle name="Comma 4 4 10 2" xfId="8251" xr:uid="{E3EB6F11-1F12-4081-A5AD-3210E103F89D}"/>
    <cellStyle name="Comma 4 4 11" xfId="5868" xr:uid="{9135D810-C0E6-49E9-9580-DA936AD89B2D}"/>
    <cellStyle name="Comma 4 4 12" xfId="1564" xr:uid="{7CC1A669-A36A-4044-BB34-CBE0892BB3A2}"/>
    <cellStyle name="Comma 4 4 2" xfId="154" xr:uid="{00000000-0005-0000-0000-000011010000}"/>
    <cellStyle name="Comma 4 4 2 10" xfId="5869" xr:uid="{435925DA-FFAD-4DA5-A0A2-CF643D1981AD}"/>
    <cellStyle name="Comma 4 4 2 11" xfId="1565" xr:uid="{213DDA37-57D6-46F8-8E50-4BB920C34833}"/>
    <cellStyle name="Comma 4 4 2 2" xfId="155" xr:uid="{00000000-0005-0000-0000-000012010000}"/>
    <cellStyle name="Comma 4 4 2 2 10" xfId="1566" xr:uid="{2D1B8F79-8830-45CC-91B9-B480346CB670}"/>
    <cellStyle name="Comma 4 4 2 2 2" xfId="700" xr:uid="{00000000-0005-0000-0000-000013010000}"/>
    <cellStyle name="Comma 4 4 2 2 2 2" xfId="4211" xr:uid="{18484118-82D6-490C-9D07-BF095CBBC678}"/>
    <cellStyle name="Comma 4 4 2 2 2 2 2" xfId="8429" xr:uid="{7D6665A8-ACFE-4619-9DAB-C3DCCA14BB09}"/>
    <cellStyle name="Comma 4 4 2 2 2 3" xfId="6284" xr:uid="{9ADEF473-7F8D-4B6F-86AC-0F3AC3CD2FCE}"/>
    <cellStyle name="Comma 4 4 2 2 2 4" xfId="1980" xr:uid="{178B980C-B616-4B47-9397-E52804DF8BB6}"/>
    <cellStyle name="Comma 4 4 2 2 3" xfId="1153" xr:uid="{5FF8FEFB-30F4-487D-905F-1E16D2B9D1FB}"/>
    <cellStyle name="Comma 4 4 2 2 3 2" xfId="4624" xr:uid="{00FAE33A-3D68-4C3B-BDAE-E6D482F25726}"/>
    <cellStyle name="Comma 4 4 2 2 3 2 2" xfId="8842" xr:uid="{3B7BF940-23E7-4012-9103-4D11559A9981}"/>
    <cellStyle name="Comma 4 4 2 2 3 3" xfId="6697" xr:uid="{CFCFE319-DF65-484A-B0EB-11A2D0F74D89}"/>
    <cellStyle name="Comma 4 4 2 2 3 4" xfId="2395" xr:uid="{054DD1CE-93FC-482C-BABB-C0F10EBA2956}"/>
    <cellStyle name="Comma 4 4 2 2 4" xfId="2808" xr:uid="{A1809787-149A-4D8D-8262-48C00C5F2AB0}"/>
    <cellStyle name="Comma 4 4 2 2 4 2" xfId="5037" xr:uid="{41E60ED1-528E-4B9B-8854-FC04548A6E1F}"/>
    <cellStyle name="Comma 4 4 2 2 4 2 2" xfId="9255" xr:uid="{7C4D22F1-E7C8-4B57-8F1E-F9793880623D}"/>
    <cellStyle name="Comma 4 4 2 2 4 3" xfId="7110" xr:uid="{A9D260D3-69B0-480C-A483-893286B18672}"/>
    <cellStyle name="Comma 4 4 2 2 5" xfId="3221" xr:uid="{6AAC5639-FF7D-4A01-834A-D08EC7C60643}"/>
    <cellStyle name="Comma 4 4 2 2 5 2" xfId="5450" xr:uid="{0E96FB9C-7580-4CBF-ABF9-13AEF2F53522}"/>
    <cellStyle name="Comma 4 4 2 2 5 2 2" xfId="9668" xr:uid="{5218F4E0-B3EB-4760-B7B7-F52FCEDC97C3}"/>
    <cellStyle name="Comma 4 4 2 2 5 3" xfId="7523" xr:uid="{BB53BA9E-2E85-4B3B-BEA8-6673F3D73495}"/>
    <cellStyle name="Comma 4 4 2 2 6" xfId="3656" xr:uid="{4EDCD9DA-582D-474E-97E7-12C0FF6CFA32}"/>
    <cellStyle name="Comma 4 4 2 2 6 2" xfId="7936" xr:uid="{FDB1C7C7-A22E-4369-98A9-BC3D5F68A037}"/>
    <cellStyle name="Comma 4 4 2 2 7" xfId="3952" xr:uid="{6212B3CD-6B0A-4374-9384-051D37BB80C6}"/>
    <cellStyle name="Comma 4 4 2 2 8" xfId="4034" xr:uid="{026491AB-0609-4052-8A0B-5556267439D7}"/>
    <cellStyle name="Comma 4 4 2 2 8 2" xfId="8253" xr:uid="{1109B5C6-F552-413A-88F2-05CEE9E0DF75}"/>
    <cellStyle name="Comma 4 4 2 2 9" xfId="5870" xr:uid="{2F7F9BA2-715D-4EB9-BD2D-E88A28F59F47}"/>
    <cellStyle name="Comma 4 4 2 3" xfId="699" xr:uid="{00000000-0005-0000-0000-000014010000}"/>
    <cellStyle name="Comma 4 4 2 3 2" xfId="4210" xr:uid="{92318E34-5E6D-48EB-B7DB-7EC34AFFC859}"/>
    <cellStyle name="Comma 4 4 2 3 2 2" xfId="8428" xr:uid="{3184BA34-F9A3-449C-A835-7F395ECCBA65}"/>
    <cellStyle name="Comma 4 4 2 3 3" xfId="6283" xr:uid="{C11B4383-653D-4953-BEC5-C16CE2CEFBBF}"/>
    <cellStyle name="Comma 4 4 2 3 4" xfId="1979" xr:uid="{DAD5DBD5-F04A-4E7C-AA24-10B8F0EFDF9D}"/>
    <cellStyle name="Comma 4 4 2 4" xfId="1152" xr:uid="{B0837595-7426-41E6-AB4D-B8ABB6A0D4DE}"/>
    <cellStyle name="Comma 4 4 2 4 2" xfId="4623" xr:uid="{544BB5C7-5ED1-487D-902B-B22050D766CC}"/>
    <cellStyle name="Comma 4 4 2 4 2 2" xfId="8841" xr:uid="{32A0ECED-5F4E-49C4-B78F-609407A57339}"/>
    <cellStyle name="Comma 4 4 2 4 3" xfId="6696" xr:uid="{AE7BEEB2-436A-42CA-8A4A-57857F9DA3FF}"/>
    <cellStyle name="Comma 4 4 2 4 4" xfId="2394" xr:uid="{1DBE2F31-10B9-4E44-B54D-7B155E8566A4}"/>
    <cellStyle name="Comma 4 4 2 5" xfId="2807" xr:uid="{B040C169-34DF-4B1C-8808-9BB55330C9EF}"/>
    <cellStyle name="Comma 4 4 2 5 2" xfId="5036" xr:uid="{D1BDF4BB-7CB5-4B52-B5B7-5FD360B0CE25}"/>
    <cellStyle name="Comma 4 4 2 5 2 2" xfId="9254" xr:uid="{8B6A3427-FCA7-4429-B5D4-FCEE77E58A3F}"/>
    <cellStyle name="Comma 4 4 2 5 3" xfId="7109" xr:uid="{4FBCF63F-0ABA-4A8E-9ED5-3AC5B60B7B05}"/>
    <cellStyle name="Comma 4 4 2 6" xfId="3220" xr:uid="{06ADE64F-DDC5-472A-ACD9-2EDC8ED34744}"/>
    <cellStyle name="Comma 4 4 2 6 2" xfId="5449" xr:uid="{E85056DE-6299-415A-9940-00345C367C8F}"/>
    <cellStyle name="Comma 4 4 2 6 2 2" xfId="9667" xr:uid="{175B9C41-7B08-4BD8-8FBD-DA9D6F3458EE}"/>
    <cellStyle name="Comma 4 4 2 6 3" xfId="7522" xr:uid="{CE942E02-1FF9-41F1-829E-897BC5E64873}"/>
    <cellStyle name="Comma 4 4 2 7" xfId="3655" xr:uid="{275C2FBB-5C52-4904-A1D8-B1CA01AAD4BA}"/>
    <cellStyle name="Comma 4 4 2 7 2" xfId="7935" xr:uid="{8B4A7165-8C49-4AFB-BD64-5ECEF8C8810A}"/>
    <cellStyle name="Comma 4 4 2 8" xfId="3951" xr:uid="{CF39A582-7093-45EF-8B94-3C83A654E729}"/>
    <cellStyle name="Comma 4 4 2 9" xfId="4033" xr:uid="{6371AB4C-B75D-42C1-A854-B315746E91F9}"/>
    <cellStyle name="Comma 4 4 2 9 2" xfId="8252" xr:uid="{59638670-93B7-4CFF-A626-D64DA4A8EDCB}"/>
    <cellStyle name="Comma 4 4 3" xfId="156" xr:uid="{00000000-0005-0000-0000-000015010000}"/>
    <cellStyle name="Comma 4 4 3 10" xfId="1567" xr:uid="{79DF6DF6-0336-494E-918E-322AB9D31C35}"/>
    <cellStyle name="Comma 4 4 3 2" xfId="701" xr:uid="{00000000-0005-0000-0000-000016010000}"/>
    <cellStyle name="Comma 4 4 3 2 2" xfId="4212" xr:uid="{9613377B-DEDE-44AB-BF2F-4E5262B65F69}"/>
    <cellStyle name="Comma 4 4 3 2 2 2" xfId="8430" xr:uid="{0D845D38-39CF-4EB9-8882-8050B7D16D50}"/>
    <cellStyle name="Comma 4 4 3 2 3" xfId="6285" xr:uid="{96DB2133-8C71-461B-8275-08C7BA72AA5F}"/>
    <cellStyle name="Comma 4 4 3 2 4" xfId="1981" xr:uid="{E365DA22-AD87-45D5-ADBA-EC454A6633F9}"/>
    <cellStyle name="Comma 4 4 3 3" xfId="1154" xr:uid="{1234D737-4882-4B06-BC46-655A1D7FFC42}"/>
    <cellStyle name="Comma 4 4 3 3 2" xfId="4625" xr:uid="{3C8305F4-FC27-468B-9BE7-6E8C1C40C325}"/>
    <cellStyle name="Comma 4 4 3 3 2 2" xfId="8843" xr:uid="{EB64D968-16B0-4412-9AB6-FF16710F24FE}"/>
    <cellStyle name="Comma 4 4 3 3 3" xfId="6698" xr:uid="{D37BA7CB-B36D-4F27-A4F2-17DEF9389910}"/>
    <cellStyle name="Comma 4 4 3 3 4" xfId="2396" xr:uid="{09610405-5FF9-4D36-8056-23EDA19A465C}"/>
    <cellStyle name="Comma 4 4 3 4" xfId="2809" xr:uid="{3BFA4589-BEC6-4B62-A00E-E26FEEDDAB4D}"/>
    <cellStyle name="Comma 4 4 3 4 2" xfId="5038" xr:uid="{86DD5883-ACC9-41C9-AD62-53CB7870B73C}"/>
    <cellStyle name="Comma 4 4 3 4 2 2" xfId="9256" xr:uid="{F2557659-5533-46E1-AB9C-9CDE457B2B7F}"/>
    <cellStyle name="Comma 4 4 3 4 3" xfId="7111" xr:uid="{67D89A9E-5EA5-47DD-A272-12886FEDC55F}"/>
    <cellStyle name="Comma 4 4 3 5" xfId="3222" xr:uid="{B7D596A1-45D8-4BC0-A6B1-EDAC4D3B835D}"/>
    <cellStyle name="Comma 4 4 3 5 2" xfId="5451" xr:uid="{F315DBCA-5AF5-4E62-8F1E-CD2B67D936A1}"/>
    <cellStyle name="Comma 4 4 3 5 2 2" xfId="9669" xr:uid="{D173B17A-0980-4077-8337-ED29AC605AB1}"/>
    <cellStyle name="Comma 4 4 3 5 3" xfId="7524" xr:uid="{47B32B4E-0929-48FD-8376-5B64D6306372}"/>
    <cellStyle name="Comma 4 4 3 6" xfId="3657" xr:uid="{99272BAA-7B60-47DB-B9D8-B87AFD1F4038}"/>
    <cellStyle name="Comma 4 4 3 6 2" xfId="7937" xr:uid="{D94F63FC-A12C-4C09-80EF-5A67BAFA124F}"/>
    <cellStyle name="Comma 4 4 3 7" xfId="3953" xr:uid="{532C52AF-89ED-4D01-A9A7-58850E5588D1}"/>
    <cellStyle name="Comma 4 4 3 8" xfId="4035" xr:uid="{7D9FA287-5F06-40FA-9F1A-CCC2E5214581}"/>
    <cellStyle name="Comma 4 4 3 8 2" xfId="8254" xr:uid="{2F03ED30-FB3B-4689-94BE-A9BFF1A96E49}"/>
    <cellStyle name="Comma 4 4 3 9" xfId="5871" xr:uid="{AF7E0F7C-FE14-4A54-81CF-FA7CE84DD792}"/>
    <cellStyle name="Comma 4 4 4" xfId="698" xr:uid="{00000000-0005-0000-0000-000017010000}"/>
    <cellStyle name="Comma 4 4 4 2" xfId="4209" xr:uid="{32646DA1-DE60-44E2-848A-35139CC86CAF}"/>
    <cellStyle name="Comma 4 4 4 2 2" xfId="8427" xr:uid="{7A56E25A-9DD2-4167-87D9-B17B1F7A3FE7}"/>
    <cellStyle name="Comma 4 4 4 3" xfId="6282" xr:uid="{EF970663-ECE7-464A-AEFC-046DBB541A8C}"/>
    <cellStyle name="Comma 4 4 4 4" xfId="1978" xr:uid="{C20985DE-AE8B-4385-98A5-EA59FB597C2F}"/>
    <cellStyle name="Comma 4 4 5" xfId="1151" xr:uid="{2F520449-BBF2-4889-B929-BE9B587267B2}"/>
    <cellStyle name="Comma 4 4 5 2" xfId="4622" xr:uid="{BD255B21-2004-452F-88C5-BD49CF201AE2}"/>
    <cellStyle name="Comma 4 4 5 2 2" xfId="8840" xr:uid="{A9D80F13-1C5E-4B72-87F3-A92859F3CD23}"/>
    <cellStyle name="Comma 4 4 5 3" xfId="6695" xr:uid="{18C11939-1225-4CAD-93DD-29E96BF9787C}"/>
    <cellStyle name="Comma 4 4 5 4" xfId="2393" xr:uid="{96F11FBA-B1A0-4E25-801A-B605AD562598}"/>
    <cellStyle name="Comma 4 4 6" xfId="2806" xr:uid="{182A92DE-78CA-4B60-846C-75BDF5B4C0F4}"/>
    <cellStyle name="Comma 4 4 6 2" xfId="5035" xr:uid="{3BA93F83-5217-4EDE-8D90-DF7BEBE5C770}"/>
    <cellStyle name="Comma 4 4 6 2 2" xfId="9253" xr:uid="{8134E9DC-DEC5-4A3C-9336-E001FEED3168}"/>
    <cellStyle name="Comma 4 4 6 3" xfId="7108" xr:uid="{B99561AE-1BAE-4AF8-865E-F71F44440BF2}"/>
    <cellStyle name="Comma 4 4 7" xfId="3219" xr:uid="{B557D52E-E5B0-47C9-92BE-4062E27F060F}"/>
    <cellStyle name="Comma 4 4 7 2" xfId="5448" xr:uid="{EDBA6AA3-11A8-4481-ADA2-14141BED11BE}"/>
    <cellStyle name="Comma 4 4 7 2 2" xfId="9666" xr:uid="{89A25B4A-69DF-43EB-A9E8-20DCD87AB926}"/>
    <cellStyle name="Comma 4 4 7 3" xfId="7521" xr:uid="{42A9297A-5827-4C6A-AE75-B41EDE0550AE}"/>
    <cellStyle name="Comma 4 4 8" xfId="3654" xr:uid="{927F0C6A-85B6-48B2-B115-2143AA8C8AD2}"/>
    <cellStyle name="Comma 4 4 8 2" xfId="7934" xr:uid="{68DD40E3-08C7-4728-8C6A-4E12B2044964}"/>
    <cellStyle name="Comma 4 4 9" xfId="3950" xr:uid="{323522F1-6CFC-4D0B-9E37-620EE19C9DC7}"/>
    <cellStyle name="Comma 4 5" xfId="157" xr:uid="{00000000-0005-0000-0000-000018010000}"/>
    <cellStyle name="Comma 4 5 10" xfId="5872" xr:uid="{4593BF3A-2627-46A7-BBC3-74F4DE7A8648}"/>
    <cellStyle name="Comma 4 5 11" xfId="1568" xr:uid="{5666EF2B-8AA1-4C0E-BD5E-7ED4746EFDC7}"/>
    <cellStyle name="Comma 4 5 2" xfId="158" xr:uid="{00000000-0005-0000-0000-000019010000}"/>
    <cellStyle name="Comma 4 5 2 10" xfId="1569" xr:uid="{51E8C814-D308-4B09-BAFF-532DCF6889E6}"/>
    <cellStyle name="Comma 4 5 2 2" xfId="703" xr:uid="{00000000-0005-0000-0000-00001A010000}"/>
    <cellStyle name="Comma 4 5 2 2 2" xfId="4214" xr:uid="{40A6420D-AF95-4193-A1FC-8B56B15C5C44}"/>
    <cellStyle name="Comma 4 5 2 2 2 2" xfId="8432" xr:uid="{818D18F4-BF87-4B5F-82D0-6743662BCD2D}"/>
    <cellStyle name="Comma 4 5 2 2 3" xfId="6287" xr:uid="{F7DF2B00-5CDE-45A1-9A60-F732064BC677}"/>
    <cellStyle name="Comma 4 5 2 2 4" xfId="1983" xr:uid="{982851FB-4560-4EBB-8ECA-CF7F0D66AD0E}"/>
    <cellStyle name="Comma 4 5 2 3" xfId="1156" xr:uid="{4A6219E3-1FAE-4A2B-9D73-E8EAA67DD7CE}"/>
    <cellStyle name="Comma 4 5 2 3 2" xfId="4627" xr:uid="{979E58E5-7C04-488A-B996-ED1FBDFE92B8}"/>
    <cellStyle name="Comma 4 5 2 3 2 2" xfId="8845" xr:uid="{6CB36390-E00E-4B60-B77F-9CCEC03A94B6}"/>
    <cellStyle name="Comma 4 5 2 3 3" xfId="6700" xr:uid="{4D41EA47-23EB-4F9C-9B21-09D44E53B3F1}"/>
    <cellStyle name="Comma 4 5 2 3 4" xfId="2398" xr:uid="{EE8949F9-4127-4C4C-B6E1-92DDC244EBB0}"/>
    <cellStyle name="Comma 4 5 2 4" xfId="2811" xr:uid="{0632ECAF-296C-460D-9D50-96A0AD8F0535}"/>
    <cellStyle name="Comma 4 5 2 4 2" xfId="5040" xr:uid="{F380F574-BC17-40D3-8B04-9B2829E817FA}"/>
    <cellStyle name="Comma 4 5 2 4 2 2" xfId="9258" xr:uid="{EB6CFF2D-B6B9-47B3-866C-8285C7FFC503}"/>
    <cellStyle name="Comma 4 5 2 4 3" xfId="7113" xr:uid="{0459D77E-958C-423B-8206-3082BD516B9D}"/>
    <cellStyle name="Comma 4 5 2 5" xfId="3224" xr:uid="{968C0DE0-E5F9-4299-B2F9-55218D4352F7}"/>
    <cellStyle name="Comma 4 5 2 5 2" xfId="5453" xr:uid="{422F1B99-0A0C-4DC5-A84D-7C8008C98F8F}"/>
    <cellStyle name="Comma 4 5 2 5 2 2" xfId="9671" xr:uid="{5EE73DCB-7B34-4739-9A64-14EFEA424CFF}"/>
    <cellStyle name="Comma 4 5 2 5 3" xfId="7526" xr:uid="{32B094C1-5CE8-49B0-90BA-9AC2DCDBB220}"/>
    <cellStyle name="Comma 4 5 2 6" xfId="3659" xr:uid="{6B927ACE-8137-44F9-9588-9BC6CE16193A}"/>
    <cellStyle name="Comma 4 5 2 6 2" xfId="7939" xr:uid="{DDC17343-F539-4AE4-B2BF-A58B3193DF72}"/>
    <cellStyle name="Comma 4 5 2 7" xfId="3955" xr:uid="{894E56D6-979B-4D93-AE28-944D65AB2367}"/>
    <cellStyle name="Comma 4 5 2 8" xfId="4037" xr:uid="{5A17239B-6392-402B-9A1A-C7377C89018A}"/>
    <cellStyle name="Comma 4 5 2 8 2" xfId="8256" xr:uid="{B2359B43-7ECD-4EE4-AB86-8678FCB79177}"/>
    <cellStyle name="Comma 4 5 2 9" xfId="5873" xr:uid="{EECEA8FD-464C-40D0-A7FA-9FDB4221C30B}"/>
    <cellStyle name="Comma 4 5 3" xfId="702" xr:uid="{00000000-0005-0000-0000-00001B010000}"/>
    <cellStyle name="Comma 4 5 3 2" xfId="4213" xr:uid="{4E8C95A4-58E6-4311-A2D6-AC9A48E5E3D3}"/>
    <cellStyle name="Comma 4 5 3 2 2" xfId="8431" xr:uid="{F123D102-1D20-4224-A1C4-8A8F7210C96B}"/>
    <cellStyle name="Comma 4 5 3 3" xfId="6286" xr:uid="{3BBE8F85-7CCA-4C8E-B6AB-E122D71FCEC4}"/>
    <cellStyle name="Comma 4 5 3 4" xfId="1982" xr:uid="{DE2410D2-5172-4F66-AF5A-B0D9B9A435F0}"/>
    <cellStyle name="Comma 4 5 4" xfId="1155" xr:uid="{051EF649-99ED-4E4A-BB8F-F41A5DE3E765}"/>
    <cellStyle name="Comma 4 5 4 2" xfId="4626" xr:uid="{7EB0974C-DAD7-43A7-B079-C9715AEFCCB9}"/>
    <cellStyle name="Comma 4 5 4 2 2" xfId="8844" xr:uid="{C619BA69-8BAE-43A2-B363-FE33D271DA95}"/>
    <cellStyle name="Comma 4 5 4 3" xfId="6699" xr:uid="{E8306E42-7568-4697-911F-E3F2B4AD85B7}"/>
    <cellStyle name="Comma 4 5 4 4" xfId="2397" xr:uid="{63A4E858-2189-4A6B-B474-E408DC29A321}"/>
    <cellStyle name="Comma 4 5 5" xfId="2810" xr:uid="{9AC63CC3-7550-4C28-8266-2255345596DA}"/>
    <cellStyle name="Comma 4 5 5 2" xfId="5039" xr:uid="{5A3C1C21-190E-4EE3-9B9E-80C85D915129}"/>
    <cellStyle name="Comma 4 5 5 2 2" xfId="9257" xr:uid="{27FA8C39-7750-4F60-B8BD-34386112DDB1}"/>
    <cellStyle name="Comma 4 5 5 3" xfId="7112" xr:uid="{2C99F255-26A0-4B81-9CC0-FA6926B39D6D}"/>
    <cellStyle name="Comma 4 5 6" xfId="3223" xr:uid="{C9FA544F-B00F-4508-925C-CE9482D34928}"/>
    <cellStyle name="Comma 4 5 6 2" xfId="5452" xr:uid="{AF81D6F4-E5CC-424C-B398-75CF762A7E97}"/>
    <cellStyle name="Comma 4 5 6 2 2" xfId="9670" xr:uid="{1A30B7D4-D7E0-4C38-9E83-8FA5A7A39877}"/>
    <cellStyle name="Comma 4 5 6 3" xfId="7525" xr:uid="{B32210B0-F2CF-4CF4-B799-C084871AE3DD}"/>
    <cellStyle name="Comma 4 5 7" xfId="3658" xr:uid="{4D08575B-B414-4A79-BD8A-A89F5A55BEC3}"/>
    <cellStyle name="Comma 4 5 7 2" xfId="7938" xr:uid="{44A92885-2860-4248-A1CA-3F34F8D5F886}"/>
    <cellStyle name="Comma 4 5 8" xfId="3954" xr:uid="{A1CDE993-BC07-49A1-A644-360701BFEF21}"/>
    <cellStyle name="Comma 4 5 9" xfId="4036" xr:uid="{95738F54-CA3E-4D83-924B-017F785F1662}"/>
    <cellStyle name="Comma 4 5 9 2" xfId="8255" xr:uid="{1C43CA6C-25C7-4824-AE7E-13741A0B58F9}"/>
    <cellStyle name="Comma 4 6" xfId="159" xr:uid="{00000000-0005-0000-0000-00001C010000}"/>
    <cellStyle name="Comma 4 6 10" xfId="1570" xr:uid="{30DF89B6-39AF-4FD6-AC0C-5736A3229425}"/>
    <cellStyle name="Comma 4 6 2" xfId="704" xr:uid="{00000000-0005-0000-0000-00001D010000}"/>
    <cellStyle name="Comma 4 6 2 2" xfId="4215" xr:uid="{E398D99F-F15B-4C7B-BBD6-5C8891005FAD}"/>
    <cellStyle name="Comma 4 6 2 2 2" xfId="8433" xr:uid="{0FACB722-440F-4D9C-971D-29FCF65DB589}"/>
    <cellStyle name="Comma 4 6 2 3" xfId="6288" xr:uid="{CE5226FA-5571-4C0D-995A-BC6A6C4B3F2D}"/>
    <cellStyle name="Comma 4 6 2 4" xfId="1984" xr:uid="{26A1DBA9-6B3D-4826-B411-83755ADDEBDA}"/>
    <cellStyle name="Comma 4 6 3" xfId="1157" xr:uid="{50510D81-08A0-400F-8C18-C6ADC9EE2C0F}"/>
    <cellStyle name="Comma 4 6 3 2" xfId="4628" xr:uid="{E789C6C4-E19E-4067-A44C-33D1960D65BF}"/>
    <cellStyle name="Comma 4 6 3 2 2" xfId="8846" xr:uid="{16B15E28-1968-43B0-BAD7-C878F2A3973D}"/>
    <cellStyle name="Comma 4 6 3 3" xfId="6701" xr:uid="{A614B950-D148-4392-9A99-6D4C99059EDD}"/>
    <cellStyle name="Comma 4 6 3 4" xfId="2399" xr:uid="{1E9C9263-5CA2-47E6-B293-942805703898}"/>
    <cellStyle name="Comma 4 6 4" xfId="2812" xr:uid="{38CAFE4D-8854-4E2F-A7A2-E7BE9D5EA238}"/>
    <cellStyle name="Comma 4 6 4 2" xfId="5041" xr:uid="{906FF86F-7A27-4F1D-A6E0-E165D5394794}"/>
    <cellStyle name="Comma 4 6 4 2 2" xfId="9259" xr:uid="{C63A2E50-2874-4053-B2BD-8A2269D96690}"/>
    <cellStyle name="Comma 4 6 4 3" xfId="7114" xr:uid="{BBCCCFBF-8353-4992-AC64-FAEE01E1FDA8}"/>
    <cellStyle name="Comma 4 6 5" xfId="3225" xr:uid="{90CDE405-C8EE-4280-8797-973F34AEA841}"/>
    <cellStyle name="Comma 4 6 5 2" xfId="5454" xr:uid="{B8A7A5D8-DB1C-4C70-A012-9A5345F8936E}"/>
    <cellStyle name="Comma 4 6 5 2 2" xfId="9672" xr:uid="{BAEFE96E-875B-474A-AB82-98EC60EF035F}"/>
    <cellStyle name="Comma 4 6 5 3" xfId="7527" xr:uid="{9C82402D-65B3-47BC-91E7-ACF11C012E60}"/>
    <cellStyle name="Comma 4 6 6" xfId="3660" xr:uid="{766C9A9F-5F7B-449D-A823-EE026829B9AE}"/>
    <cellStyle name="Comma 4 6 6 2" xfId="7940" xr:uid="{F8E22A16-0446-4359-9023-C5FA112CACE8}"/>
    <cellStyle name="Comma 4 6 7" xfId="3956" xr:uid="{00911F75-C24A-4211-9FEF-14D13170A471}"/>
    <cellStyle name="Comma 4 6 8" xfId="4038" xr:uid="{7C2284B2-1091-4F35-A895-DFA4A9D681ED}"/>
    <cellStyle name="Comma 4 6 8 2" xfId="8257" xr:uid="{3A464892-9F65-452B-9C4D-E26955FB02C7}"/>
    <cellStyle name="Comma 4 6 9" xfId="5874" xr:uid="{DCC23D78-B3A0-4F98-8084-C73945B46B25}"/>
    <cellStyle name="Comma 4 7" xfId="160" xr:uid="{00000000-0005-0000-0000-00001E010000}"/>
    <cellStyle name="Comma 4 7 10" xfId="1571" xr:uid="{DB51D9B6-94CA-4CE5-B394-E15302E5238F}"/>
    <cellStyle name="Comma 4 7 2" xfId="705" xr:uid="{00000000-0005-0000-0000-00001F010000}"/>
    <cellStyle name="Comma 4 7 2 2" xfId="4216" xr:uid="{3A4C4F59-4E92-4D2D-9168-55F0D96A7147}"/>
    <cellStyle name="Comma 4 7 2 2 2" xfId="8434" xr:uid="{354DE889-69BE-42EA-A8F1-4C7F8FCAF399}"/>
    <cellStyle name="Comma 4 7 2 3" xfId="6289" xr:uid="{C0767E92-8E56-4F65-A911-84931A7BCA52}"/>
    <cellStyle name="Comma 4 7 2 4" xfId="1985" xr:uid="{AE83AADA-D27D-4800-9B27-A60378FE0EB1}"/>
    <cellStyle name="Comma 4 7 3" xfId="1158" xr:uid="{771B9D7C-C5F0-461B-A3E7-C8AA064CB403}"/>
    <cellStyle name="Comma 4 7 3 2" xfId="4629" xr:uid="{EAF0C2FB-32AA-4DBE-A617-17520E8284A5}"/>
    <cellStyle name="Comma 4 7 3 2 2" xfId="8847" xr:uid="{C23B8352-A978-4AFF-A60F-A64536783481}"/>
    <cellStyle name="Comma 4 7 3 3" xfId="6702" xr:uid="{FA5819A8-1EAF-4021-BB2F-7DADA0CDC6DF}"/>
    <cellStyle name="Comma 4 7 3 4" xfId="2400" xr:uid="{6BCF49ED-832F-495B-BBC4-EAEDF182AE48}"/>
    <cellStyle name="Comma 4 7 4" xfId="2813" xr:uid="{682C8D05-DD84-4639-9C29-96A2245E944E}"/>
    <cellStyle name="Comma 4 7 4 2" xfId="5042" xr:uid="{E02D40A2-3779-4472-A27C-3CCFFA412D8D}"/>
    <cellStyle name="Comma 4 7 4 2 2" xfId="9260" xr:uid="{B97EF315-C07B-4F7D-8504-05A505FB8C0E}"/>
    <cellStyle name="Comma 4 7 4 3" xfId="7115" xr:uid="{D601D765-FE42-41AE-BB9C-CCEADC7DEEB0}"/>
    <cellStyle name="Comma 4 7 5" xfId="3226" xr:uid="{81394A5C-BE9A-448B-81F5-451CFFD70CE3}"/>
    <cellStyle name="Comma 4 7 5 2" xfId="5455" xr:uid="{19C7AF20-D1A3-4DA2-BC97-E859618EED9E}"/>
    <cellStyle name="Comma 4 7 5 2 2" xfId="9673" xr:uid="{149B4755-AC67-46CF-A391-45B81A917FF5}"/>
    <cellStyle name="Comma 4 7 5 3" xfId="7528" xr:uid="{8594BC62-140D-45FE-AD38-75FD32F8D9FA}"/>
    <cellStyle name="Comma 4 7 6" xfId="3661" xr:uid="{4CF5AE52-7BFC-4E9F-8112-F597401615C3}"/>
    <cellStyle name="Comma 4 7 6 2" xfId="7941" xr:uid="{FF0E5984-1ECD-472F-ADAF-3281BD6706E5}"/>
    <cellStyle name="Comma 4 7 7" xfId="3957" xr:uid="{19CE67B3-E79E-4814-9F38-1E3492DC71B1}"/>
    <cellStyle name="Comma 4 7 8" xfId="4039" xr:uid="{B04EAD22-649E-4A6F-95C1-9621C6033DD7}"/>
    <cellStyle name="Comma 4 7 8 2" xfId="8258" xr:uid="{FBD7A921-CCF3-4381-83CD-0DCEFF9C51DB}"/>
    <cellStyle name="Comma 4 7 9" xfId="5875" xr:uid="{6F5B5A8E-A73C-4DF3-9EAC-71C0FEB930DF}"/>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5743" xr:uid="{C4120F18-8486-40A5-BD3D-C0A0BEA7D63F}"/>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986" xr:uid="{67879A92-5C74-4BAB-B9AF-C43282475246}"/>
    <cellStyle name="Currency 13" xfId="3958" xr:uid="{CA056DD0-31E5-49FD-93D0-FFBBAA63F0DA}"/>
    <cellStyle name="Currency 13 2" xfId="5741" xr:uid="{F6C809E0-24DE-4132-ACEF-A92D2C1F8F6C}"/>
    <cellStyle name="Currency 13 3" xfId="3694" xr:uid="{98BDF378-654B-472D-8D7E-D0CD62853925}"/>
    <cellStyle name="Currency 14" xfId="5746" xr:uid="{D654F611-8DE6-4298-B44F-EE29D0D6680B}"/>
    <cellStyle name="Currency 14 2" xfId="9960" xr:uid="{9E4EEC1F-3C46-4ED7-9250-6B865C3C6475}"/>
    <cellStyle name="Currency 14 3" xfId="9963" xr:uid="{462CD087-5F99-4F7B-A0CC-E55E28207B4A}"/>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4040" xr:uid="{1A01E336-8EC4-465F-989A-0CA9A081CBEB}"/>
    <cellStyle name="Currency 3 2 2 10 2" xfId="8259" xr:uid="{C0DC9520-4FA0-46FA-ACD1-94652F5D215D}"/>
    <cellStyle name="Currency 3 2 2 11" xfId="5876" xr:uid="{F1B0ECE0-80AC-4FB7-8494-75A854BA6097}"/>
    <cellStyle name="Currency 3 2 2 12" xfId="1572" xr:uid="{EC7296F4-AAD1-42A4-A096-9E6E3BC3F488}"/>
    <cellStyle name="Currency 3 2 2 2" xfId="180" xr:uid="{00000000-0005-0000-0000-00003D010000}"/>
    <cellStyle name="Currency 3 2 2 2 10" xfId="5877" xr:uid="{4D36B17C-B41B-495F-9F34-6568C4B70B95}"/>
    <cellStyle name="Currency 3 2 2 2 11" xfId="1573" xr:uid="{B086F615-67BA-412B-8BF2-44EC632A15BC}"/>
    <cellStyle name="Currency 3 2 2 2 2" xfId="181" xr:uid="{00000000-0005-0000-0000-00003E010000}"/>
    <cellStyle name="Currency 3 2 2 2 2 10" xfId="1574" xr:uid="{7DD394D8-0E7B-4D1D-8594-AA9009F5733F}"/>
    <cellStyle name="Currency 3 2 2 2 2 2" xfId="717" xr:uid="{00000000-0005-0000-0000-00003F010000}"/>
    <cellStyle name="Currency 3 2 2 2 2 2 2" xfId="4219" xr:uid="{B8DB0ADC-0194-408E-9E4F-967EBB2530BB}"/>
    <cellStyle name="Currency 3 2 2 2 2 2 2 2" xfId="8437" xr:uid="{2F2C0889-4E49-4D38-80E1-EDF87BD5FF50}"/>
    <cellStyle name="Currency 3 2 2 2 2 2 3" xfId="6292" xr:uid="{62E45D8B-0618-438F-A626-D4217018560B}"/>
    <cellStyle name="Currency 3 2 2 2 2 2 4" xfId="1989" xr:uid="{88465041-2A2C-4B9F-A158-F700766DAC66}"/>
    <cellStyle name="Currency 3 2 2 2 2 3" xfId="1161" xr:uid="{7D302818-72D8-4554-AA18-6C7B522F52A2}"/>
    <cellStyle name="Currency 3 2 2 2 2 3 2" xfId="4632" xr:uid="{6FBD62E9-160D-4BBE-B7D1-47AD6FDCCCD7}"/>
    <cellStyle name="Currency 3 2 2 2 2 3 2 2" xfId="8850" xr:uid="{F112F25B-A2C7-4947-A674-C8D2766BE9D9}"/>
    <cellStyle name="Currency 3 2 2 2 2 3 3" xfId="6705" xr:uid="{1A525FBE-0A73-4CAF-BB5C-B78C1F4D8AC6}"/>
    <cellStyle name="Currency 3 2 2 2 2 3 4" xfId="2403" xr:uid="{4A7AD9B6-B839-401C-B9C1-B3532DD41310}"/>
    <cellStyle name="Currency 3 2 2 2 2 4" xfId="2816" xr:uid="{7DD5EB53-6CA1-415C-9605-451BB020F803}"/>
    <cellStyle name="Currency 3 2 2 2 2 4 2" xfId="5045" xr:uid="{1B111121-F783-4520-8B03-A0DE34590B60}"/>
    <cellStyle name="Currency 3 2 2 2 2 4 2 2" xfId="9263" xr:uid="{68612056-CD7B-4E88-AD44-B0A10648A7FD}"/>
    <cellStyle name="Currency 3 2 2 2 2 4 3" xfId="7118" xr:uid="{4F569C4F-721F-4E09-A06C-7B1434A94EE2}"/>
    <cellStyle name="Currency 3 2 2 2 2 5" xfId="3229" xr:uid="{C83A7D84-CDB7-40F2-889D-D2B80C0667D0}"/>
    <cellStyle name="Currency 3 2 2 2 2 5 2" xfId="5458" xr:uid="{102AA868-8853-4826-A2C0-A7991F2E1DB4}"/>
    <cellStyle name="Currency 3 2 2 2 2 5 2 2" xfId="9676" xr:uid="{E2F65E83-8B1D-4667-ABA1-1C56BB1267A2}"/>
    <cellStyle name="Currency 3 2 2 2 2 5 3" xfId="7531" xr:uid="{92427E09-AB78-4745-8B22-1D776846C2FD}"/>
    <cellStyle name="Currency 3 2 2 2 2 6" xfId="3664" xr:uid="{B69B8AB0-DE7F-4A2F-8B73-143DCEBB09D8}"/>
    <cellStyle name="Currency 3 2 2 2 2 6 2" xfId="7944" xr:uid="{A48D90A8-3A47-4941-8CB4-4581A678A00D}"/>
    <cellStyle name="Currency 3 2 2 2 2 7" xfId="3961" xr:uid="{C423E4BB-0FA6-492C-B680-808C1385582A}"/>
    <cellStyle name="Currency 3 2 2 2 2 8" xfId="4042" xr:uid="{234390E1-12E3-4E8B-8987-06546B990527}"/>
    <cellStyle name="Currency 3 2 2 2 2 8 2" xfId="8261" xr:uid="{F56CB349-07C0-4EFD-9A72-C8E7BD748D44}"/>
    <cellStyle name="Currency 3 2 2 2 2 9" xfId="5878" xr:uid="{F52EB63C-F6DF-48B9-B33D-71F5461C7658}"/>
    <cellStyle name="Currency 3 2 2 2 3" xfId="716" xr:uid="{00000000-0005-0000-0000-000040010000}"/>
    <cellStyle name="Currency 3 2 2 2 3 2" xfId="4218" xr:uid="{F318654D-5C59-4CC7-91F0-D8CD2FEED9B8}"/>
    <cellStyle name="Currency 3 2 2 2 3 2 2" xfId="8436" xr:uid="{9A56C337-772F-4EF6-87DE-DE5B261C4A78}"/>
    <cellStyle name="Currency 3 2 2 2 3 3" xfId="6291" xr:uid="{526F1A99-4541-4559-9AB9-0277AE9C1E62}"/>
    <cellStyle name="Currency 3 2 2 2 3 4" xfId="1988" xr:uid="{BAC5FE91-60B4-4D91-9B02-F72B67E1330F}"/>
    <cellStyle name="Currency 3 2 2 2 4" xfId="1160" xr:uid="{4F2283AA-5AAE-40D3-90FD-C6229D417CBF}"/>
    <cellStyle name="Currency 3 2 2 2 4 2" xfId="4631" xr:uid="{79A916A0-603F-467B-961E-1E0DC9B3394B}"/>
    <cellStyle name="Currency 3 2 2 2 4 2 2" xfId="8849" xr:uid="{447ACB4A-BB8C-4DD2-AC14-696E21C9CAC7}"/>
    <cellStyle name="Currency 3 2 2 2 4 3" xfId="6704" xr:uid="{D8642FF0-F049-4D2C-8384-F18127F9A899}"/>
    <cellStyle name="Currency 3 2 2 2 4 4" xfId="2402" xr:uid="{F9150306-125A-48B8-89D3-E12851A750A6}"/>
    <cellStyle name="Currency 3 2 2 2 5" xfId="2815" xr:uid="{B5782AF6-B49C-4009-A822-DA57C9325450}"/>
    <cellStyle name="Currency 3 2 2 2 5 2" xfId="5044" xr:uid="{EABAEA8A-0022-4F16-9CE9-F785F7E7CBFF}"/>
    <cellStyle name="Currency 3 2 2 2 5 2 2" xfId="9262" xr:uid="{3A56A3A1-F730-4949-8195-EBD528059FB0}"/>
    <cellStyle name="Currency 3 2 2 2 5 3" xfId="7117" xr:uid="{8BB5DEF2-C8B7-47B7-AC93-897D9A42C288}"/>
    <cellStyle name="Currency 3 2 2 2 6" xfId="3228" xr:uid="{C9893592-3CC4-43DB-8676-D0EAA108DA69}"/>
    <cellStyle name="Currency 3 2 2 2 6 2" xfId="5457" xr:uid="{5828ECD2-CB53-4F09-AC14-5222DAB1A089}"/>
    <cellStyle name="Currency 3 2 2 2 6 2 2" xfId="9675" xr:uid="{AC9DFD18-885D-4835-ADB0-2862739D8728}"/>
    <cellStyle name="Currency 3 2 2 2 6 3" xfId="7530" xr:uid="{CB660B9F-98CE-4C42-B12F-A00284AFD378}"/>
    <cellStyle name="Currency 3 2 2 2 7" xfId="3663" xr:uid="{622E25ED-FE19-43E3-AB14-8BEB5A778ED6}"/>
    <cellStyle name="Currency 3 2 2 2 7 2" xfId="7943" xr:uid="{61D62F66-F1D8-461D-9F3D-3792F015C10A}"/>
    <cellStyle name="Currency 3 2 2 2 8" xfId="3960" xr:uid="{2C6D5688-C8B7-46A1-A978-E9751B8BD312}"/>
    <cellStyle name="Currency 3 2 2 2 9" xfId="4041" xr:uid="{A58C5A3D-9E76-4C3D-B67A-F5176E76C0D4}"/>
    <cellStyle name="Currency 3 2 2 2 9 2" xfId="8260" xr:uid="{3D834D97-01D1-445F-8C55-A13105D732AF}"/>
    <cellStyle name="Currency 3 2 2 3" xfId="182" xr:uid="{00000000-0005-0000-0000-000041010000}"/>
    <cellStyle name="Currency 3 2 2 3 10" xfId="1575" xr:uid="{C341ACBD-49DC-44C0-8694-E9271C65490F}"/>
    <cellStyle name="Currency 3 2 2 3 2" xfId="718" xr:uid="{00000000-0005-0000-0000-000042010000}"/>
    <cellStyle name="Currency 3 2 2 3 2 2" xfId="4220" xr:uid="{D9353C98-ADD0-4554-9BBF-AA91AC49C936}"/>
    <cellStyle name="Currency 3 2 2 3 2 2 2" xfId="8438" xr:uid="{3BB3935E-2590-4BBB-A520-DC9FB0119E32}"/>
    <cellStyle name="Currency 3 2 2 3 2 3" xfId="6293" xr:uid="{007D1D4E-9C8B-42DC-B3F5-10FAC465BD1F}"/>
    <cellStyle name="Currency 3 2 2 3 2 4" xfId="1990" xr:uid="{01E3EC19-699A-4AB1-9444-49ECCC5F6FA1}"/>
    <cellStyle name="Currency 3 2 2 3 3" xfId="1162" xr:uid="{069781DD-CF98-41AA-A11B-5BD65F3B0300}"/>
    <cellStyle name="Currency 3 2 2 3 3 2" xfId="4633" xr:uid="{7E97021F-755F-4EAC-B3AE-62D012BD7CBA}"/>
    <cellStyle name="Currency 3 2 2 3 3 2 2" xfId="8851" xr:uid="{0EFE6C8C-A81B-49D9-92FD-01EDC2A446CF}"/>
    <cellStyle name="Currency 3 2 2 3 3 3" xfId="6706" xr:uid="{D799EC45-443C-4C3D-A4CD-C50DCDFC76FD}"/>
    <cellStyle name="Currency 3 2 2 3 3 4" xfId="2404" xr:uid="{C730DF40-AB0D-4AAD-8A7E-13EDD147A9BE}"/>
    <cellStyle name="Currency 3 2 2 3 4" xfId="2817" xr:uid="{0633A106-D0DF-4E12-85B8-FF913A7856E0}"/>
    <cellStyle name="Currency 3 2 2 3 4 2" xfId="5046" xr:uid="{AF2497F3-90B3-470E-9E0B-8B09A45DE093}"/>
    <cellStyle name="Currency 3 2 2 3 4 2 2" xfId="9264" xr:uid="{26CBD7FA-6F56-464C-9AAA-0BBC749BD6F8}"/>
    <cellStyle name="Currency 3 2 2 3 4 3" xfId="7119" xr:uid="{888D60C3-27C4-476E-AD7F-FF8E58B97129}"/>
    <cellStyle name="Currency 3 2 2 3 5" xfId="3230" xr:uid="{CB813324-2BC0-4666-BD76-701A3F254E38}"/>
    <cellStyle name="Currency 3 2 2 3 5 2" xfId="5459" xr:uid="{0AF1CAF3-B3A9-49B5-B045-8D28B7EC2EC2}"/>
    <cellStyle name="Currency 3 2 2 3 5 2 2" xfId="9677" xr:uid="{B9A7E89A-9080-49BA-833A-B3F7ABDED00B}"/>
    <cellStyle name="Currency 3 2 2 3 5 3" xfId="7532" xr:uid="{255B61BF-F69A-4116-97DA-861A8C3D4BDA}"/>
    <cellStyle name="Currency 3 2 2 3 6" xfId="3665" xr:uid="{921ACEC5-20A1-4342-8A8C-DE3CDD9652C0}"/>
    <cellStyle name="Currency 3 2 2 3 6 2" xfId="7945" xr:uid="{5F6CFA92-4566-4F9F-BCB2-B4C2B5B18E37}"/>
    <cellStyle name="Currency 3 2 2 3 7" xfId="3962" xr:uid="{F5195687-93C5-4BA0-842B-4530189140D2}"/>
    <cellStyle name="Currency 3 2 2 3 8" xfId="4043" xr:uid="{D6C24B05-2024-405D-917B-6E51BA7BD17C}"/>
    <cellStyle name="Currency 3 2 2 3 8 2" xfId="8262" xr:uid="{AE0E922C-5266-4781-B36A-1B1082AE6995}"/>
    <cellStyle name="Currency 3 2 2 3 9" xfId="5879" xr:uid="{AEB1D52D-1066-4E67-8AA3-6085EB15E921}"/>
    <cellStyle name="Currency 3 2 2 4" xfId="715" xr:uid="{00000000-0005-0000-0000-000043010000}"/>
    <cellStyle name="Currency 3 2 2 4 2" xfId="4217" xr:uid="{4AE0849B-C2BB-496E-BB5B-8FB5091F6A0F}"/>
    <cellStyle name="Currency 3 2 2 4 2 2" xfId="8435" xr:uid="{EA7EF8BD-1487-447F-A6C3-62A51970D466}"/>
    <cellStyle name="Currency 3 2 2 4 3" xfId="6290" xr:uid="{33B39B25-699E-4B3B-9CA6-F1652FD848F6}"/>
    <cellStyle name="Currency 3 2 2 4 4" xfId="1987" xr:uid="{BA380179-BF55-496B-B470-48EB80183452}"/>
    <cellStyle name="Currency 3 2 2 5" xfId="1159" xr:uid="{0846C83E-4CB0-4324-9365-301EB445CED5}"/>
    <cellStyle name="Currency 3 2 2 5 2" xfId="4630" xr:uid="{ACDA4541-6990-4066-8CC6-BDD493245C09}"/>
    <cellStyle name="Currency 3 2 2 5 2 2" xfId="8848" xr:uid="{9CFB89F7-6F5E-40D2-A068-24B476209578}"/>
    <cellStyle name="Currency 3 2 2 5 3" xfId="6703" xr:uid="{79970AF5-C196-4DC2-9A8C-7B04D24917B8}"/>
    <cellStyle name="Currency 3 2 2 5 4" xfId="2401" xr:uid="{E58F0D05-C99C-437E-8528-87E65814A27B}"/>
    <cellStyle name="Currency 3 2 2 6" xfId="2814" xr:uid="{047E3E51-6723-4058-8426-7EEAED46E2BA}"/>
    <cellStyle name="Currency 3 2 2 6 2" xfId="5043" xr:uid="{CF7431FD-EEE2-4CE1-8CBF-153BC109A002}"/>
    <cellStyle name="Currency 3 2 2 6 2 2" xfId="9261" xr:uid="{623D7FF6-79DE-4543-BAC5-FA4F7236A44E}"/>
    <cellStyle name="Currency 3 2 2 6 3" xfId="7116" xr:uid="{EB6DED32-6F87-40C1-86C6-F1CA1FFD1F09}"/>
    <cellStyle name="Currency 3 2 2 7" xfId="3227" xr:uid="{74836B86-4B3C-419C-A20A-231B3A4E02A8}"/>
    <cellStyle name="Currency 3 2 2 7 2" xfId="5456" xr:uid="{1E05F711-9EB0-492F-9739-A7657F26E234}"/>
    <cellStyle name="Currency 3 2 2 7 2 2" xfId="9674" xr:uid="{D7CF196E-BABB-43ED-B65E-FEE819B19141}"/>
    <cellStyle name="Currency 3 2 2 7 3" xfId="7529" xr:uid="{98A0C784-B07C-4B2B-B60C-441FF9F644DD}"/>
    <cellStyle name="Currency 3 2 2 8" xfId="3662" xr:uid="{AF48B3BB-DA04-4343-9C64-41E6794B7218}"/>
    <cellStyle name="Currency 3 2 2 8 2" xfId="7942" xr:uid="{B735A0D3-89A7-4002-84EE-F4A9CF3A2681}"/>
    <cellStyle name="Currency 3 2 2 9" xfId="3959" xr:uid="{C4BBA8FB-C37C-4F6D-A7B9-C5A7E231BD2E}"/>
    <cellStyle name="Currency 3 2 3" xfId="183" xr:uid="{00000000-0005-0000-0000-000044010000}"/>
    <cellStyle name="Currency 3 2 3 10" xfId="5880" xr:uid="{5F307135-EC34-47F6-8BD4-2D223EB14E28}"/>
    <cellStyle name="Currency 3 2 3 11" xfId="1576" xr:uid="{142120F1-EE97-4FAE-99B0-C1324706E0A9}"/>
    <cellStyle name="Currency 3 2 3 2" xfId="184" xr:uid="{00000000-0005-0000-0000-000045010000}"/>
    <cellStyle name="Currency 3 2 3 2 10" xfId="1577" xr:uid="{7606A977-AE7E-4122-AC97-CE1208BA0886}"/>
    <cellStyle name="Currency 3 2 3 2 2" xfId="720" xr:uid="{00000000-0005-0000-0000-000046010000}"/>
    <cellStyle name="Currency 3 2 3 2 2 2" xfId="4222" xr:uid="{233EF42D-FE36-4693-A481-2926D9999D1E}"/>
    <cellStyle name="Currency 3 2 3 2 2 2 2" xfId="8440" xr:uid="{4C3E1382-2C28-405D-9E38-9DABBF83D085}"/>
    <cellStyle name="Currency 3 2 3 2 2 3" xfId="6295" xr:uid="{7ABA5A3A-36B6-465C-8D38-4FEE6DE68AD4}"/>
    <cellStyle name="Currency 3 2 3 2 2 4" xfId="1992" xr:uid="{73C2BE72-31AB-4B63-BCF2-9CBDF1BCA4D3}"/>
    <cellStyle name="Currency 3 2 3 2 3" xfId="1164" xr:uid="{9FD664C2-9B62-412F-A5D6-0E7D989306B2}"/>
    <cellStyle name="Currency 3 2 3 2 3 2" xfId="4635" xr:uid="{6BD25B8C-45C4-4E3F-A5A5-02460EA9FA36}"/>
    <cellStyle name="Currency 3 2 3 2 3 2 2" xfId="8853" xr:uid="{0018DB2F-4DB8-4008-8AD0-2B1E7223BB6F}"/>
    <cellStyle name="Currency 3 2 3 2 3 3" xfId="6708" xr:uid="{598DC67C-D0FE-4537-BAC8-6FB843435DA5}"/>
    <cellStyle name="Currency 3 2 3 2 3 4" xfId="2406" xr:uid="{C749C247-5207-440D-95B8-2B932F77CC50}"/>
    <cellStyle name="Currency 3 2 3 2 4" xfId="2819" xr:uid="{3D95AC9B-A403-44F2-86FD-12D76502CC06}"/>
    <cellStyle name="Currency 3 2 3 2 4 2" xfId="5048" xr:uid="{ABFA6B67-769B-4D11-B4C3-609D374E4DEF}"/>
    <cellStyle name="Currency 3 2 3 2 4 2 2" xfId="9266" xr:uid="{C9D4E5E9-DE15-4D17-8E20-D074BF683D22}"/>
    <cellStyle name="Currency 3 2 3 2 4 3" xfId="7121" xr:uid="{1E77499F-02AE-4359-AFAB-5A9916113F40}"/>
    <cellStyle name="Currency 3 2 3 2 5" xfId="3232" xr:uid="{677BBE1C-E537-42EE-BCCC-8B17E4BD8A1B}"/>
    <cellStyle name="Currency 3 2 3 2 5 2" xfId="5461" xr:uid="{04873938-3996-432A-9A53-21356C7EE66A}"/>
    <cellStyle name="Currency 3 2 3 2 5 2 2" xfId="9679" xr:uid="{C0DFA08D-8F03-4AB6-89E8-9BAC5CD14853}"/>
    <cellStyle name="Currency 3 2 3 2 5 3" xfId="7534" xr:uid="{712DF64C-4CFE-4EDB-9B6E-81968EE412CF}"/>
    <cellStyle name="Currency 3 2 3 2 6" xfId="3667" xr:uid="{EC184C7F-4713-4357-B439-44F44B59E9C3}"/>
    <cellStyle name="Currency 3 2 3 2 6 2" xfId="7947" xr:uid="{BEF68D92-3F18-41F8-86BE-D6B4D1CA378B}"/>
    <cellStyle name="Currency 3 2 3 2 7" xfId="3964" xr:uid="{6374C4CE-CEDE-43E8-B7A7-D59C56EC33D7}"/>
    <cellStyle name="Currency 3 2 3 2 8" xfId="4045" xr:uid="{CC9A1C50-2C68-4D59-81F5-098D0E045EA9}"/>
    <cellStyle name="Currency 3 2 3 2 8 2" xfId="8264" xr:uid="{8C4438EE-7F8A-40C2-A778-8EB3F2DB88F6}"/>
    <cellStyle name="Currency 3 2 3 2 9" xfId="5881" xr:uid="{B4AEF3B7-DC8C-49A4-9126-464D90907261}"/>
    <cellStyle name="Currency 3 2 3 3" xfId="719" xr:uid="{00000000-0005-0000-0000-000047010000}"/>
    <cellStyle name="Currency 3 2 3 3 2" xfId="4221" xr:uid="{AE334048-9DCD-459F-8311-91C3E9500BEA}"/>
    <cellStyle name="Currency 3 2 3 3 2 2" xfId="8439" xr:uid="{2ECC243D-4E5C-4B74-B1B2-4530BD0DC195}"/>
    <cellStyle name="Currency 3 2 3 3 3" xfId="6294" xr:uid="{167D1C2A-5B52-44AF-8CDF-3138B3CCBA82}"/>
    <cellStyle name="Currency 3 2 3 3 4" xfId="1991" xr:uid="{2CD37297-4F79-4A07-941D-DFA744A93133}"/>
    <cellStyle name="Currency 3 2 3 4" xfId="1163" xr:uid="{EE3FC711-D435-4176-96B3-CFD1FBA314AB}"/>
    <cellStyle name="Currency 3 2 3 4 2" xfId="4634" xr:uid="{46CA1E70-4465-482F-9317-1022E496BA66}"/>
    <cellStyle name="Currency 3 2 3 4 2 2" xfId="8852" xr:uid="{23FBE1A6-86C8-4FAC-9EC3-BED395CE3605}"/>
    <cellStyle name="Currency 3 2 3 4 3" xfId="6707" xr:uid="{BD31261F-142F-41B8-99C5-7AB77ACB16B0}"/>
    <cellStyle name="Currency 3 2 3 4 4" xfId="2405" xr:uid="{0C5C6EA0-DA13-43C3-937E-E93298295CAC}"/>
    <cellStyle name="Currency 3 2 3 5" xfId="2818" xr:uid="{5974CF62-3D08-4BDD-9C92-5020515E40A1}"/>
    <cellStyle name="Currency 3 2 3 5 2" xfId="5047" xr:uid="{11D56E78-14F0-4F55-BBEF-905F8B165E14}"/>
    <cellStyle name="Currency 3 2 3 5 2 2" xfId="9265" xr:uid="{DEC1D15F-4A9A-435B-8D53-6B4ECC65C885}"/>
    <cellStyle name="Currency 3 2 3 5 3" xfId="7120" xr:uid="{C0B9E467-DA86-4E43-87E0-A7FF10166535}"/>
    <cellStyle name="Currency 3 2 3 6" xfId="3231" xr:uid="{B18B8B6D-85D8-4F5A-8D9F-E7545D1E19E6}"/>
    <cellStyle name="Currency 3 2 3 6 2" xfId="5460" xr:uid="{DC3F20AD-9F58-47B3-8E36-E38C704C6B89}"/>
    <cellStyle name="Currency 3 2 3 6 2 2" xfId="9678" xr:uid="{20CA5B5A-53E2-4C91-81CC-AF5825131D70}"/>
    <cellStyle name="Currency 3 2 3 6 3" xfId="7533" xr:uid="{8D343132-229A-4B5A-8F33-5336910C627E}"/>
    <cellStyle name="Currency 3 2 3 7" xfId="3666" xr:uid="{A7B81E1D-C3D3-4A17-954A-6CB914D9DDE6}"/>
    <cellStyle name="Currency 3 2 3 7 2" xfId="7946" xr:uid="{D63D9607-7729-475A-BBD6-5BA494399F87}"/>
    <cellStyle name="Currency 3 2 3 8" xfId="3963" xr:uid="{53E201F1-0C2F-409F-B5DD-1B3ADCE070E1}"/>
    <cellStyle name="Currency 3 2 3 9" xfId="4044" xr:uid="{7B7E7EE5-1048-4624-8FD0-FE51BCAEE99F}"/>
    <cellStyle name="Currency 3 2 3 9 2" xfId="8263" xr:uid="{A34C5F3D-E34F-45EA-A9A3-1EC2B6D20B67}"/>
    <cellStyle name="Currency 3 2 4" xfId="185" xr:uid="{00000000-0005-0000-0000-000048010000}"/>
    <cellStyle name="Currency 3 2 4 10" xfId="1578" xr:uid="{B96875D9-D8A8-4B80-975A-FDF643E6779B}"/>
    <cellStyle name="Currency 3 2 4 2" xfId="721" xr:uid="{00000000-0005-0000-0000-000049010000}"/>
    <cellStyle name="Currency 3 2 4 2 2" xfId="4223" xr:uid="{C40FD462-207F-4D24-AD40-B0DA6375DA9B}"/>
    <cellStyle name="Currency 3 2 4 2 2 2" xfId="8441" xr:uid="{BEE012AD-8E54-4FEB-BD39-A48D68BC60B6}"/>
    <cellStyle name="Currency 3 2 4 2 3" xfId="6296" xr:uid="{0ED432C1-ABA1-40BE-977A-0AEEF57AEC9A}"/>
    <cellStyle name="Currency 3 2 4 2 4" xfId="1993" xr:uid="{E2B8DFD8-2591-489A-93C4-69EAECC740A1}"/>
    <cellStyle name="Currency 3 2 4 3" xfId="1165" xr:uid="{F990C840-1569-47A5-A172-C6E6A40EDA09}"/>
    <cellStyle name="Currency 3 2 4 3 2" xfId="4636" xr:uid="{F8C877BB-3E96-4D6F-89BA-6AA689809B3C}"/>
    <cellStyle name="Currency 3 2 4 3 2 2" xfId="8854" xr:uid="{709049DE-DB5D-44DC-8A1A-B3947B37A405}"/>
    <cellStyle name="Currency 3 2 4 3 3" xfId="6709" xr:uid="{D934C8F8-4EDC-4F7D-A3C8-B072D0A084DD}"/>
    <cellStyle name="Currency 3 2 4 3 4" xfId="2407" xr:uid="{9F0E5492-584D-4E47-9CD0-91FD916FD364}"/>
    <cellStyle name="Currency 3 2 4 4" xfId="2820" xr:uid="{56243857-4FAD-4559-B74F-9418AE59B915}"/>
    <cellStyle name="Currency 3 2 4 4 2" xfId="5049" xr:uid="{9DB94C3C-B21E-4F07-9BE2-E1060DA863BF}"/>
    <cellStyle name="Currency 3 2 4 4 2 2" xfId="9267" xr:uid="{BFF7E642-EE7E-463A-ACB1-685498FD8E19}"/>
    <cellStyle name="Currency 3 2 4 4 3" xfId="7122" xr:uid="{936124BB-B3AE-40D5-A4A3-B256B52BDFEF}"/>
    <cellStyle name="Currency 3 2 4 5" xfId="3233" xr:uid="{81095424-AFA1-4E05-8667-7FDBFB7E1650}"/>
    <cellStyle name="Currency 3 2 4 5 2" xfId="5462" xr:uid="{8F6C26A7-CFC2-4E97-B574-5D08F910179A}"/>
    <cellStyle name="Currency 3 2 4 5 2 2" xfId="9680" xr:uid="{FCB086AB-0129-4301-8E72-998433964811}"/>
    <cellStyle name="Currency 3 2 4 5 3" xfId="7535" xr:uid="{EFCCB83D-7AD0-4A4F-A149-E8257C5A0A97}"/>
    <cellStyle name="Currency 3 2 4 6" xfId="3668" xr:uid="{DB8A2893-82F9-4547-87F5-90B63E766D16}"/>
    <cellStyle name="Currency 3 2 4 6 2" xfId="7948" xr:uid="{ECE7B49E-9FB7-4571-8488-99BDD09B1389}"/>
    <cellStyle name="Currency 3 2 4 7" xfId="3965" xr:uid="{BCFFAAE3-3294-42A9-B5C3-2A294801CBCB}"/>
    <cellStyle name="Currency 3 2 4 8" xfId="4046" xr:uid="{A7866F85-7823-4CE1-9CA5-4C4F054B6E9D}"/>
    <cellStyle name="Currency 3 2 4 8 2" xfId="8265" xr:uid="{31BC3DAE-6742-4F62-AF67-0872404C7993}"/>
    <cellStyle name="Currency 3 2 4 9" xfId="5882" xr:uid="{A3C9C2DE-F904-4B8B-96F5-3F6C3865C154}"/>
    <cellStyle name="Currency 3 2 5" xfId="186" xr:uid="{00000000-0005-0000-0000-00004A010000}"/>
    <cellStyle name="Currency 3 2 5 10" xfId="1579" xr:uid="{66B63690-E3B6-48C2-BC56-3A85587F6A0D}"/>
    <cellStyle name="Currency 3 2 5 2" xfId="722" xr:uid="{00000000-0005-0000-0000-00004B010000}"/>
    <cellStyle name="Currency 3 2 5 2 2" xfId="4224" xr:uid="{A99E333B-B83D-4027-BCFD-A0662477A94E}"/>
    <cellStyle name="Currency 3 2 5 2 2 2" xfId="8442" xr:uid="{AF0389EB-44B2-4E4C-A258-7CBD4C8DC956}"/>
    <cellStyle name="Currency 3 2 5 2 3" xfId="6297" xr:uid="{F14AB74F-CF67-46ED-83E3-9551715F678F}"/>
    <cellStyle name="Currency 3 2 5 2 4" xfId="1994" xr:uid="{44B1B6C4-56EA-49D1-AF25-4D0F6116857A}"/>
    <cellStyle name="Currency 3 2 5 3" xfId="1166" xr:uid="{1D334DAC-426D-45DF-8069-4512161EA5D6}"/>
    <cellStyle name="Currency 3 2 5 3 2" xfId="4637" xr:uid="{A1EF23B8-161B-4DED-B01C-0A15D18C52C7}"/>
    <cellStyle name="Currency 3 2 5 3 2 2" xfId="8855" xr:uid="{84DC85DB-7EEF-4B8E-A509-6D58EB97D4CC}"/>
    <cellStyle name="Currency 3 2 5 3 3" xfId="6710" xr:uid="{BE532824-0251-4278-879A-584B39485D22}"/>
    <cellStyle name="Currency 3 2 5 3 4" xfId="2408" xr:uid="{A2AA2A38-2922-4B28-BCAE-0C260E8F5640}"/>
    <cellStyle name="Currency 3 2 5 4" xfId="2821" xr:uid="{20A6C082-FBFF-47B5-A0DC-525332593A13}"/>
    <cellStyle name="Currency 3 2 5 4 2" xfId="5050" xr:uid="{A7F7D300-55E7-4911-B2B6-B6623AF2203A}"/>
    <cellStyle name="Currency 3 2 5 4 2 2" xfId="9268" xr:uid="{00FADB8E-7858-4573-95C2-6BDB74DD2975}"/>
    <cellStyle name="Currency 3 2 5 4 3" xfId="7123" xr:uid="{26A97742-36B3-46CE-B877-7ACEC74285C1}"/>
    <cellStyle name="Currency 3 2 5 5" xfId="3234" xr:uid="{04B81D1B-4D6A-48E4-95F4-CC7816C3D04F}"/>
    <cellStyle name="Currency 3 2 5 5 2" xfId="5463" xr:uid="{3D19161C-D5AA-4A16-99FD-C307A75A6536}"/>
    <cellStyle name="Currency 3 2 5 5 2 2" xfId="9681" xr:uid="{01E20160-A301-4ADA-9F44-6FE43075CE97}"/>
    <cellStyle name="Currency 3 2 5 5 3" xfId="7536" xr:uid="{536B8C5A-4E7A-4D7D-94D5-20FE949CA018}"/>
    <cellStyle name="Currency 3 2 5 6" xfId="3669" xr:uid="{D37BA003-3403-4782-8021-FC7FF3D307D5}"/>
    <cellStyle name="Currency 3 2 5 6 2" xfId="7949" xr:uid="{EBBFF826-B101-4484-9471-C16FD5C65880}"/>
    <cellStyle name="Currency 3 2 5 7" xfId="3966" xr:uid="{1721409D-6E8E-410A-94F0-47238238F904}"/>
    <cellStyle name="Currency 3 2 5 8" xfId="4047" xr:uid="{08C7B805-9C0D-4F75-839D-2537B8B05C3C}"/>
    <cellStyle name="Currency 3 2 5 8 2" xfId="8266" xr:uid="{91EAFBA9-F425-4FB8-9F7C-702BCD56B58C}"/>
    <cellStyle name="Currency 3 2 5 9" xfId="5883" xr:uid="{6F1FA4AF-E363-4229-8A87-724A911252C4}"/>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4048" xr:uid="{7A730BBE-75DD-4187-A8FA-8969122955FC}"/>
    <cellStyle name="Currency 5 2 2 2 10 2" xfId="8267" xr:uid="{39D92ABA-5BD3-49A8-AAB9-14160ED2CC47}"/>
    <cellStyle name="Currency 5 2 2 2 11" xfId="5884" xr:uid="{C28F2B0A-5F87-4B5F-9FC7-7D3D42288BD5}"/>
    <cellStyle name="Currency 5 2 2 2 12" xfId="1580" xr:uid="{5EE1415F-8D21-4CE3-9E41-D4239AF15465}"/>
    <cellStyle name="Currency 5 2 2 2 2" xfId="198" xr:uid="{00000000-0005-0000-0000-00005C010000}"/>
    <cellStyle name="Currency 5 2 2 2 2 10" xfId="5885" xr:uid="{5673B935-8EB0-412D-B1DA-3DF615756D4B}"/>
    <cellStyle name="Currency 5 2 2 2 2 11" xfId="1581" xr:uid="{A3A3CA04-D7F0-46E2-98C0-B4B97549D69A}"/>
    <cellStyle name="Currency 5 2 2 2 2 2" xfId="199" xr:uid="{00000000-0005-0000-0000-00005D010000}"/>
    <cellStyle name="Currency 5 2 2 2 2 2 10" xfId="1582" xr:uid="{2BDFF776-DB61-4D2A-8FCA-9EFDCC564941}"/>
    <cellStyle name="Currency 5 2 2 2 2 2 2" xfId="732" xr:uid="{00000000-0005-0000-0000-00005E010000}"/>
    <cellStyle name="Currency 5 2 2 2 2 2 2 2" xfId="4227" xr:uid="{1022762A-2823-45BF-83D4-1BEAD3069000}"/>
    <cellStyle name="Currency 5 2 2 2 2 2 2 2 2" xfId="8445" xr:uid="{B29C8366-4F5D-47E0-BBCE-44FF1A8D6A9A}"/>
    <cellStyle name="Currency 5 2 2 2 2 2 2 3" xfId="6300" xr:uid="{3D6C4797-A137-41B6-AABF-6FBDBC449DE4}"/>
    <cellStyle name="Currency 5 2 2 2 2 2 2 4" xfId="1997" xr:uid="{59585188-11F7-46F0-9040-A49A082075F6}"/>
    <cellStyle name="Currency 5 2 2 2 2 2 3" xfId="1169" xr:uid="{433B21F4-E0B2-43EE-B824-482D0F216D0F}"/>
    <cellStyle name="Currency 5 2 2 2 2 2 3 2" xfId="4640" xr:uid="{8736F0C4-BC6C-4323-9DD7-78CF343BFF9B}"/>
    <cellStyle name="Currency 5 2 2 2 2 2 3 2 2" xfId="8858" xr:uid="{3B55DC6C-73C7-4A03-8451-7EEA1AA47590}"/>
    <cellStyle name="Currency 5 2 2 2 2 2 3 3" xfId="6713" xr:uid="{EE1957B6-1F13-4FE1-B731-376FF3B761E0}"/>
    <cellStyle name="Currency 5 2 2 2 2 2 3 4" xfId="2411" xr:uid="{26ECC939-D1D7-48DE-BEA1-02AABCE27625}"/>
    <cellStyle name="Currency 5 2 2 2 2 2 4" xfId="2824" xr:uid="{17B758E7-F81B-4160-BCED-09510E44E49F}"/>
    <cellStyle name="Currency 5 2 2 2 2 2 4 2" xfId="5053" xr:uid="{952892BA-4F7A-4FBD-9835-AFB162E82F92}"/>
    <cellStyle name="Currency 5 2 2 2 2 2 4 2 2" xfId="9271" xr:uid="{0DE15862-A95E-4C32-97E9-882EAEBA8C71}"/>
    <cellStyle name="Currency 5 2 2 2 2 2 4 3" xfId="7126" xr:uid="{8176EE83-1D18-47F2-AC55-2661DE1E242E}"/>
    <cellStyle name="Currency 5 2 2 2 2 2 5" xfId="3237" xr:uid="{E0AAC2A7-55D4-47AD-8AA1-33C2A4706DC9}"/>
    <cellStyle name="Currency 5 2 2 2 2 2 5 2" xfId="5466" xr:uid="{50A4DCFF-57C4-4742-97E7-E97F6B95BFB2}"/>
    <cellStyle name="Currency 5 2 2 2 2 2 5 2 2" xfId="9684" xr:uid="{5B875481-F08D-4429-A0F6-6F8BAD729854}"/>
    <cellStyle name="Currency 5 2 2 2 2 2 5 3" xfId="7539" xr:uid="{3820F4E6-49A6-4620-B933-3ED4A37222B9}"/>
    <cellStyle name="Currency 5 2 2 2 2 2 6" xfId="3672" xr:uid="{839D66AD-5524-43F7-9F56-882C544FF1F6}"/>
    <cellStyle name="Currency 5 2 2 2 2 2 6 2" xfId="7952" xr:uid="{A9A9EF44-DDF5-437C-A1DF-F32E81C2D6AE}"/>
    <cellStyle name="Currency 5 2 2 2 2 2 7" xfId="3969" xr:uid="{3524840E-ABB2-49F0-95E0-6FC6E5BE73A8}"/>
    <cellStyle name="Currency 5 2 2 2 2 2 8" xfId="4050" xr:uid="{B23ED516-EEE1-4BD9-8F88-04FEFA45F905}"/>
    <cellStyle name="Currency 5 2 2 2 2 2 8 2" xfId="8269" xr:uid="{A5D80D3D-D3D3-438C-A7AA-42B075D287AB}"/>
    <cellStyle name="Currency 5 2 2 2 2 2 9" xfId="5886" xr:uid="{0EC50671-1B2F-4F6D-8AF8-7C76ACA696D8}"/>
    <cellStyle name="Currency 5 2 2 2 2 3" xfId="731" xr:uid="{00000000-0005-0000-0000-00005F010000}"/>
    <cellStyle name="Currency 5 2 2 2 2 3 2" xfId="4226" xr:uid="{15874385-E96F-4095-9BDF-340524FAB7CC}"/>
    <cellStyle name="Currency 5 2 2 2 2 3 2 2" xfId="8444" xr:uid="{2D7257D1-468A-458A-8493-4F3EFE1D9493}"/>
    <cellStyle name="Currency 5 2 2 2 2 3 3" xfId="6299" xr:uid="{BA13EFF4-2EE3-4C3C-ADFD-B6FC7F4F636E}"/>
    <cellStyle name="Currency 5 2 2 2 2 3 4" xfId="1996" xr:uid="{7968C89B-1050-47EF-AE2D-1E40F08CAB40}"/>
    <cellStyle name="Currency 5 2 2 2 2 4" xfId="1168" xr:uid="{8E646DA2-CD95-4BF0-801E-388053D38C8F}"/>
    <cellStyle name="Currency 5 2 2 2 2 4 2" xfId="4639" xr:uid="{CF742820-5984-47FE-B21A-059BA7643715}"/>
    <cellStyle name="Currency 5 2 2 2 2 4 2 2" xfId="8857" xr:uid="{226A60D2-14F8-4355-9424-6614139CC281}"/>
    <cellStyle name="Currency 5 2 2 2 2 4 3" xfId="6712" xr:uid="{8B62A6E2-800E-4F91-A493-1A66BC7B1CE8}"/>
    <cellStyle name="Currency 5 2 2 2 2 4 4" xfId="2410" xr:uid="{98D880D2-EBF0-4678-83F2-89B0F6A66402}"/>
    <cellStyle name="Currency 5 2 2 2 2 5" xfId="2823" xr:uid="{53F749DC-C9C8-4395-8DE8-5CFCDF95D716}"/>
    <cellStyle name="Currency 5 2 2 2 2 5 2" xfId="5052" xr:uid="{557B4D18-BCF2-457E-AE47-F126C66DC990}"/>
    <cellStyle name="Currency 5 2 2 2 2 5 2 2" xfId="9270" xr:uid="{F5F3DB22-5BEE-4A5A-A814-DE059CF53666}"/>
    <cellStyle name="Currency 5 2 2 2 2 5 3" xfId="7125" xr:uid="{EEBED0A5-7798-48F5-8957-9FD8CA411E0C}"/>
    <cellStyle name="Currency 5 2 2 2 2 6" xfId="3236" xr:uid="{CF06E911-BE7C-4A10-BA23-C21F490FBC2B}"/>
    <cellStyle name="Currency 5 2 2 2 2 6 2" xfId="5465" xr:uid="{3E661D05-6DC8-4AC6-B75E-116ABD065499}"/>
    <cellStyle name="Currency 5 2 2 2 2 6 2 2" xfId="9683" xr:uid="{BDF3A9F3-C934-4A74-A7EC-2E243BF59415}"/>
    <cellStyle name="Currency 5 2 2 2 2 6 3" xfId="7538" xr:uid="{26B5EF77-AAF5-4D40-84F9-54D5A0CB202D}"/>
    <cellStyle name="Currency 5 2 2 2 2 7" xfId="3671" xr:uid="{B93EBB9A-799C-4A24-9992-DC6C822EF93F}"/>
    <cellStyle name="Currency 5 2 2 2 2 7 2" xfId="7951" xr:uid="{81903337-764F-482B-85B2-F072DC2AB507}"/>
    <cellStyle name="Currency 5 2 2 2 2 8" xfId="3968" xr:uid="{527826DC-03B8-4D30-8669-9763253FB506}"/>
    <cellStyle name="Currency 5 2 2 2 2 9" xfId="4049" xr:uid="{2170F745-D273-441F-BB3D-26CC7F496942}"/>
    <cellStyle name="Currency 5 2 2 2 2 9 2" xfId="8268" xr:uid="{4C0DC4D6-3307-46E2-9A71-9D92F9C58A4E}"/>
    <cellStyle name="Currency 5 2 2 2 3" xfId="200" xr:uid="{00000000-0005-0000-0000-000060010000}"/>
    <cellStyle name="Currency 5 2 2 2 3 10" xfId="1583" xr:uid="{EA9507E5-AB98-4FBF-8412-DF568649B481}"/>
    <cellStyle name="Currency 5 2 2 2 3 2" xfId="733" xr:uid="{00000000-0005-0000-0000-000061010000}"/>
    <cellStyle name="Currency 5 2 2 2 3 2 2" xfId="4228" xr:uid="{CA2AA36F-4AAB-49D6-80A6-97A1E0EB8584}"/>
    <cellStyle name="Currency 5 2 2 2 3 2 2 2" xfId="8446" xr:uid="{F616A125-93DA-46B0-B8A3-50B7002ED377}"/>
    <cellStyle name="Currency 5 2 2 2 3 2 3" xfId="6301" xr:uid="{7F732854-307D-4D3B-BC63-1F1F2F194C19}"/>
    <cellStyle name="Currency 5 2 2 2 3 2 4" xfId="1998" xr:uid="{B6ECDE7C-94AC-457D-BD77-7CB3B6DD3820}"/>
    <cellStyle name="Currency 5 2 2 2 3 3" xfId="1170" xr:uid="{6D641D73-FC38-4A24-90D0-77456EAA24FE}"/>
    <cellStyle name="Currency 5 2 2 2 3 3 2" xfId="4641" xr:uid="{55BD5C92-C87F-42D8-BD4C-8222450540DC}"/>
    <cellStyle name="Currency 5 2 2 2 3 3 2 2" xfId="8859" xr:uid="{CC9D9B12-112E-4ADC-8C72-3FEB9AB9576F}"/>
    <cellStyle name="Currency 5 2 2 2 3 3 3" xfId="6714" xr:uid="{E064BA92-DBA1-4023-803A-E41BFC64F69D}"/>
    <cellStyle name="Currency 5 2 2 2 3 3 4" xfId="2412" xr:uid="{D7AC117B-CE69-4681-B9FF-291475E24B59}"/>
    <cellStyle name="Currency 5 2 2 2 3 4" xfId="2825" xr:uid="{A30212C8-D314-47B5-86C9-8DF0B1AF8A05}"/>
    <cellStyle name="Currency 5 2 2 2 3 4 2" xfId="5054" xr:uid="{1693C440-205A-4C15-B66A-908E0A2E85B7}"/>
    <cellStyle name="Currency 5 2 2 2 3 4 2 2" xfId="9272" xr:uid="{C85A7C62-65D4-494C-8440-E61967616FB9}"/>
    <cellStyle name="Currency 5 2 2 2 3 4 3" xfId="7127" xr:uid="{FF715C85-2F1E-4DC2-B9CB-084ED6CD2189}"/>
    <cellStyle name="Currency 5 2 2 2 3 5" xfId="3238" xr:uid="{1DF4EB22-4C1D-43F2-8ECB-8D34834489B7}"/>
    <cellStyle name="Currency 5 2 2 2 3 5 2" xfId="5467" xr:uid="{CB26D78F-72A0-4ECC-9AE5-7E33348A2FA6}"/>
    <cellStyle name="Currency 5 2 2 2 3 5 2 2" xfId="9685" xr:uid="{29C4057F-244E-46E0-8CEC-C75D2043AF61}"/>
    <cellStyle name="Currency 5 2 2 2 3 5 3" xfId="7540" xr:uid="{7464ED86-53CA-4536-86DF-07200F29BE94}"/>
    <cellStyle name="Currency 5 2 2 2 3 6" xfId="3673" xr:uid="{9BC4E4FA-EF93-4F20-A2F3-D69A90BB45D2}"/>
    <cellStyle name="Currency 5 2 2 2 3 6 2" xfId="7953" xr:uid="{90384080-7DE5-4564-92FB-31C94CAE5AF0}"/>
    <cellStyle name="Currency 5 2 2 2 3 7" xfId="3970" xr:uid="{BD21C5CB-FAAD-44B3-9F18-1755FE233CC9}"/>
    <cellStyle name="Currency 5 2 2 2 3 8" xfId="4051" xr:uid="{8D4C59BA-2776-4D85-827C-6678DA8A2152}"/>
    <cellStyle name="Currency 5 2 2 2 3 8 2" xfId="8270" xr:uid="{2801D849-DD67-4A0F-BA11-FD90E27527CA}"/>
    <cellStyle name="Currency 5 2 2 2 3 9" xfId="5887" xr:uid="{76D137CA-EEF2-480B-B767-949E126EFA66}"/>
    <cellStyle name="Currency 5 2 2 2 4" xfId="730" xr:uid="{00000000-0005-0000-0000-000062010000}"/>
    <cellStyle name="Currency 5 2 2 2 4 2" xfId="4225" xr:uid="{D23C5B80-DC36-43C4-9E79-E96DBAE696DF}"/>
    <cellStyle name="Currency 5 2 2 2 4 2 2" xfId="8443" xr:uid="{960ADBB6-E366-4FC4-87E9-609F09BB2030}"/>
    <cellStyle name="Currency 5 2 2 2 4 3" xfId="6298" xr:uid="{92764231-91BE-4303-A6AA-A6231AE5F524}"/>
    <cellStyle name="Currency 5 2 2 2 4 4" xfId="1995" xr:uid="{2A37B526-31B8-48A8-B103-9138D9EB8AC5}"/>
    <cellStyle name="Currency 5 2 2 2 5" xfId="1167" xr:uid="{1522BA4B-BB1D-4E3E-991E-C85DC77F7215}"/>
    <cellStyle name="Currency 5 2 2 2 5 2" xfId="4638" xr:uid="{186B3885-90AC-451E-9D2F-182A014C8B54}"/>
    <cellStyle name="Currency 5 2 2 2 5 2 2" xfId="8856" xr:uid="{8230D0B6-DD71-4B57-BFF8-088D5A177BB8}"/>
    <cellStyle name="Currency 5 2 2 2 5 3" xfId="6711" xr:uid="{90DEB2A8-4403-41E0-BA72-92102F8F3528}"/>
    <cellStyle name="Currency 5 2 2 2 5 4" xfId="2409" xr:uid="{838864D8-34CC-4612-B7F7-D3E1E4BC197C}"/>
    <cellStyle name="Currency 5 2 2 2 6" xfId="2822" xr:uid="{EF19F491-4641-4EAD-92C4-4435BC61D63E}"/>
    <cellStyle name="Currency 5 2 2 2 6 2" xfId="5051" xr:uid="{03CB0CE3-631B-40B8-B46C-97CAC706C02A}"/>
    <cellStyle name="Currency 5 2 2 2 6 2 2" xfId="9269" xr:uid="{3E6590E8-40DF-4261-B94C-30DF0F040088}"/>
    <cellStyle name="Currency 5 2 2 2 6 3" xfId="7124" xr:uid="{7C01DE6E-577A-4D91-8714-76F9440DC923}"/>
    <cellStyle name="Currency 5 2 2 2 7" xfId="3235" xr:uid="{067EED4B-7F5F-4CE4-8EE7-ABE1AA11EBA6}"/>
    <cellStyle name="Currency 5 2 2 2 7 2" xfId="5464" xr:uid="{CA39276F-CB7F-416C-A202-DD59183D0AA2}"/>
    <cellStyle name="Currency 5 2 2 2 7 2 2" xfId="9682" xr:uid="{FFD6622B-72E0-4A78-BAD3-502CB98208FD}"/>
    <cellStyle name="Currency 5 2 2 2 7 3" xfId="7537" xr:uid="{61AE7243-19DF-4D91-AAAE-88A0ED36DC98}"/>
    <cellStyle name="Currency 5 2 2 2 8" xfId="3670" xr:uid="{C8BBA69E-1877-499F-A581-1E43E10041C3}"/>
    <cellStyle name="Currency 5 2 2 2 8 2" xfId="7950" xr:uid="{08B1CDC9-8162-4676-8C36-E025483081D0}"/>
    <cellStyle name="Currency 5 2 2 2 9" xfId="3967" xr:uid="{95F513C7-2161-48C0-B9FB-86F5AF459C0C}"/>
    <cellStyle name="Currency 5 2 2 3" xfId="201" xr:uid="{00000000-0005-0000-0000-000063010000}"/>
    <cellStyle name="Currency 5 2 2 3 10" xfId="5888" xr:uid="{F51AF043-967B-43B5-9E27-49B370DB2293}"/>
    <cellStyle name="Currency 5 2 2 3 11" xfId="1584" xr:uid="{B8359728-9623-4FDC-B51E-DA67C47B2A58}"/>
    <cellStyle name="Currency 5 2 2 3 2" xfId="202" xr:uid="{00000000-0005-0000-0000-000064010000}"/>
    <cellStyle name="Currency 5 2 2 3 2 10" xfId="1585" xr:uid="{46592AA3-C5BF-4D63-8522-973080E461AA}"/>
    <cellStyle name="Currency 5 2 2 3 2 2" xfId="735" xr:uid="{00000000-0005-0000-0000-000065010000}"/>
    <cellStyle name="Currency 5 2 2 3 2 2 2" xfId="4230" xr:uid="{99B9AF71-4B57-4D2F-B8FB-D976423C7DED}"/>
    <cellStyle name="Currency 5 2 2 3 2 2 2 2" xfId="8448" xr:uid="{5DE85425-2982-4308-8072-2C1034D8FF46}"/>
    <cellStyle name="Currency 5 2 2 3 2 2 3" xfId="6303" xr:uid="{21CCA66F-5CE3-4A51-992F-1CA7BBC78ABE}"/>
    <cellStyle name="Currency 5 2 2 3 2 2 4" xfId="2000" xr:uid="{5756ED16-6608-459B-A54D-289585195567}"/>
    <cellStyle name="Currency 5 2 2 3 2 3" xfId="1172" xr:uid="{D2829F09-96B4-42B9-B091-865574BF2D13}"/>
    <cellStyle name="Currency 5 2 2 3 2 3 2" xfId="4643" xr:uid="{D02647CD-73F5-4CD0-9874-F95D262CC038}"/>
    <cellStyle name="Currency 5 2 2 3 2 3 2 2" xfId="8861" xr:uid="{B1147E6D-4BB1-4083-A100-31033F6483E5}"/>
    <cellStyle name="Currency 5 2 2 3 2 3 3" xfId="6716" xr:uid="{692EBB1E-170C-4553-A606-558561702691}"/>
    <cellStyle name="Currency 5 2 2 3 2 3 4" xfId="2414" xr:uid="{4E6AF170-FD36-41AF-B214-6F3D68D34D58}"/>
    <cellStyle name="Currency 5 2 2 3 2 4" xfId="2827" xr:uid="{0DB85D5F-8EDE-4CB4-903C-EC2A7E66CA75}"/>
    <cellStyle name="Currency 5 2 2 3 2 4 2" xfId="5056" xr:uid="{9C31BB96-8862-4B8A-B7A5-91D15801D719}"/>
    <cellStyle name="Currency 5 2 2 3 2 4 2 2" xfId="9274" xr:uid="{8AC3BFAC-51C6-455C-87F9-00BC2DA6389F}"/>
    <cellStyle name="Currency 5 2 2 3 2 4 3" xfId="7129" xr:uid="{636B3C88-1D33-4CA5-9908-2FFC5D6FD467}"/>
    <cellStyle name="Currency 5 2 2 3 2 5" xfId="3240" xr:uid="{86A1CADF-B145-44B4-B498-FDBB623A3D1A}"/>
    <cellStyle name="Currency 5 2 2 3 2 5 2" xfId="5469" xr:uid="{5D26CA9C-40AB-4FCC-917F-87A198CF4401}"/>
    <cellStyle name="Currency 5 2 2 3 2 5 2 2" xfId="9687" xr:uid="{57918F36-D4BD-4E39-B358-6540842F7F70}"/>
    <cellStyle name="Currency 5 2 2 3 2 5 3" xfId="7542" xr:uid="{8834ECED-F1D0-4966-A829-537095272151}"/>
    <cellStyle name="Currency 5 2 2 3 2 6" xfId="3675" xr:uid="{3F1D3961-6CB9-4DB3-AE50-97E375F1D140}"/>
    <cellStyle name="Currency 5 2 2 3 2 6 2" xfId="7955" xr:uid="{73795801-6CEF-41F0-818F-2A401D059049}"/>
    <cellStyle name="Currency 5 2 2 3 2 7" xfId="3972" xr:uid="{0E9D004C-6EE4-489C-A33D-F737BFB6B9FE}"/>
    <cellStyle name="Currency 5 2 2 3 2 8" xfId="4053" xr:uid="{FE367F29-5685-4E8C-B953-3056B71796D0}"/>
    <cellStyle name="Currency 5 2 2 3 2 8 2" xfId="8272" xr:uid="{E1B40C41-53D7-4E5C-ABCC-D6452D226D06}"/>
    <cellStyle name="Currency 5 2 2 3 2 9" xfId="5889" xr:uid="{FD878418-442C-4DCC-B2D2-3FB666F566CC}"/>
    <cellStyle name="Currency 5 2 2 3 3" xfId="734" xr:uid="{00000000-0005-0000-0000-000066010000}"/>
    <cellStyle name="Currency 5 2 2 3 3 2" xfId="4229" xr:uid="{247282F0-D3A2-498F-8362-A0FC08D3310B}"/>
    <cellStyle name="Currency 5 2 2 3 3 2 2" xfId="8447" xr:uid="{696A9DF4-B3F6-4AD7-BA84-EEB69285A485}"/>
    <cellStyle name="Currency 5 2 2 3 3 3" xfId="6302" xr:uid="{EC018DAD-D06E-4659-AF4A-B68C0223963F}"/>
    <cellStyle name="Currency 5 2 2 3 3 4" xfId="1999" xr:uid="{10F62323-2E85-45E3-AF56-AE7E7C351F7A}"/>
    <cellStyle name="Currency 5 2 2 3 4" xfId="1171" xr:uid="{54E7F83A-D3AC-49C3-B59C-E70CDC786184}"/>
    <cellStyle name="Currency 5 2 2 3 4 2" xfId="4642" xr:uid="{1D64FF09-B560-4647-B31E-5096C21105EC}"/>
    <cellStyle name="Currency 5 2 2 3 4 2 2" xfId="8860" xr:uid="{ECD24356-AAE0-4086-B78C-88F357B10997}"/>
    <cellStyle name="Currency 5 2 2 3 4 3" xfId="6715" xr:uid="{1BBFCD19-E6A3-4EC2-AA75-4940BFBD6B0A}"/>
    <cellStyle name="Currency 5 2 2 3 4 4" xfId="2413" xr:uid="{C23128A7-4B01-4D8A-A510-829412124CB1}"/>
    <cellStyle name="Currency 5 2 2 3 5" xfId="2826" xr:uid="{5BCEF4B4-E4CD-45F1-88C2-EBA1D28CC482}"/>
    <cellStyle name="Currency 5 2 2 3 5 2" xfId="5055" xr:uid="{6E7545FA-085D-4105-93F3-8E076BA4EB4D}"/>
    <cellStyle name="Currency 5 2 2 3 5 2 2" xfId="9273" xr:uid="{7A7CD93A-0BBC-44BD-A69A-166C05DEA592}"/>
    <cellStyle name="Currency 5 2 2 3 5 3" xfId="7128" xr:uid="{BADE6D3C-CEC8-4652-9CCF-8A2C77515872}"/>
    <cellStyle name="Currency 5 2 2 3 6" xfId="3239" xr:uid="{7401FEA3-F51A-4633-A83F-B3206D44C6A2}"/>
    <cellStyle name="Currency 5 2 2 3 6 2" xfId="5468" xr:uid="{174F8174-0A88-4D49-97CA-1FBC75AF56B2}"/>
    <cellStyle name="Currency 5 2 2 3 6 2 2" xfId="9686" xr:uid="{DE97DD9A-12E6-4308-8B6F-68F1F5CF042A}"/>
    <cellStyle name="Currency 5 2 2 3 6 3" xfId="7541" xr:uid="{2A4FA473-F703-47C6-87BD-90A1F29BE235}"/>
    <cellStyle name="Currency 5 2 2 3 7" xfId="3674" xr:uid="{75C9BD85-A511-4CBA-9465-D65DA690A662}"/>
    <cellStyle name="Currency 5 2 2 3 7 2" xfId="7954" xr:uid="{7F06725B-5BB6-4718-B723-FC6F8EAAA543}"/>
    <cellStyle name="Currency 5 2 2 3 8" xfId="3971" xr:uid="{753D37C8-DF7D-43CA-B656-34A21FF2816A}"/>
    <cellStyle name="Currency 5 2 2 3 9" xfId="4052" xr:uid="{0829CA27-3BDB-480A-A610-F85A954AC15F}"/>
    <cellStyle name="Currency 5 2 2 3 9 2" xfId="8271" xr:uid="{D4BB6FB8-A67C-4693-B03A-E16A33E8EA64}"/>
    <cellStyle name="Currency 5 2 2 4" xfId="203" xr:uid="{00000000-0005-0000-0000-000067010000}"/>
    <cellStyle name="Currency 5 2 2 4 10" xfId="1586" xr:uid="{DB599EA6-4816-4830-99EE-D3F38FE37E57}"/>
    <cellStyle name="Currency 5 2 2 4 2" xfId="736" xr:uid="{00000000-0005-0000-0000-000068010000}"/>
    <cellStyle name="Currency 5 2 2 4 2 2" xfId="4231" xr:uid="{56F813B9-9590-474D-AA1E-AF3F23C7F226}"/>
    <cellStyle name="Currency 5 2 2 4 2 2 2" xfId="8449" xr:uid="{93E40A38-18C0-4C7E-BF98-E684C89806F7}"/>
    <cellStyle name="Currency 5 2 2 4 2 3" xfId="6304" xr:uid="{78A30207-89DC-4B36-8ED7-DD925C584D15}"/>
    <cellStyle name="Currency 5 2 2 4 2 4" xfId="2001" xr:uid="{4E4D9C1D-1EEE-4599-BD5A-532A06083FBB}"/>
    <cellStyle name="Currency 5 2 2 4 3" xfId="1173" xr:uid="{063B5084-4F44-40F9-AB3F-773C91F1F213}"/>
    <cellStyle name="Currency 5 2 2 4 3 2" xfId="4644" xr:uid="{7E931BE1-6D32-48A1-80AC-B7627DC83BB0}"/>
    <cellStyle name="Currency 5 2 2 4 3 2 2" xfId="8862" xr:uid="{C47CFA25-F3C3-4EB0-A3A3-74A6F92A53DC}"/>
    <cellStyle name="Currency 5 2 2 4 3 3" xfId="6717" xr:uid="{6FB41D22-2AA3-48DA-A9DE-5EA2AADBED82}"/>
    <cellStyle name="Currency 5 2 2 4 3 4" xfId="2415" xr:uid="{7F52748B-53B4-4472-B5E2-A4EF7AEC0870}"/>
    <cellStyle name="Currency 5 2 2 4 4" xfId="2828" xr:uid="{18C66D1D-9DFF-441B-8A17-F266027068CD}"/>
    <cellStyle name="Currency 5 2 2 4 4 2" xfId="5057" xr:uid="{1A0B3BCC-842A-4086-A08E-6FCBF14CFA78}"/>
    <cellStyle name="Currency 5 2 2 4 4 2 2" xfId="9275" xr:uid="{5ACA1253-3C2A-4D99-BA1C-BF956A863A41}"/>
    <cellStyle name="Currency 5 2 2 4 4 3" xfId="7130" xr:uid="{5491C1A8-BE45-46D3-A146-E3260B10CE67}"/>
    <cellStyle name="Currency 5 2 2 4 5" xfId="3241" xr:uid="{3F9BC2E8-97D9-45F9-A4F8-F0D60A5893CF}"/>
    <cellStyle name="Currency 5 2 2 4 5 2" xfId="5470" xr:uid="{0AC4B862-3CB0-4718-B56A-294F2A7B193B}"/>
    <cellStyle name="Currency 5 2 2 4 5 2 2" xfId="9688" xr:uid="{4D24204F-5715-46DB-9290-F362BE74277B}"/>
    <cellStyle name="Currency 5 2 2 4 5 3" xfId="7543" xr:uid="{7C390F15-247C-4DFE-88A8-87A8DA587C19}"/>
    <cellStyle name="Currency 5 2 2 4 6" xfId="3676" xr:uid="{EF997309-1FA4-44A0-819E-9F77C938D522}"/>
    <cellStyle name="Currency 5 2 2 4 6 2" xfId="7956" xr:uid="{23690E37-BB4F-48F6-9B41-C161E32D485B}"/>
    <cellStyle name="Currency 5 2 2 4 7" xfId="3973" xr:uid="{2519D692-16F1-4A5E-883A-3C4B1D808058}"/>
    <cellStyle name="Currency 5 2 2 4 8" xfId="4054" xr:uid="{6CCE8C87-18BC-437B-BA37-DD7BAEF1169A}"/>
    <cellStyle name="Currency 5 2 2 4 8 2" xfId="8273" xr:uid="{3DC1F85F-4D01-4321-A768-22C9E6FDCC00}"/>
    <cellStyle name="Currency 5 2 2 4 9" xfId="5890" xr:uid="{DC749285-2BF6-44F2-9B01-EED805AA19BA}"/>
    <cellStyle name="Currency 5 2 2 5" xfId="204" xr:uid="{00000000-0005-0000-0000-000069010000}"/>
    <cellStyle name="Currency 5 2 2 5 10" xfId="1587" xr:uid="{2FFEE204-A4EA-4439-A47D-A594A9D30B55}"/>
    <cellStyle name="Currency 5 2 2 5 2" xfId="737" xr:uid="{00000000-0005-0000-0000-00006A010000}"/>
    <cellStyle name="Currency 5 2 2 5 2 2" xfId="4232" xr:uid="{C91A2C7D-43AD-4B83-96DE-702B6F7C9A04}"/>
    <cellStyle name="Currency 5 2 2 5 2 2 2" xfId="8450" xr:uid="{D3DD116D-AFF1-4E93-A7E0-D82D72BBBAF8}"/>
    <cellStyle name="Currency 5 2 2 5 2 3" xfId="6305" xr:uid="{93966241-7239-4AD7-9EA7-BFDBF5DD2C8E}"/>
    <cellStyle name="Currency 5 2 2 5 2 4" xfId="2002" xr:uid="{23FDF1A2-084C-49AE-AEA2-563E4C52D176}"/>
    <cellStyle name="Currency 5 2 2 5 3" xfId="1174" xr:uid="{41388A4F-236F-484C-8C8C-F349AE300878}"/>
    <cellStyle name="Currency 5 2 2 5 3 2" xfId="4645" xr:uid="{1D906DEE-4E64-4B0C-A557-6C08EF80B3D2}"/>
    <cellStyle name="Currency 5 2 2 5 3 2 2" xfId="8863" xr:uid="{A29F6234-F249-48F4-A17F-4690F412068A}"/>
    <cellStyle name="Currency 5 2 2 5 3 3" xfId="6718" xr:uid="{1B311B5D-9E86-4553-9B58-9928787682D0}"/>
    <cellStyle name="Currency 5 2 2 5 3 4" xfId="2416" xr:uid="{9FDD7DD6-25A2-4943-9C6F-370187CBF7CC}"/>
    <cellStyle name="Currency 5 2 2 5 4" xfId="2829" xr:uid="{22B4AFE0-BCB5-454A-9C48-FECE7ADEDF68}"/>
    <cellStyle name="Currency 5 2 2 5 4 2" xfId="5058" xr:uid="{32768713-EAFE-4D6C-A6B7-94E532BB91C2}"/>
    <cellStyle name="Currency 5 2 2 5 4 2 2" xfId="9276" xr:uid="{BF56F8AA-EDCB-453A-B81D-6B525E316154}"/>
    <cellStyle name="Currency 5 2 2 5 4 3" xfId="7131" xr:uid="{E9A26359-91D8-485B-89FB-7B2AD4B881A3}"/>
    <cellStyle name="Currency 5 2 2 5 5" xfId="3242" xr:uid="{933353D3-96D1-4338-ABD8-38B1DF2455E7}"/>
    <cellStyle name="Currency 5 2 2 5 5 2" xfId="5471" xr:uid="{3407A7D8-D9A4-449B-9D8F-3DAFC5C22FFC}"/>
    <cellStyle name="Currency 5 2 2 5 5 2 2" xfId="9689" xr:uid="{3B0FC5F2-99A5-424B-91BB-E4BB7D65B63A}"/>
    <cellStyle name="Currency 5 2 2 5 5 3" xfId="7544" xr:uid="{45BC7E01-88F4-4CB4-95AC-067D8F48D643}"/>
    <cellStyle name="Currency 5 2 2 5 6" xfId="3677" xr:uid="{724FB87C-3159-4F8E-ADD5-5BCBBDE98CFD}"/>
    <cellStyle name="Currency 5 2 2 5 6 2" xfId="7957" xr:uid="{67BE2FE9-9C3F-490D-9E5C-BC1DCB26C800}"/>
    <cellStyle name="Currency 5 2 2 5 7" xfId="3974" xr:uid="{5521E1C2-6E2E-48B5-BB2D-D5B6E5499903}"/>
    <cellStyle name="Currency 5 2 2 5 8" xfId="4055" xr:uid="{9022744C-FE16-4222-8D9E-566DD6379579}"/>
    <cellStyle name="Currency 5 2 2 5 8 2" xfId="8274" xr:uid="{9455F83E-0EC2-4779-B1C0-469AF603941A}"/>
    <cellStyle name="Currency 5 2 2 5 9" xfId="5891" xr:uid="{2A85D14C-A8A6-46D9-B29B-1E09FFFED740}"/>
    <cellStyle name="Currency 5 2 3" xfId="205" xr:uid="{00000000-0005-0000-0000-00006B010000}"/>
    <cellStyle name="Currency 5 2 3 2" xfId="738" xr:uid="{00000000-0005-0000-0000-00006C010000}"/>
    <cellStyle name="Currency 5 2 4" xfId="206" xr:uid="{00000000-0005-0000-0000-00006D010000}"/>
    <cellStyle name="Currency 5 2 4 10" xfId="5892" xr:uid="{DF03BA7B-5DEC-4204-B481-51D7C66A0120}"/>
    <cellStyle name="Currency 5 2 4 11" xfId="1588" xr:uid="{A1F150E1-6130-4FA6-85D6-6FA90C098142}"/>
    <cellStyle name="Currency 5 2 4 2" xfId="207" xr:uid="{00000000-0005-0000-0000-00006E010000}"/>
    <cellStyle name="Currency 5 2 4 2 10" xfId="1589" xr:uid="{4B9CB02E-21C6-4098-989B-E61BADB4DB53}"/>
    <cellStyle name="Currency 5 2 4 2 2" xfId="740" xr:uid="{00000000-0005-0000-0000-00006F010000}"/>
    <cellStyle name="Currency 5 2 4 2 2 2" xfId="4234" xr:uid="{050B11B7-E290-4A9D-8696-41E932E9F57D}"/>
    <cellStyle name="Currency 5 2 4 2 2 2 2" xfId="8452" xr:uid="{D343B67D-7FBB-450D-99FE-0B091C090E09}"/>
    <cellStyle name="Currency 5 2 4 2 2 3" xfId="6307" xr:uid="{DED6311D-3D76-4281-8CAA-24F75C990BA2}"/>
    <cellStyle name="Currency 5 2 4 2 2 4" xfId="2004" xr:uid="{41D7C093-0818-4326-9111-43634E06863E}"/>
    <cellStyle name="Currency 5 2 4 2 3" xfId="1176" xr:uid="{4174D4F2-50DC-4B42-B762-CB43E12EE11F}"/>
    <cellStyle name="Currency 5 2 4 2 3 2" xfId="4647" xr:uid="{5560BC2B-B556-4F7B-A404-6E60023255D2}"/>
    <cellStyle name="Currency 5 2 4 2 3 2 2" xfId="8865" xr:uid="{E72217BA-ECFC-4A37-B1D5-9E80C7831DAA}"/>
    <cellStyle name="Currency 5 2 4 2 3 3" xfId="6720" xr:uid="{1FC6C777-F798-49BA-A858-C3DDB9AD6A82}"/>
    <cellStyle name="Currency 5 2 4 2 3 4" xfId="2418" xr:uid="{FF62E26F-B925-494C-8100-3ECD28B4518A}"/>
    <cellStyle name="Currency 5 2 4 2 4" xfId="2831" xr:uid="{E1FB6AB6-E62C-44D8-9ED7-1890610C060C}"/>
    <cellStyle name="Currency 5 2 4 2 4 2" xfId="5060" xr:uid="{82F20C50-AEF4-443A-909D-715D1063EDD2}"/>
    <cellStyle name="Currency 5 2 4 2 4 2 2" xfId="9278" xr:uid="{287DEBA4-5A3E-41F5-8479-E16F8E334BAF}"/>
    <cellStyle name="Currency 5 2 4 2 4 3" xfId="7133" xr:uid="{CF1E9102-4FEB-4B47-9331-C8E8E5A75EA7}"/>
    <cellStyle name="Currency 5 2 4 2 5" xfId="3244" xr:uid="{38778090-1B68-422E-9C48-A9555A5DDE7F}"/>
    <cellStyle name="Currency 5 2 4 2 5 2" xfId="5473" xr:uid="{818F3E44-3699-44D5-8605-BB011857EB15}"/>
    <cellStyle name="Currency 5 2 4 2 5 2 2" xfId="9691" xr:uid="{13DF53C3-F01F-4011-B708-12DFD9E370B7}"/>
    <cellStyle name="Currency 5 2 4 2 5 3" xfId="7546" xr:uid="{F55810FF-6337-47E7-8511-EBEB5EADA273}"/>
    <cellStyle name="Currency 5 2 4 2 6" xfId="3679" xr:uid="{0181BD2A-71A7-4FC4-BF5B-612F967D71ED}"/>
    <cellStyle name="Currency 5 2 4 2 6 2" xfId="7959" xr:uid="{C0020D11-871D-4F65-9AAE-CA5DEAFC4156}"/>
    <cellStyle name="Currency 5 2 4 2 7" xfId="3976" xr:uid="{30EF76F5-F53A-44FC-A8EF-1E1E18B84A36}"/>
    <cellStyle name="Currency 5 2 4 2 8" xfId="4057" xr:uid="{4954A88C-F85D-468D-8BAF-383187C7F3E0}"/>
    <cellStyle name="Currency 5 2 4 2 8 2" xfId="8276" xr:uid="{B91B4525-C321-4922-A031-7A535763FE4F}"/>
    <cellStyle name="Currency 5 2 4 2 9" xfId="5893" xr:uid="{07DB7B69-2288-46EB-BAE5-C056D6DDAA92}"/>
    <cellStyle name="Currency 5 2 4 3" xfId="739" xr:uid="{00000000-0005-0000-0000-000070010000}"/>
    <cellStyle name="Currency 5 2 4 3 2" xfId="4233" xr:uid="{57CF08F3-4958-4125-8004-56290B133157}"/>
    <cellStyle name="Currency 5 2 4 3 2 2" xfId="8451" xr:uid="{29AAFC83-22EA-4E96-BAD5-8DB3E5151A3A}"/>
    <cellStyle name="Currency 5 2 4 3 3" xfId="6306" xr:uid="{3B86DC9C-6367-4F10-AEFD-CE061FB69398}"/>
    <cellStyle name="Currency 5 2 4 3 4" xfId="2003" xr:uid="{12D15A34-77D8-42F0-B275-DB2F82BDED31}"/>
    <cellStyle name="Currency 5 2 4 4" xfId="1175" xr:uid="{4825B344-2F85-4795-A477-880E7E218C91}"/>
    <cellStyle name="Currency 5 2 4 4 2" xfId="4646" xr:uid="{95311B5E-4321-486A-8079-FBE50C8FBC20}"/>
    <cellStyle name="Currency 5 2 4 4 2 2" xfId="8864" xr:uid="{32D2FCB9-D95C-4CF5-9CE0-E6D1E392D1FF}"/>
    <cellStyle name="Currency 5 2 4 4 3" xfId="6719" xr:uid="{8C5F83CC-E88B-4EC6-BA1F-3865C601E1B8}"/>
    <cellStyle name="Currency 5 2 4 4 4" xfId="2417" xr:uid="{7FBBA78A-E20B-4E42-8755-C8494FE65323}"/>
    <cellStyle name="Currency 5 2 4 5" xfId="2830" xr:uid="{0AA015D2-08AC-41B4-8C9A-BBE8CA465A49}"/>
    <cellStyle name="Currency 5 2 4 5 2" xfId="5059" xr:uid="{6BB1EC48-6E3D-4745-ABBC-FD15F02BCF90}"/>
    <cellStyle name="Currency 5 2 4 5 2 2" xfId="9277" xr:uid="{C1CEC112-1493-4E1A-A74B-46CA43487E67}"/>
    <cellStyle name="Currency 5 2 4 5 3" xfId="7132" xr:uid="{F64411BB-18A9-4AA3-A367-1DBAA1D47E87}"/>
    <cellStyle name="Currency 5 2 4 6" xfId="3243" xr:uid="{65CEE11A-FA33-4FC8-ABCC-0BCC088B9794}"/>
    <cellStyle name="Currency 5 2 4 6 2" xfId="5472" xr:uid="{5631494C-4517-4B33-829B-A0A65BC36C8F}"/>
    <cellStyle name="Currency 5 2 4 6 2 2" xfId="9690" xr:uid="{C1F71792-D2D6-47C5-92BD-20875B66425E}"/>
    <cellStyle name="Currency 5 2 4 6 3" xfId="7545" xr:uid="{A4868A23-A659-4C4E-9B18-589315270520}"/>
    <cellStyle name="Currency 5 2 4 7" xfId="3678" xr:uid="{50DC12A5-5678-4EF8-9B81-ADB5D516055A}"/>
    <cellStyle name="Currency 5 2 4 7 2" xfId="7958" xr:uid="{114E4ACF-8C8F-468C-AD3C-EF1BE18068BC}"/>
    <cellStyle name="Currency 5 2 4 8" xfId="3975" xr:uid="{180E187C-60C1-4DE7-AB1B-72164032AB62}"/>
    <cellStyle name="Currency 5 2 4 9" xfId="4056" xr:uid="{6090A581-3CBA-4724-9E09-A56AEDB09558}"/>
    <cellStyle name="Currency 5 2 4 9 2" xfId="8275" xr:uid="{2537C481-7DA5-4C00-9357-A7539CADCA79}"/>
    <cellStyle name="Currency 5 2 5" xfId="208" xr:uid="{00000000-0005-0000-0000-000071010000}"/>
    <cellStyle name="Currency 5 2 5 10" xfId="1590" xr:uid="{4ECE20A4-959C-47BF-A11B-3255D8946F2E}"/>
    <cellStyle name="Currency 5 2 5 2" xfId="741" xr:uid="{00000000-0005-0000-0000-000072010000}"/>
    <cellStyle name="Currency 5 2 5 2 2" xfId="4235" xr:uid="{91FB6EEF-3DA3-4B63-A75D-4313DB3A25AB}"/>
    <cellStyle name="Currency 5 2 5 2 2 2" xfId="8453" xr:uid="{02B8BEFF-6541-4929-A3C8-4D27C0587222}"/>
    <cellStyle name="Currency 5 2 5 2 3" xfId="6308" xr:uid="{14A21476-45F2-493E-9343-F50CAACCB340}"/>
    <cellStyle name="Currency 5 2 5 2 4" xfId="2005" xr:uid="{E0DD15C1-BE02-4787-B091-DF01B895D3E3}"/>
    <cellStyle name="Currency 5 2 5 3" xfId="1177" xr:uid="{ED214118-0237-456A-871C-4A2638FF3855}"/>
    <cellStyle name="Currency 5 2 5 3 2" xfId="4648" xr:uid="{3FB4B945-DBCB-424E-82DD-9E32FAC0A473}"/>
    <cellStyle name="Currency 5 2 5 3 2 2" xfId="8866" xr:uid="{BC6F689C-0482-49DF-BD28-F017D2A87178}"/>
    <cellStyle name="Currency 5 2 5 3 3" xfId="6721" xr:uid="{8019DFEB-E05C-4C46-B9A3-92D0B45E1D67}"/>
    <cellStyle name="Currency 5 2 5 3 4" xfId="2419" xr:uid="{383B4DA7-9C83-4D68-B1CF-57B061FBC5DB}"/>
    <cellStyle name="Currency 5 2 5 4" xfId="2832" xr:uid="{874AB40B-8AC0-4ED4-B5DE-CB636420B942}"/>
    <cellStyle name="Currency 5 2 5 4 2" xfId="5061" xr:uid="{357C6FF8-06F7-4F27-826A-BEB8690D07C1}"/>
    <cellStyle name="Currency 5 2 5 4 2 2" xfId="9279" xr:uid="{1279F712-8CDA-4EF5-AD40-C7E63551B7F7}"/>
    <cellStyle name="Currency 5 2 5 4 3" xfId="7134" xr:uid="{B3A42ADB-34B5-4195-9A66-A7C145B96EBA}"/>
    <cellStyle name="Currency 5 2 5 5" xfId="3245" xr:uid="{D3E7D0D9-115B-4976-B0D1-27FB316904AA}"/>
    <cellStyle name="Currency 5 2 5 5 2" xfId="5474" xr:uid="{C6D62A5C-C4C3-495A-B0AA-8EF0FA898D0A}"/>
    <cellStyle name="Currency 5 2 5 5 2 2" xfId="9692" xr:uid="{A88F9E77-E0D7-4BED-92B5-B3515F1E360B}"/>
    <cellStyle name="Currency 5 2 5 5 3" xfId="7547" xr:uid="{066C6E73-E643-47A9-86D6-92A0B96E2868}"/>
    <cellStyle name="Currency 5 2 5 6" xfId="3680" xr:uid="{82A35E26-A455-4D8C-BA26-DBF9A0AC8B3B}"/>
    <cellStyle name="Currency 5 2 5 6 2" xfId="7960" xr:uid="{EF892666-6764-4710-B193-161DB86D8FDA}"/>
    <cellStyle name="Currency 5 2 5 7" xfId="3977" xr:uid="{C9018CC4-6394-4620-A42F-A20AFD9B6991}"/>
    <cellStyle name="Currency 5 2 5 8" xfId="4058" xr:uid="{D0A8AFD0-43AE-4ACD-9AB3-B78371FF0E0B}"/>
    <cellStyle name="Currency 5 2 5 8 2" xfId="8277" xr:uid="{F0B06A8D-B9EB-4CB4-9DCD-B89A8CC32193}"/>
    <cellStyle name="Currency 5 2 5 9" xfId="5894" xr:uid="{9E8E04AF-10B1-415C-A0A4-EDD53B5DC9C6}"/>
    <cellStyle name="Currency 5 2 6" xfId="209" xr:uid="{00000000-0005-0000-0000-000073010000}"/>
    <cellStyle name="Currency 5 2 6 10" xfId="1591" xr:uid="{3098F907-F965-42DF-B6DB-07B3F3FADFD8}"/>
    <cellStyle name="Currency 5 2 6 2" xfId="742" xr:uid="{00000000-0005-0000-0000-000074010000}"/>
    <cellStyle name="Currency 5 2 6 2 2" xfId="4236" xr:uid="{B200F25F-3B68-48B7-A563-13FC96367121}"/>
    <cellStyle name="Currency 5 2 6 2 2 2" xfId="8454" xr:uid="{FAB73A5D-EFBB-41AB-8C2C-50B32D18CEBA}"/>
    <cellStyle name="Currency 5 2 6 2 3" xfId="6309" xr:uid="{8BC075C8-0A81-422F-8665-FCAF36FC36DA}"/>
    <cellStyle name="Currency 5 2 6 2 4" xfId="2006" xr:uid="{FAAD9BF9-C0AB-4F17-9F6B-41DD33FF4C89}"/>
    <cellStyle name="Currency 5 2 6 3" xfId="1178" xr:uid="{97383685-E6E1-44B7-A786-0B42FDACCAF7}"/>
    <cellStyle name="Currency 5 2 6 3 2" xfId="4649" xr:uid="{35678D5A-B600-4DA6-8807-6269F9304A05}"/>
    <cellStyle name="Currency 5 2 6 3 2 2" xfId="8867" xr:uid="{B5FD7EE3-237B-42FC-A07E-A527FD4CA031}"/>
    <cellStyle name="Currency 5 2 6 3 3" xfId="6722" xr:uid="{88FB4317-BB25-42B6-ABDE-8234D251C306}"/>
    <cellStyle name="Currency 5 2 6 3 4" xfId="2420" xr:uid="{90403FAA-6824-4A39-8207-078DFC5B70B6}"/>
    <cellStyle name="Currency 5 2 6 4" xfId="2833" xr:uid="{3EE7EFD2-822B-44C6-A76F-965DBC3863B0}"/>
    <cellStyle name="Currency 5 2 6 4 2" xfId="5062" xr:uid="{ED8B2E51-2C0E-4DDF-B9CB-0349E1033F14}"/>
    <cellStyle name="Currency 5 2 6 4 2 2" xfId="9280" xr:uid="{C0DD9528-59A0-4501-B9D7-EFEF832D012E}"/>
    <cellStyle name="Currency 5 2 6 4 3" xfId="7135" xr:uid="{2AFA6286-280D-4903-80CB-FDF6AA34104E}"/>
    <cellStyle name="Currency 5 2 6 5" xfId="3246" xr:uid="{0FE60116-167F-435B-872F-CD4B95CF3BD2}"/>
    <cellStyle name="Currency 5 2 6 5 2" xfId="5475" xr:uid="{A65ADCD3-A194-4D34-BC9B-C6C972A819EE}"/>
    <cellStyle name="Currency 5 2 6 5 2 2" xfId="9693" xr:uid="{CAD9F12C-51C1-4373-BA5B-005A5192C0E2}"/>
    <cellStyle name="Currency 5 2 6 5 3" xfId="7548" xr:uid="{1FE7E09C-C5E4-406C-9D49-921A176EC795}"/>
    <cellStyle name="Currency 5 2 6 6" xfId="3681" xr:uid="{AD4ABD6A-D6F0-4FE8-836B-3960426C14AA}"/>
    <cellStyle name="Currency 5 2 6 6 2" xfId="7961" xr:uid="{63C7E0BC-95B0-46AB-BF09-3DDDB7E72D00}"/>
    <cellStyle name="Currency 5 2 6 7" xfId="3978" xr:uid="{A36B58D0-69E7-4741-BF6B-C14599F55105}"/>
    <cellStyle name="Currency 5 2 6 8" xfId="4059" xr:uid="{4CD873A7-3F91-458B-A447-83C4FCB52120}"/>
    <cellStyle name="Currency 5 2 6 8 2" xfId="8278" xr:uid="{D6172F4C-A2FD-49B9-A806-40319A9D54D4}"/>
    <cellStyle name="Currency 5 2 6 9" xfId="5895" xr:uid="{B129A9C7-536C-455A-B2B3-7C89BF499FE0}"/>
    <cellStyle name="Currency 5 2 7" xfId="729" xr:uid="{00000000-0005-0000-0000-000075010000}"/>
    <cellStyle name="Currency 5 3" xfId="210" xr:uid="{00000000-0005-0000-0000-000076010000}"/>
    <cellStyle name="Currency 5 3 2" xfId="211" xr:uid="{00000000-0005-0000-0000-000077010000}"/>
    <cellStyle name="Currency 5 3 2 10" xfId="4060" xr:uid="{489F7F03-ACC1-4046-8E6D-E86B49C8ED44}"/>
    <cellStyle name="Currency 5 3 2 10 2" xfId="8279" xr:uid="{4B7238AB-5F2F-41FF-B762-DC04F456B887}"/>
    <cellStyle name="Currency 5 3 2 11" xfId="5896" xr:uid="{B6714808-69D9-4E87-A635-34255C2F13F0}"/>
    <cellStyle name="Currency 5 3 2 12" xfId="1592" xr:uid="{8FDD3366-5FC3-490C-952E-33F35E2FDE8B}"/>
    <cellStyle name="Currency 5 3 2 2" xfId="212" xr:uid="{00000000-0005-0000-0000-000078010000}"/>
    <cellStyle name="Currency 5 3 2 2 10" xfId="5897" xr:uid="{F6346CB0-FC8A-4368-937B-7F24CD85F335}"/>
    <cellStyle name="Currency 5 3 2 2 11" xfId="1593" xr:uid="{F147BC92-7A72-44D4-8555-A12E62FBA004}"/>
    <cellStyle name="Currency 5 3 2 2 2" xfId="213" xr:uid="{00000000-0005-0000-0000-000079010000}"/>
    <cellStyle name="Currency 5 3 2 2 2 10" xfId="1594" xr:uid="{38195B61-6506-47F0-A0F6-61235BACF12A}"/>
    <cellStyle name="Currency 5 3 2 2 2 2" xfId="745" xr:uid="{00000000-0005-0000-0000-00007A010000}"/>
    <cellStyle name="Currency 5 3 2 2 2 2 2" xfId="4239" xr:uid="{086BC120-93B8-43E1-AFC7-CDBC5EAB521F}"/>
    <cellStyle name="Currency 5 3 2 2 2 2 2 2" xfId="8457" xr:uid="{BC0B3AFD-5827-4F20-8C27-3049A758ECEE}"/>
    <cellStyle name="Currency 5 3 2 2 2 2 3" xfId="6312" xr:uid="{6135A8ED-CC58-4644-A8E2-9AD5E01BBAD1}"/>
    <cellStyle name="Currency 5 3 2 2 2 2 4" xfId="2009" xr:uid="{F2DAF1A3-CD51-4F93-AD44-859F7C38252A}"/>
    <cellStyle name="Currency 5 3 2 2 2 3" xfId="1181" xr:uid="{7462E9F6-4BF6-461A-AAF5-3EBBEADB5DAF}"/>
    <cellStyle name="Currency 5 3 2 2 2 3 2" xfId="4652" xr:uid="{8DD5F330-2358-4595-970A-FB9E7A543843}"/>
    <cellStyle name="Currency 5 3 2 2 2 3 2 2" xfId="8870" xr:uid="{70B38237-140A-4A83-8715-A4E0E7057C8A}"/>
    <cellStyle name="Currency 5 3 2 2 2 3 3" xfId="6725" xr:uid="{F524ADB5-4226-455A-B518-6B72F7FA91C1}"/>
    <cellStyle name="Currency 5 3 2 2 2 3 4" xfId="2423" xr:uid="{EA09769A-56C9-400E-B5EB-91120AAFD19B}"/>
    <cellStyle name="Currency 5 3 2 2 2 4" xfId="2836" xr:uid="{A6ED1DD7-86AC-4BB8-9860-0C9113AA2F06}"/>
    <cellStyle name="Currency 5 3 2 2 2 4 2" xfId="5065" xr:uid="{97D07850-E529-40CA-A67E-235BBB0D4005}"/>
    <cellStyle name="Currency 5 3 2 2 2 4 2 2" xfId="9283" xr:uid="{80C96497-775D-4306-8DED-CEC9A4E8C7B3}"/>
    <cellStyle name="Currency 5 3 2 2 2 4 3" xfId="7138" xr:uid="{97066650-9B22-44A1-9AE6-5E8BE808557E}"/>
    <cellStyle name="Currency 5 3 2 2 2 5" xfId="3249" xr:uid="{0B70960E-3E6A-4B17-B818-EBACD9C5E4CA}"/>
    <cellStyle name="Currency 5 3 2 2 2 5 2" xfId="5478" xr:uid="{A421FE25-BA2D-4088-841C-446935CB2898}"/>
    <cellStyle name="Currency 5 3 2 2 2 5 2 2" xfId="9696" xr:uid="{4033E26E-BAC6-4E03-BAF6-987D76A435DE}"/>
    <cellStyle name="Currency 5 3 2 2 2 5 3" xfId="7551" xr:uid="{B08AC52C-6C2C-4252-9104-3CCB68D0D750}"/>
    <cellStyle name="Currency 5 3 2 2 2 6" xfId="3684" xr:uid="{D2752AE4-FD1C-41C3-83FC-6048872D34A2}"/>
    <cellStyle name="Currency 5 3 2 2 2 6 2" xfId="7964" xr:uid="{AB48F1B3-AC12-40F5-81E3-6CD04FE47742}"/>
    <cellStyle name="Currency 5 3 2 2 2 7" xfId="3981" xr:uid="{64E5C211-34FE-4075-9B43-8C155971E84B}"/>
    <cellStyle name="Currency 5 3 2 2 2 8" xfId="4062" xr:uid="{ABB083BC-EE28-420D-B0D4-BDC1E2D7EBD0}"/>
    <cellStyle name="Currency 5 3 2 2 2 8 2" xfId="8281" xr:uid="{DE3D0FE9-ED81-43F3-904C-1AD31CCA94AA}"/>
    <cellStyle name="Currency 5 3 2 2 2 9" xfId="5898" xr:uid="{8B9A0FF0-F9EB-4C16-801F-CC8D193B4988}"/>
    <cellStyle name="Currency 5 3 2 2 3" xfId="744" xr:uid="{00000000-0005-0000-0000-00007B010000}"/>
    <cellStyle name="Currency 5 3 2 2 3 2" xfId="4238" xr:uid="{D563B15C-5938-4D23-8A88-C81A62C14035}"/>
    <cellStyle name="Currency 5 3 2 2 3 2 2" xfId="8456" xr:uid="{EE725137-614C-4F0A-A3F5-09F299336FD6}"/>
    <cellStyle name="Currency 5 3 2 2 3 3" xfId="6311" xr:uid="{EE20706E-A9BF-41A0-A490-D00667EB3C8D}"/>
    <cellStyle name="Currency 5 3 2 2 3 4" xfId="2008" xr:uid="{323012CB-BF9F-437A-8777-4950A00E87EF}"/>
    <cellStyle name="Currency 5 3 2 2 4" xfId="1180" xr:uid="{E2804041-A2E5-4D59-AB42-8569236F6F16}"/>
    <cellStyle name="Currency 5 3 2 2 4 2" xfId="4651" xr:uid="{93D3D3B5-155D-41E3-905A-0A69885CB874}"/>
    <cellStyle name="Currency 5 3 2 2 4 2 2" xfId="8869" xr:uid="{B50F39E3-4F99-4A4C-9A8D-549674030E2F}"/>
    <cellStyle name="Currency 5 3 2 2 4 3" xfId="6724" xr:uid="{8C363F7D-0555-4517-A826-46414C7D5D96}"/>
    <cellStyle name="Currency 5 3 2 2 4 4" xfId="2422" xr:uid="{F98A5D13-AE0C-4098-A265-7A30A7F3E657}"/>
    <cellStyle name="Currency 5 3 2 2 5" xfId="2835" xr:uid="{84D43976-C657-47C1-9148-9EFCFB5FE1F4}"/>
    <cellStyle name="Currency 5 3 2 2 5 2" xfId="5064" xr:uid="{14EEE42B-C5F0-4D5D-8CE7-09B463687DBD}"/>
    <cellStyle name="Currency 5 3 2 2 5 2 2" xfId="9282" xr:uid="{57C2A30C-5FFA-4426-AB34-DAC7F837CDF0}"/>
    <cellStyle name="Currency 5 3 2 2 5 3" xfId="7137" xr:uid="{38E05532-6C6A-4205-9EC5-7619425AACDF}"/>
    <cellStyle name="Currency 5 3 2 2 6" xfId="3248" xr:uid="{E36B2E75-B937-4F02-B9C8-3087A5299085}"/>
    <cellStyle name="Currency 5 3 2 2 6 2" xfId="5477" xr:uid="{CBB8FA54-9601-469A-92CA-BDEF4ACDE051}"/>
    <cellStyle name="Currency 5 3 2 2 6 2 2" xfId="9695" xr:uid="{C6262082-40CC-47BE-999F-6714BFE4A30C}"/>
    <cellStyle name="Currency 5 3 2 2 6 3" xfId="7550" xr:uid="{7E0EAD0C-03BB-4644-BF71-07A8479970FE}"/>
    <cellStyle name="Currency 5 3 2 2 7" xfId="3683" xr:uid="{04BD2E47-DBF5-4D95-9805-CA087CC29A1E}"/>
    <cellStyle name="Currency 5 3 2 2 7 2" xfId="7963" xr:uid="{A2C74FA2-A885-473C-B8A2-AC8AAB789E30}"/>
    <cellStyle name="Currency 5 3 2 2 8" xfId="3980" xr:uid="{584BC4F6-AC2A-4D5A-B903-D4A69544E170}"/>
    <cellStyle name="Currency 5 3 2 2 9" xfId="4061" xr:uid="{107B79CE-8B75-43BD-B814-B8D3DDEB6133}"/>
    <cellStyle name="Currency 5 3 2 2 9 2" xfId="8280" xr:uid="{E04C1704-3C2E-4A99-96F5-60F28B12E992}"/>
    <cellStyle name="Currency 5 3 2 3" xfId="214" xr:uid="{00000000-0005-0000-0000-00007C010000}"/>
    <cellStyle name="Currency 5 3 2 3 10" xfId="1595" xr:uid="{75CA42EF-8781-4870-96FA-09725E8A321B}"/>
    <cellStyle name="Currency 5 3 2 3 2" xfId="746" xr:uid="{00000000-0005-0000-0000-00007D010000}"/>
    <cellStyle name="Currency 5 3 2 3 2 2" xfId="4240" xr:uid="{30212190-A3E2-41A0-A4C9-E9CD65A8C1B6}"/>
    <cellStyle name="Currency 5 3 2 3 2 2 2" xfId="8458" xr:uid="{4FDFA6C9-AF13-4996-BE1E-81A6F580F753}"/>
    <cellStyle name="Currency 5 3 2 3 2 3" xfId="6313" xr:uid="{F86588FB-9F2C-41A2-8387-2EF8BED0D9FF}"/>
    <cellStyle name="Currency 5 3 2 3 2 4" xfId="2010" xr:uid="{6100FEF4-E570-44C9-AB4F-60B64F0D7893}"/>
    <cellStyle name="Currency 5 3 2 3 3" xfId="1182" xr:uid="{AD888F88-5EAB-402C-851D-FABF519E8AF3}"/>
    <cellStyle name="Currency 5 3 2 3 3 2" xfId="4653" xr:uid="{482F667F-14C0-4711-8B11-1995E3657392}"/>
    <cellStyle name="Currency 5 3 2 3 3 2 2" xfId="8871" xr:uid="{797A54AF-41B1-407A-8416-520F52F68E45}"/>
    <cellStyle name="Currency 5 3 2 3 3 3" xfId="6726" xr:uid="{39A112F0-0591-46B3-807D-77E489B1A382}"/>
    <cellStyle name="Currency 5 3 2 3 3 4" xfId="2424" xr:uid="{AD04C1EA-8ADC-4444-B86F-C8E2EF5E9460}"/>
    <cellStyle name="Currency 5 3 2 3 4" xfId="2837" xr:uid="{42469271-686E-4C54-B73A-5D7860A9E552}"/>
    <cellStyle name="Currency 5 3 2 3 4 2" xfId="5066" xr:uid="{10DC8FAF-5AD9-4280-9A08-021920CF7CB0}"/>
    <cellStyle name="Currency 5 3 2 3 4 2 2" xfId="9284" xr:uid="{39697C92-0F89-444B-B26F-DE0A258CB965}"/>
    <cellStyle name="Currency 5 3 2 3 4 3" xfId="7139" xr:uid="{5D3AE582-1828-48C0-8829-C1290DD5714A}"/>
    <cellStyle name="Currency 5 3 2 3 5" xfId="3250" xr:uid="{9EA17A00-0CC7-4C53-8293-0C461B10EC4B}"/>
    <cellStyle name="Currency 5 3 2 3 5 2" xfId="5479" xr:uid="{F9EC92DF-639F-4E30-8C1A-352E2B1436A4}"/>
    <cellStyle name="Currency 5 3 2 3 5 2 2" xfId="9697" xr:uid="{F4335DDB-5862-4B8A-B7DF-B3394844965C}"/>
    <cellStyle name="Currency 5 3 2 3 5 3" xfId="7552" xr:uid="{9C184FC5-81FC-494C-AFE4-A903D705EB09}"/>
    <cellStyle name="Currency 5 3 2 3 6" xfId="3685" xr:uid="{A81C4F5C-2DD1-43FB-B995-4F660C7E7C92}"/>
    <cellStyle name="Currency 5 3 2 3 6 2" xfId="7965" xr:uid="{E3B8D1F9-B504-44B1-9F25-6FE0E92E22E9}"/>
    <cellStyle name="Currency 5 3 2 3 7" xfId="3982" xr:uid="{31291307-0340-4B08-8F74-E0FAD94371D5}"/>
    <cellStyle name="Currency 5 3 2 3 8" xfId="4063" xr:uid="{1DC2D4C3-299F-49C6-9BB2-804F2DD2B828}"/>
    <cellStyle name="Currency 5 3 2 3 8 2" xfId="8282" xr:uid="{21C8E726-6CA9-4AD4-97D7-6FE55B6A995E}"/>
    <cellStyle name="Currency 5 3 2 3 9" xfId="5899" xr:uid="{43C89A45-9FDE-4701-9CC8-527F2B3F5748}"/>
    <cellStyle name="Currency 5 3 2 4" xfId="743" xr:uid="{00000000-0005-0000-0000-00007E010000}"/>
    <cellStyle name="Currency 5 3 2 4 2" xfId="4237" xr:uid="{BEEEF9F0-C8E6-4373-AC15-021C77024CDA}"/>
    <cellStyle name="Currency 5 3 2 4 2 2" xfId="8455" xr:uid="{973733B3-7E8B-4FFE-887B-04C09A8B9D3F}"/>
    <cellStyle name="Currency 5 3 2 4 3" xfId="6310" xr:uid="{5495438D-05D3-4B7A-814F-80A8E1589A16}"/>
    <cellStyle name="Currency 5 3 2 4 4" xfId="2007" xr:uid="{E6A5E394-2578-42C2-BB6B-723E322F84FC}"/>
    <cellStyle name="Currency 5 3 2 5" xfId="1179" xr:uid="{F6480C07-7710-4A78-BD2A-09076DEF51EE}"/>
    <cellStyle name="Currency 5 3 2 5 2" xfId="4650" xr:uid="{368DB6C8-36EE-40F5-A836-C1A91B9A04CF}"/>
    <cellStyle name="Currency 5 3 2 5 2 2" xfId="8868" xr:uid="{3E742B3B-CA8A-4BBF-9E94-C3F3D3732A73}"/>
    <cellStyle name="Currency 5 3 2 5 3" xfId="6723" xr:uid="{C40DF553-B39E-475D-8B3A-44261D28A43E}"/>
    <cellStyle name="Currency 5 3 2 5 4" xfId="2421" xr:uid="{B83F2E74-11D1-4CB1-A648-BA74C397DD94}"/>
    <cellStyle name="Currency 5 3 2 6" xfId="2834" xr:uid="{6E33F84A-02C2-4D47-BA89-B4B1672749C0}"/>
    <cellStyle name="Currency 5 3 2 6 2" xfId="5063" xr:uid="{86B19E86-D2ED-4A09-8FD0-C35E71E7A748}"/>
    <cellStyle name="Currency 5 3 2 6 2 2" xfId="9281" xr:uid="{871B1E81-9FB3-4B3A-92C4-CF797160A8F4}"/>
    <cellStyle name="Currency 5 3 2 6 3" xfId="7136" xr:uid="{506B2D78-6DF3-4AE9-B2F6-58E017EF4323}"/>
    <cellStyle name="Currency 5 3 2 7" xfId="3247" xr:uid="{C35C9E6E-8F22-4DAB-83AA-7EFF37D8378C}"/>
    <cellStyle name="Currency 5 3 2 7 2" xfId="5476" xr:uid="{C56EB5E7-9A2F-42C3-99F1-4F22A6822493}"/>
    <cellStyle name="Currency 5 3 2 7 2 2" xfId="9694" xr:uid="{5A3EA91F-2BA1-4C66-B8E6-097D2597EF98}"/>
    <cellStyle name="Currency 5 3 2 7 3" xfId="7549" xr:uid="{EE17FDAF-B5F4-4DA0-98DC-C3164208E45E}"/>
    <cellStyle name="Currency 5 3 2 8" xfId="3682" xr:uid="{76A163E3-33F4-4963-BE4D-72FA20947A93}"/>
    <cellStyle name="Currency 5 3 2 8 2" xfId="7962" xr:uid="{07E1B331-EA11-4D52-A2B1-30FA4A50DCF2}"/>
    <cellStyle name="Currency 5 3 2 9" xfId="3979" xr:uid="{DE3D4B2D-B683-4ED4-8105-8F3C1CD43C13}"/>
    <cellStyle name="Currency 5 3 3" xfId="215" xr:uid="{00000000-0005-0000-0000-00007F010000}"/>
    <cellStyle name="Currency 5 3 3 10" xfId="5900" xr:uid="{BB018026-1FA4-4777-8B8F-A481606DE9E5}"/>
    <cellStyle name="Currency 5 3 3 11" xfId="1596" xr:uid="{5BDF0A68-4349-427B-B896-3A5780140CB5}"/>
    <cellStyle name="Currency 5 3 3 2" xfId="216" xr:uid="{00000000-0005-0000-0000-000080010000}"/>
    <cellStyle name="Currency 5 3 3 2 10" xfId="1597" xr:uid="{D8C9B115-E3BE-4BC6-B689-945057C59695}"/>
    <cellStyle name="Currency 5 3 3 2 2" xfId="748" xr:uid="{00000000-0005-0000-0000-000081010000}"/>
    <cellStyle name="Currency 5 3 3 2 2 2" xfId="4242" xr:uid="{CB852B65-9E49-4D27-8540-6579467397D1}"/>
    <cellStyle name="Currency 5 3 3 2 2 2 2" xfId="8460" xr:uid="{F862853E-2C55-4BED-A618-C8D984F8B96A}"/>
    <cellStyle name="Currency 5 3 3 2 2 3" xfId="6315" xr:uid="{5E118214-C144-4CFA-86A9-940E30FB4D3A}"/>
    <cellStyle name="Currency 5 3 3 2 2 4" xfId="2012" xr:uid="{4E348A47-55FF-4286-9D53-40C23A5BBC45}"/>
    <cellStyle name="Currency 5 3 3 2 3" xfId="1184" xr:uid="{D9A1FBB0-F4DF-461E-A85F-2CB48575E676}"/>
    <cellStyle name="Currency 5 3 3 2 3 2" xfId="4655" xr:uid="{B88D9689-0217-49C1-9E2C-6F6A85FCAFC5}"/>
    <cellStyle name="Currency 5 3 3 2 3 2 2" xfId="8873" xr:uid="{0608AE84-5641-4738-9FE0-10E36BB1DE8D}"/>
    <cellStyle name="Currency 5 3 3 2 3 3" xfId="6728" xr:uid="{4C15B691-1BC7-4068-BBAD-30A7B0730736}"/>
    <cellStyle name="Currency 5 3 3 2 3 4" xfId="2426" xr:uid="{4F3FC56F-139A-4403-873D-06286D13D902}"/>
    <cellStyle name="Currency 5 3 3 2 4" xfId="2839" xr:uid="{12672A3A-A43A-4E91-BC5A-06D827082042}"/>
    <cellStyle name="Currency 5 3 3 2 4 2" xfId="5068" xr:uid="{94276217-C39A-44B7-B414-50F3328558E3}"/>
    <cellStyle name="Currency 5 3 3 2 4 2 2" xfId="9286" xr:uid="{C73BC467-655E-4442-9F26-43384DFB9AB0}"/>
    <cellStyle name="Currency 5 3 3 2 4 3" xfId="7141" xr:uid="{F2EF4DBA-2331-409C-A534-789325996C8D}"/>
    <cellStyle name="Currency 5 3 3 2 5" xfId="3252" xr:uid="{AF77EA70-1AD6-4527-8B57-2FFB79499BA9}"/>
    <cellStyle name="Currency 5 3 3 2 5 2" xfId="5481" xr:uid="{A891C0A1-1DAF-4EA3-9A80-FC2738D62107}"/>
    <cellStyle name="Currency 5 3 3 2 5 2 2" xfId="9699" xr:uid="{9D7A7E6E-C2AC-46BA-B96E-0CA53A6BE9B6}"/>
    <cellStyle name="Currency 5 3 3 2 5 3" xfId="7554" xr:uid="{71D69C79-FF8A-43C7-8430-D8D68D475C3E}"/>
    <cellStyle name="Currency 5 3 3 2 6" xfId="3687" xr:uid="{34334905-A3A7-475D-A10B-157C623CACD4}"/>
    <cellStyle name="Currency 5 3 3 2 6 2" xfId="7967" xr:uid="{2FADEB7A-9A99-4F3F-AC05-95E927824F36}"/>
    <cellStyle name="Currency 5 3 3 2 7" xfId="3984" xr:uid="{15F34CF6-CC25-408D-93AD-838E700965CE}"/>
    <cellStyle name="Currency 5 3 3 2 8" xfId="4065" xr:uid="{C8EC010E-1C04-4E74-96F6-75D371723FD0}"/>
    <cellStyle name="Currency 5 3 3 2 8 2" xfId="8284" xr:uid="{C0938D5E-41E3-402D-9286-8022DF5CD6C3}"/>
    <cellStyle name="Currency 5 3 3 2 9" xfId="5901" xr:uid="{E5E24D1D-E61F-416E-97C4-B9D72BCF9B3F}"/>
    <cellStyle name="Currency 5 3 3 3" xfId="747" xr:uid="{00000000-0005-0000-0000-000082010000}"/>
    <cellStyle name="Currency 5 3 3 3 2" xfId="4241" xr:uid="{1752DA04-867D-4219-B1AB-77F76600442C}"/>
    <cellStyle name="Currency 5 3 3 3 2 2" xfId="8459" xr:uid="{0DF6789B-4052-406B-ABD0-EB201A2B69C8}"/>
    <cellStyle name="Currency 5 3 3 3 3" xfId="6314" xr:uid="{30C17937-07AB-46E0-83A8-99A5ECE56BA9}"/>
    <cellStyle name="Currency 5 3 3 3 4" xfId="2011" xr:uid="{8EA5EF95-ED29-4CDD-AA12-9A5A3EBFCC01}"/>
    <cellStyle name="Currency 5 3 3 4" xfId="1183" xr:uid="{C03811A5-2B71-466E-A309-E84F926F80CC}"/>
    <cellStyle name="Currency 5 3 3 4 2" xfId="4654" xr:uid="{6C79805A-AD61-4953-B211-B1AB3CCFE140}"/>
    <cellStyle name="Currency 5 3 3 4 2 2" xfId="8872" xr:uid="{3388D539-611D-41F5-92E5-CC8B836F79FA}"/>
    <cellStyle name="Currency 5 3 3 4 3" xfId="6727" xr:uid="{83BADFCC-8E8E-4CCC-BC38-31EFBB5304F2}"/>
    <cellStyle name="Currency 5 3 3 4 4" xfId="2425" xr:uid="{828B0D21-854B-4E49-A833-C9754AEB059B}"/>
    <cellStyle name="Currency 5 3 3 5" xfId="2838" xr:uid="{45436DBE-E60B-471B-87CE-372815C628B8}"/>
    <cellStyle name="Currency 5 3 3 5 2" xfId="5067" xr:uid="{B07206C0-DC8A-43A3-9C00-A734324240A8}"/>
    <cellStyle name="Currency 5 3 3 5 2 2" xfId="9285" xr:uid="{BA2D3824-D81A-460F-8498-5C386826F5F1}"/>
    <cellStyle name="Currency 5 3 3 5 3" xfId="7140" xr:uid="{088DC233-AFDA-4EE9-AD52-CE7B189E2ED1}"/>
    <cellStyle name="Currency 5 3 3 6" xfId="3251" xr:uid="{9BB5F947-0668-4097-8F7C-54652E2042B4}"/>
    <cellStyle name="Currency 5 3 3 6 2" xfId="5480" xr:uid="{09A255A7-A0CE-4712-BF78-EBC644C9FDAE}"/>
    <cellStyle name="Currency 5 3 3 6 2 2" xfId="9698" xr:uid="{443706E8-2714-43C8-8760-DD7D33AE87A8}"/>
    <cellStyle name="Currency 5 3 3 6 3" xfId="7553" xr:uid="{74CA4B07-FBB3-4B09-A2A3-07EFE27EE33F}"/>
    <cellStyle name="Currency 5 3 3 7" xfId="3686" xr:uid="{F52B9CE3-A7D5-41D8-9031-52139708D0DA}"/>
    <cellStyle name="Currency 5 3 3 7 2" xfId="7966" xr:uid="{02A4E345-67CE-462B-AE38-BCE9956A8FE3}"/>
    <cellStyle name="Currency 5 3 3 8" xfId="3983" xr:uid="{E68E74DE-2CB6-431C-ACCD-602C2BE710A9}"/>
    <cellStyle name="Currency 5 3 3 9" xfId="4064" xr:uid="{44CD4C62-377B-4EE3-8B45-D042E7550639}"/>
    <cellStyle name="Currency 5 3 3 9 2" xfId="8283" xr:uid="{5E2F088E-7158-4BD5-9327-FEE8FC491C04}"/>
    <cellStyle name="Currency 5 3 4" xfId="217" xr:uid="{00000000-0005-0000-0000-000083010000}"/>
    <cellStyle name="Currency 5 3 4 10" xfId="1598" xr:uid="{3A064543-9228-4588-A7AF-1C79C16FBD3A}"/>
    <cellStyle name="Currency 5 3 4 2" xfId="749" xr:uid="{00000000-0005-0000-0000-000084010000}"/>
    <cellStyle name="Currency 5 3 4 2 2" xfId="4243" xr:uid="{ED4E2E9B-9354-4A34-853B-A3C95B73872D}"/>
    <cellStyle name="Currency 5 3 4 2 2 2" xfId="8461" xr:uid="{36B0E34E-3FA4-417F-AC63-4E1081B5B931}"/>
    <cellStyle name="Currency 5 3 4 2 3" xfId="6316" xr:uid="{A6FE0854-756A-4F27-8CEC-52B0AB2169B6}"/>
    <cellStyle name="Currency 5 3 4 2 4" xfId="2013" xr:uid="{6B521959-02BC-43CF-A03E-8BC3F5BF723A}"/>
    <cellStyle name="Currency 5 3 4 3" xfId="1185" xr:uid="{177C8D42-7CD0-4FB1-936E-7CDB97038679}"/>
    <cellStyle name="Currency 5 3 4 3 2" xfId="4656" xr:uid="{9FD24D33-7792-4BB0-830C-4B56407F9F3A}"/>
    <cellStyle name="Currency 5 3 4 3 2 2" xfId="8874" xr:uid="{DDCAF9D4-1840-40CF-B58C-2997481B18A4}"/>
    <cellStyle name="Currency 5 3 4 3 3" xfId="6729" xr:uid="{0F918A68-7801-4E77-825B-215416ACD502}"/>
    <cellStyle name="Currency 5 3 4 3 4" xfId="2427" xr:uid="{E22919AD-BB5D-4D34-9DCA-5A275B46B96F}"/>
    <cellStyle name="Currency 5 3 4 4" xfId="2840" xr:uid="{D7CEFB55-A9F6-4066-8097-D82BE230C1CE}"/>
    <cellStyle name="Currency 5 3 4 4 2" xfId="5069" xr:uid="{D9DE3B75-4021-4C67-A397-7BB78427E894}"/>
    <cellStyle name="Currency 5 3 4 4 2 2" xfId="9287" xr:uid="{BF4D57B2-ABF0-48A4-9A12-0DA20353FAC1}"/>
    <cellStyle name="Currency 5 3 4 4 3" xfId="7142" xr:uid="{77EE71D6-0AED-4E5C-B8DE-F95E9732ADA0}"/>
    <cellStyle name="Currency 5 3 4 5" xfId="3253" xr:uid="{EFB7E7B8-DC45-446A-9D20-E14BE6BAF23B}"/>
    <cellStyle name="Currency 5 3 4 5 2" xfId="5482" xr:uid="{1CF7C479-887B-4A10-BEBC-58DC6EBFA9A0}"/>
    <cellStyle name="Currency 5 3 4 5 2 2" xfId="9700" xr:uid="{D427DCBD-F8A4-4650-954A-84E6FA155319}"/>
    <cellStyle name="Currency 5 3 4 5 3" xfId="7555" xr:uid="{2757CB97-2D5D-4720-B52A-11390B12D3A8}"/>
    <cellStyle name="Currency 5 3 4 6" xfId="3688" xr:uid="{DED6B67E-2F3F-4DB2-8D67-622C7A3B5990}"/>
    <cellStyle name="Currency 5 3 4 6 2" xfId="7968" xr:uid="{29F4BB63-4B84-43F1-AB87-6089D6867D79}"/>
    <cellStyle name="Currency 5 3 4 7" xfId="3985" xr:uid="{7A913ECF-18B4-4707-866C-99D37ABB1FD5}"/>
    <cellStyle name="Currency 5 3 4 8" xfId="4066" xr:uid="{BAFE6924-4B14-49E5-B4BB-512B10C31CFB}"/>
    <cellStyle name="Currency 5 3 4 8 2" xfId="8285" xr:uid="{532A66DF-FBCE-476B-8C3C-48CBFD0159C0}"/>
    <cellStyle name="Currency 5 3 4 9" xfId="5902" xr:uid="{B147C5EA-E1E9-4F6E-A3E6-401FD98B65A2}"/>
    <cellStyle name="Currency 5 3 5" xfId="218" xr:uid="{00000000-0005-0000-0000-000085010000}"/>
    <cellStyle name="Currency 5 3 5 10" xfId="1599" xr:uid="{A5D40B42-3D5E-45BC-80D1-33C3ABEC306C}"/>
    <cellStyle name="Currency 5 3 5 2" xfId="750" xr:uid="{00000000-0005-0000-0000-000086010000}"/>
    <cellStyle name="Currency 5 3 5 2 2" xfId="4244" xr:uid="{49B89BA6-5F2C-4B21-B6A4-98FA412A355F}"/>
    <cellStyle name="Currency 5 3 5 2 2 2" xfId="8462" xr:uid="{8CF275B9-ADAC-4D09-B955-11F0216F557C}"/>
    <cellStyle name="Currency 5 3 5 2 3" xfId="6317" xr:uid="{5CFC5840-7FB8-4408-BB62-6732330F4F39}"/>
    <cellStyle name="Currency 5 3 5 2 4" xfId="2014" xr:uid="{F043D7FE-BACE-4258-B335-65FAB577BEED}"/>
    <cellStyle name="Currency 5 3 5 3" xfId="1186" xr:uid="{9D9F0AEE-7272-4027-A7B2-310E3B3F2716}"/>
    <cellStyle name="Currency 5 3 5 3 2" xfId="4657" xr:uid="{F31F2F80-7399-4398-9251-B9ED5F7751AC}"/>
    <cellStyle name="Currency 5 3 5 3 2 2" xfId="8875" xr:uid="{6046E32E-2305-4390-9E4B-FD4B97983872}"/>
    <cellStyle name="Currency 5 3 5 3 3" xfId="6730" xr:uid="{BD8D97EA-ED75-4815-A489-8891E647AA7D}"/>
    <cellStyle name="Currency 5 3 5 3 4" xfId="2428" xr:uid="{315465BD-0FCB-42B9-80E1-D39CB1F01B40}"/>
    <cellStyle name="Currency 5 3 5 4" xfId="2841" xr:uid="{18829FF2-DF83-4A1B-94E2-2BDCD660E05B}"/>
    <cellStyle name="Currency 5 3 5 4 2" xfId="5070" xr:uid="{C8F8CCFA-2571-4E93-83D8-68E63953C1A8}"/>
    <cellStyle name="Currency 5 3 5 4 2 2" xfId="9288" xr:uid="{9189929F-3AEF-4F68-A8B2-2F4F3CEA1DA5}"/>
    <cellStyle name="Currency 5 3 5 4 3" xfId="7143" xr:uid="{D78B5D93-5A8E-4B77-97EF-080CB662A62E}"/>
    <cellStyle name="Currency 5 3 5 5" xfId="3254" xr:uid="{A52DD151-4D7C-4B9E-AB77-67E36CB607BA}"/>
    <cellStyle name="Currency 5 3 5 5 2" xfId="5483" xr:uid="{DB804994-8F52-44B8-8991-33EE623135A1}"/>
    <cellStyle name="Currency 5 3 5 5 2 2" xfId="9701" xr:uid="{4B2BA604-4CE9-4E6A-AB50-43CDD9762615}"/>
    <cellStyle name="Currency 5 3 5 5 3" xfId="7556" xr:uid="{25593240-7A53-4996-B61E-270898E626E7}"/>
    <cellStyle name="Currency 5 3 5 6" xfId="3689" xr:uid="{204381BE-933A-45C3-8675-4B14D272D9F3}"/>
    <cellStyle name="Currency 5 3 5 6 2" xfId="7969" xr:uid="{A34FA3FB-3523-4894-9028-F00C60335024}"/>
    <cellStyle name="Currency 5 3 5 7" xfId="3986" xr:uid="{4D145327-0698-41B0-AF79-F00472134BEE}"/>
    <cellStyle name="Currency 5 3 5 8" xfId="4067" xr:uid="{049C60E2-BE08-460B-9ECC-B99C10A1FD95}"/>
    <cellStyle name="Currency 5 3 5 8 2" xfId="8286" xr:uid="{F2AF3643-E1CB-40F4-8CF4-A32CC1EB91BC}"/>
    <cellStyle name="Currency 5 3 5 9" xfId="5903" xr:uid="{74FC59C1-2CCA-4303-BC57-86E61728D8FF}"/>
    <cellStyle name="Currency 5 4" xfId="219" xr:uid="{00000000-0005-0000-0000-000087010000}"/>
    <cellStyle name="Currency 5 4 2" xfId="751" xr:uid="{00000000-0005-0000-0000-000088010000}"/>
    <cellStyle name="Currency 5 5" xfId="220" xr:uid="{00000000-0005-0000-0000-000089010000}"/>
    <cellStyle name="Currency 5 5 10" xfId="5904" xr:uid="{A9C68932-EE73-446D-A54D-B2434E551F05}"/>
    <cellStyle name="Currency 5 5 11" xfId="1600" xr:uid="{D12F1BA6-9011-4EF0-B9A8-721676602771}"/>
    <cellStyle name="Currency 5 5 2" xfId="221" xr:uid="{00000000-0005-0000-0000-00008A010000}"/>
    <cellStyle name="Currency 5 5 2 10" xfId="1601" xr:uid="{FF520090-A0F6-4C55-B21A-CE3E6AC12DBC}"/>
    <cellStyle name="Currency 5 5 2 2" xfId="753" xr:uid="{00000000-0005-0000-0000-00008B010000}"/>
    <cellStyle name="Currency 5 5 2 2 2" xfId="4246" xr:uid="{0CC8048D-3E2D-4BF3-B2AA-C066B36A993D}"/>
    <cellStyle name="Currency 5 5 2 2 2 2" xfId="8464" xr:uid="{284FE6E3-CE74-47A4-A40E-7A543ED13C5A}"/>
    <cellStyle name="Currency 5 5 2 2 3" xfId="6319" xr:uid="{38834788-D9CD-4F4C-A9C8-5E8D9081D744}"/>
    <cellStyle name="Currency 5 5 2 2 4" xfId="2016" xr:uid="{9CEA11A2-434E-4DE4-83A1-40B2BE7B31B1}"/>
    <cellStyle name="Currency 5 5 2 3" xfId="1188" xr:uid="{6DDD87AA-6599-4044-9F06-42CAEDD2F1B5}"/>
    <cellStyle name="Currency 5 5 2 3 2" xfId="4659" xr:uid="{C8EE065B-4E44-4429-A7B4-54E29B3466E2}"/>
    <cellStyle name="Currency 5 5 2 3 2 2" xfId="8877" xr:uid="{05EE9276-45B1-4910-BFE3-8AC3700BB0CF}"/>
    <cellStyle name="Currency 5 5 2 3 3" xfId="6732" xr:uid="{458FAE28-7578-43CC-BFD4-98B7162B15D0}"/>
    <cellStyle name="Currency 5 5 2 3 4" xfId="2430" xr:uid="{F49D0DCB-34C6-40F8-9761-0F3A5B2C51AB}"/>
    <cellStyle name="Currency 5 5 2 4" xfId="2843" xr:uid="{55E6F3B0-D314-4D7E-A4FD-5BE43957DB2B}"/>
    <cellStyle name="Currency 5 5 2 4 2" xfId="5072" xr:uid="{B7480519-9D13-45F3-AE56-801E8F3153CD}"/>
    <cellStyle name="Currency 5 5 2 4 2 2" xfId="9290" xr:uid="{F3D1C9A9-5670-4B94-AC12-D17828EDAC64}"/>
    <cellStyle name="Currency 5 5 2 4 3" xfId="7145" xr:uid="{70AFD33A-9A47-4003-902B-9F374866EF2B}"/>
    <cellStyle name="Currency 5 5 2 5" xfId="3256" xr:uid="{FCAE08C7-35AA-4EC8-8846-DD89C07312FD}"/>
    <cellStyle name="Currency 5 5 2 5 2" xfId="5485" xr:uid="{7295EFD4-AFE2-430D-ADD1-FD803F41A374}"/>
    <cellStyle name="Currency 5 5 2 5 2 2" xfId="9703" xr:uid="{7A2C37AE-A59B-45E7-A897-328F28E3A81E}"/>
    <cellStyle name="Currency 5 5 2 5 3" xfId="7558" xr:uid="{CD00DACA-973D-4281-B4E2-20573A38D2F7}"/>
    <cellStyle name="Currency 5 5 2 6" xfId="3691" xr:uid="{1DB15755-A2E1-4440-AEAF-BC508471C2AF}"/>
    <cellStyle name="Currency 5 5 2 6 2" xfId="7971" xr:uid="{2D281046-7A05-45BA-8D5E-B45B6261E5C3}"/>
    <cellStyle name="Currency 5 5 2 7" xfId="3988" xr:uid="{58A47B7E-FC29-4474-9F0D-4A61C928B13B}"/>
    <cellStyle name="Currency 5 5 2 8" xfId="4069" xr:uid="{9418EEB8-5B25-4C78-8568-84A1E3065116}"/>
    <cellStyle name="Currency 5 5 2 8 2" xfId="8288" xr:uid="{DEE45BD9-63AF-4ABC-888B-625246E8A5DD}"/>
    <cellStyle name="Currency 5 5 2 9" xfId="5905" xr:uid="{68F19285-8989-4BCD-8AAB-2905AF575DA6}"/>
    <cellStyle name="Currency 5 5 3" xfId="752" xr:uid="{00000000-0005-0000-0000-00008C010000}"/>
    <cellStyle name="Currency 5 5 3 2" xfId="4245" xr:uid="{BB186BCC-493C-45D7-8646-27D0F275CF0A}"/>
    <cellStyle name="Currency 5 5 3 2 2" xfId="8463" xr:uid="{5851B9D4-B55F-4188-A4DC-3EBC924A9C86}"/>
    <cellStyle name="Currency 5 5 3 3" xfId="6318" xr:uid="{E619D295-7120-4815-BB3E-5585919C0510}"/>
    <cellStyle name="Currency 5 5 3 4" xfId="2015" xr:uid="{6820B0F9-2590-41EE-9B25-E624D53C13B8}"/>
    <cellStyle name="Currency 5 5 4" xfId="1187" xr:uid="{5DC41016-AA1E-4394-8E3E-9D68E9450BE6}"/>
    <cellStyle name="Currency 5 5 4 2" xfId="4658" xr:uid="{6969F42A-99C7-478D-853C-83B91F26594E}"/>
    <cellStyle name="Currency 5 5 4 2 2" xfId="8876" xr:uid="{733C46A3-8378-44F1-8986-85F19EFE7BC6}"/>
    <cellStyle name="Currency 5 5 4 3" xfId="6731" xr:uid="{3A063C0B-6C02-4DB7-B8DA-719BE75F3B01}"/>
    <cellStyle name="Currency 5 5 4 4" xfId="2429" xr:uid="{634361AA-41A6-4C6D-B8A8-77D97EF50151}"/>
    <cellStyle name="Currency 5 5 5" xfId="2842" xr:uid="{F3BBD5F2-F0BC-4857-BE8B-9F941276DE9B}"/>
    <cellStyle name="Currency 5 5 5 2" xfId="5071" xr:uid="{9832349A-0452-4C19-85AF-0DCFADD4031C}"/>
    <cellStyle name="Currency 5 5 5 2 2" xfId="9289" xr:uid="{280DC02D-80CA-482E-9C1B-FEFC6B592CEF}"/>
    <cellStyle name="Currency 5 5 5 3" xfId="7144" xr:uid="{5318363D-43B0-4C05-A44F-3F70A6B1F14E}"/>
    <cellStyle name="Currency 5 5 6" xfId="3255" xr:uid="{03D14A21-8E2B-4485-8EEF-4C737FEF6538}"/>
    <cellStyle name="Currency 5 5 6 2" xfId="5484" xr:uid="{F5404FB9-8EA2-47E5-90E4-331E349C57CD}"/>
    <cellStyle name="Currency 5 5 6 2 2" xfId="9702" xr:uid="{49F6EF93-04A4-4E86-87DD-73866E98528A}"/>
    <cellStyle name="Currency 5 5 6 3" xfId="7557" xr:uid="{06F54648-1019-4098-9FAE-A6982076881F}"/>
    <cellStyle name="Currency 5 5 7" xfId="3690" xr:uid="{3D681257-BA60-4BBD-8A87-09538CC82BC5}"/>
    <cellStyle name="Currency 5 5 7 2" xfId="7970" xr:uid="{D27F2282-9D84-4AF3-99D3-6EA5F1AB95B4}"/>
    <cellStyle name="Currency 5 5 8" xfId="3987" xr:uid="{3D058483-F0D5-4470-9DD8-8F356B50B169}"/>
    <cellStyle name="Currency 5 5 9" xfId="4068" xr:uid="{56318B32-8846-4A65-BAAA-ADD47C5924ED}"/>
    <cellStyle name="Currency 5 5 9 2" xfId="8287" xr:uid="{68E6E856-834F-47C7-998A-EECC94B7ACFF}"/>
    <cellStyle name="Currency 5 6" xfId="222" xr:uid="{00000000-0005-0000-0000-00008D010000}"/>
    <cellStyle name="Currency 5 6 10" xfId="1602" xr:uid="{8F88DD77-1A70-45B0-9D11-88A2C34C5B49}"/>
    <cellStyle name="Currency 5 6 2" xfId="754" xr:uid="{00000000-0005-0000-0000-00008E010000}"/>
    <cellStyle name="Currency 5 6 2 2" xfId="4247" xr:uid="{6FD3D535-192E-4C5F-B094-13121D68BF8D}"/>
    <cellStyle name="Currency 5 6 2 2 2" xfId="8465" xr:uid="{EA5F70C0-D9F3-4586-A541-C6346D9323A7}"/>
    <cellStyle name="Currency 5 6 2 3" xfId="6320" xr:uid="{70901F5B-8962-497A-AD1D-181D7C9EC2D8}"/>
    <cellStyle name="Currency 5 6 2 4" xfId="2017" xr:uid="{8DE8A5DA-71B8-4CB5-879F-2EFDDA0BE6BD}"/>
    <cellStyle name="Currency 5 6 3" xfId="1189" xr:uid="{11DB7063-9F8F-4C5F-AF5A-C13C475FC0E3}"/>
    <cellStyle name="Currency 5 6 3 2" xfId="4660" xr:uid="{D1C9BC97-469E-4255-A0A1-45F06DF050CE}"/>
    <cellStyle name="Currency 5 6 3 2 2" xfId="8878" xr:uid="{8A7812C7-4921-4C67-9CE1-8069F7572CD3}"/>
    <cellStyle name="Currency 5 6 3 3" xfId="6733" xr:uid="{78567C35-16D2-4834-BC58-CA18CD04A117}"/>
    <cellStyle name="Currency 5 6 3 4" xfId="2431" xr:uid="{10F12C2A-1677-4C51-9F9D-5AD6C0031BA1}"/>
    <cellStyle name="Currency 5 6 4" xfId="2844" xr:uid="{074A6AA6-4F6F-4D4C-AD9D-4C72C4E16542}"/>
    <cellStyle name="Currency 5 6 4 2" xfId="5073" xr:uid="{6AB72E38-5A38-4AAA-B489-880F249FA860}"/>
    <cellStyle name="Currency 5 6 4 2 2" xfId="9291" xr:uid="{91C1DFF7-D319-43C7-9E0F-C8732AE12C51}"/>
    <cellStyle name="Currency 5 6 4 3" xfId="7146" xr:uid="{A3F5CE87-3310-41D2-82C8-2AE531A71FBC}"/>
    <cellStyle name="Currency 5 6 5" xfId="3257" xr:uid="{6F3AF526-3975-4C0E-9B18-4B6C844242E2}"/>
    <cellStyle name="Currency 5 6 5 2" xfId="5486" xr:uid="{558FA28F-45A2-4570-917D-35B3E8070933}"/>
    <cellStyle name="Currency 5 6 5 2 2" xfId="9704" xr:uid="{94714D62-15F6-49DD-9CE2-BF70C5965BF3}"/>
    <cellStyle name="Currency 5 6 5 3" xfId="7559" xr:uid="{02F2F52D-A728-4C7F-8164-8BC619563DFC}"/>
    <cellStyle name="Currency 5 6 6" xfId="3692" xr:uid="{B2BF72BB-C330-4EA1-9E8C-0F2D02E80F32}"/>
    <cellStyle name="Currency 5 6 6 2" xfId="7972" xr:uid="{CE190C8E-2CF8-43FA-BF81-8295E2A30D49}"/>
    <cellStyle name="Currency 5 6 7" xfId="3989" xr:uid="{95C7019B-4126-4205-8C91-5C74CD940AE0}"/>
    <cellStyle name="Currency 5 6 8" xfId="4070" xr:uid="{7966CBE0-098D-403F-93E7-FDBC064259A8}"/>
    <cellStyle name="Currency 5 6 8 2" xfId="8289" xr:uid="{F064C7EF-D451-46EF-8BCB-8210727C9865}"/>
    <cellStyle name="Currency 5 6 9" xfId="5906" xr:uid="{41C60A28-733A-4B47-8831-1D47BA71D269}"/>
    <cellStyle name="Currency 5 7" xfId="223" xr:uid="{00000000-0005-0000-0000-00008F010000}"/>
    <cellStyle name="Currency 5 7 10" xfId="1603" xr:uid="{7AEC66EA-C974-467E-AD87-0C109E5311F0}"/>
    <cellStyle name="Currency 5 7 2" xfId="755" xr:uid="{00000000-0005-0000-0000-000090010000}"/>
    <cellStyle name="Currency 5 7 2 2" xfId="4248" xr:uid="{D426CC42-62B2-4AE3-8F6A-E296767D374C}"/>
    <cellStyle name="Currency 5 7 2 2 2" xfId="8466" xr:uid="{1FAE0D58-999D-41FC-9C0D-53F695FE2C85}"/>
    <cellStyle name="Currency 5 7 2 3" xfId="6321" xr:uid="{1DCFBB87-CFCD-44F4-8820-7B84B4C06723}"/>
    <cellStyle name="Currency 5 7 2 4" xfId="2018" xr:uid="{3B8D8C29-3624-4C8D-A990-CA875AD2BF07}"/>
    <cellStyle name="Currency 5 7 3" xfId="1190" xr:uid="{823370FF-6C76-49CB-AF8B-EEE6E7E0B827}"/>
    <cellStyle name="Currency 5 7 3 2" xfId="4661" xr:uid="{C764DD9D-17CD-47B7-9A75-7B049B4A36E4}"/>
    <cellStyle name="Currency 5 7 3 2 2" xfId="8879" xr:uid="{B05E7F63-BA10-4BC3-9B57-71DE9570B2A0}"/>
    <cellStyle name="Currency 5 7 3 3" xfId="6734" xr:uid="{6441F0FB-6B90-450C-8AF3-1D73F8233B04}"/>
    <cellStyle name="Currency 5 7 3 4" xfId="2432" xr:uid="{CFA60836-F70A-4729-B62E-D43DD97A7D5D}"/>
    <cellStyle name="Currency 5 7 4" xfId="2845" xr:uid="{6219A837-5D2F-400B-8B0A-F4C4A8C7EA79}"/>
    <cellStyle name="Currency 5 7 4 2" xfId="5074" xr:uid="{D9A0F724-CD52-4D27-A85D-389B365683D4}"/>
    <cellStyle name="Currency 5 7 4 2 2" xfId="9292" xr:uid="{71E183B6-F863-498C-9324-3095FB3F529C}"/>
    <cellStyle name="Currency 5 7 4 3" xfId="7147" xr:uid="{227E4ED2-C561-478C-8748-6EFBE3E91FB5}"/>
    <cellStyle name="Currency 5 7 5" xfId="3258" xr:uid="{5A7AA12E-8A52-40BF-AE60-16D94C69E51B}"/>
    <cellStyle name="Currency 5 7 5 2" xfId="5487" xr:uid="{1848453A-1C85-4392-B35E-66FC3EB77A07}"/>
    <cellStyle name="Currency 5 7 5 2 2" xfId="9705" xr:uid="{93138038-739A-40BF-B805-74BF5E1266E6}"/>
    <cellStyle name="Currency 5 7 5 3" xfId="7560" xr:uid="{B1C0088F-53A5-46B9-9843-570C0EDEA633}"/>
    <cellStyle name="Currency 5 7 6" xfId="3693" xr:uid="{D4556359-2DD3-44AF-8526-4BD85B5A21B7}"/>
    <cellStyle name="Currency 5 7 6 2" xfId="7973" xr:uid="{65367B7E-6791-4FFD-9C04-F18192C16EF0}"/>
    <cellStyle name="Currency 5 7 7" xfId="3990" xr:uid="{27AB11A3-3181-4454-A27B-3F9CBE5FAF00}"/>
    <cellStyle name="Currency 5 7 8" xfId="4071" xr:uid="{25B10249-CEA5-4BA3-82AE-9450E3F64DFC}"/>
    <cellStyle name="Currency 5 7 8 2" xfId="8290" xr:uid="{44B15EA3-2F3D-486B-9891-7448445C2423}"/>
    <cellStyle name="Currency 5 7 9" xfId="5907" xr:uid="{1EB3F440-085F-4EA4-B3F3-03422306484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695" xr:uid="{98F93345-3902-4944-8758-BCA1A404977E}"/>
    <cellStyle name="Normal 12 10 2" xfId="7974" xr:uid="{9752F8B9-F79C-4783-869E-424AD9190724}"/>
    <cellStyle name="Normal 12 11" xfId="5908" xr:uid="{E4F1D76E-EFF6-4F1F-B95C-9DD12FE05C0A}"/>
    <cellStyle name="Normal 12 12" xfId="1604" xr:uid="{9ED29B61-C38B-4FC2-B8A1-C8739CFF6D5C}"/>
    <cellStyle name="Normal 12 2" xfId="262" xr:uid="{00000000-0005-0000-0000-0000C5010000}"/>
    <cellStyle name="Normal 12 2 10" xfId="1605" xr:uid="{BE809D50-D829-4332-BE0F-640C36D8C17F}"/>
    <cellStyle name="Normal 12 2 2" xfId="263" xr:uid="{00000000-0005-0000-0000-0000C6010000}"/>
    <cellStyle name="Normal 12 2 2 2" xfId="264" xr:uid="{00000000-0005-0000-0000-0000C7010000}"/>
    <cellStyle name="Normal 12 2 2 2 2" xfId="771" xr:uid="{00000000-0005-0000-0000-0000C8010000}"/>
    <cellStyle name="Normal 12 2 2 2 2 2" xfId="4252" xr:uid="{1A0A3982-0FAE-43CA-AFF4-6AEF1F939FA9}"/>
    <cellStyle name="Normal 12 2 2 2 2 2 2" xfId="8470" xr:uid="{AAC67F6E-36CD-4AFF-8643-07935AF3EB82}"/>
    <cellStyle name="Normal 12 2 2 2 2 3" xfId="6325" xr:uid="{D78C5AAA-4761-4266-8A21-3B8798C2680B}"/>
    <cellStyle name="Normal 12 2 2 2 2 4" xfId="2022" xr:uid="{93FB35DC-DB27-4257-B5FC-56A32003DC30}"/>
    <cellStyle name="Normal 12 2 2 2 3" xfId="1194" xr:uid="{0F9AAD28-D2D4-4BEA-B39C-029632678654}"/>
    <cellStyle name="Normal 12 2 2 2 3 2" xfId="4665" xr:uid="{CEFF67A7-FB3B-4C6B-9063-9B8CF4E1EDD9}"/>
    <cellStyle name="Normal 12 2 2 2 3 2 2" xfId="8883" xr:uid="{A03F1150-3661-43CE-9750-A4945884D97E}"/>
    <cellStyle name="Normal 12 2 2 2 3 3" xfId="6738" xr:uid="{F046DF25-C7FB-46E4-B15B-61910BFA0870}"/>
    <cellStyle name="Normal 12 2 2 2 3 4" xfId="2436" xr:uid="{0F38BA5D-1D61-4067-A421-E2DE105F8034}"/>
    <cellStyle name="Normal 12 2 2 2 4" xfId="2849" xr:uid="{2063510E-9917-42CA-AD2E-E3E847BB6AD7}"/>
    <cellStyle name="Normal 12 2 2 2 4 2" xfId="5078" xr:uid="{F367E422-0F16-401B-8A57-6C16870764AE}"/>
    <cellStyle name="Normal 12 2 2 2 4 2 2" xfId="9296" xr:uid="{11BE4660-94F1-44A9-A74D-67522181F9C7}"/>
    <cellStyle name="Normal 12 2 2 2 4 3" xfId="7151" xr:uid="{57D24CC7-34BA-461B-BEA4-D14A9588E3F4}"/>
    <cellStyle name="Normal 12 2 2 2 5" xfId="3262" xr:uid="{8B0F8B09-65FB-4EF9-8F2D-467A3B508F55}"/>
    <cellStyle name="Normal 12 2 2 2 5 2" xfId="5491" xr:uid="{0543212D-18F8-499A-822E-A5A6992DACCC}"/>
    <cellStyle name="Normal 12 2 2 2 5 2 2" xfId="9709" xr:uid="{6F3720CC-4A64-4422-8468-4E5FF1A9A7E3}"/>
    <cellStyle name="Normal 12 2 2 2 5 3" xfId="7564" xr:uid="{2F4843F5-B4F3-4E67-B20D-099F081334D4}"/>
    <cellStyle name="Normal 12 2 2 2 6" xfId="3698" xr:uid="{EEBF60BF-B271-428E-818A-32469C90EC10}"/>
    <cellStyle name="Normal 12 2 2 2 6 2" xfId="7977" xr:uid="{DCA01C77-5342-4E33-A113-BB09AB7A5217}"/>
    <cellStyle name="Normal 12 2 2 2 7" xfId="5911" xr:uid="{316E5311-08FE-4BA9-B547-403D95BEDACA}"/>
    <cellStyle name="Normal 12 2 2 2 8" xfId="1607" xr:uid="{297994E1-251F-4976-A0D3-A6AE34C97AAB}"/>
    <cellStyle name="Normal 12 2 2 3" xfId="770" xr:uid="{00000000-0005-0000-0000-0000C9010000}"/>
    <cellStyle name="Normal 12 2 2 3 2" xfId="4251" xr:uid="{B6959F7D-EE39-44A1-B0B8-88B9725495D8}"/>
    <cellStyle name="Normal 12 2 2 3 2 2" xfId="8469" xr:uid="{C9FB413D-9EAB-48AC-B448-C9114079AE5B}"/>
    <cellStyle name="Normal 12 2 2 3 3" xfId="6324" xr:uid="{39F6F849-AB52-4A03-A984-BDCCE2425CF7}"/>
    <cellStyle name="Normal 12 2 2 3 4" xfId="2021" xr:uid="{4D45C9E0-C45E-486E-A2CF-E38B427E2A66}"/>
    <cellStyle name="Normal 12 2 2 4" xfId="1193" xr:uid="{92317CD2-503A-4CD3-87FB-F2CC4D6CA865}"/>
    <cellStyle name="Normal 12 2 2 4 2" xfId="4664" xr:uid="{239D1B45-20F1-4DE1-A354-0BA5CED09F89}"/>
    <cellStyle name="Normal 12 2 2 4 2 2" xfId="8882" xr:uid="{855B951F-9854-4B5F-AFA1-FB36D73F5AF3}"/>
    <cellStyle name="Normal 12 2 2 4 3" xfId="6737" xr:uid="{625B4CD9-2DE9-4F48-9173-BEE5AD647E94}"/>
    <cellStyle name="Normal 12 2 2 4 4" xfId="2435" xr:uid="{9D3A9FD9-4A96-44EB-9DBA-DA5B04EFA4D3}"/>
    <cellStyle name="Normal 12 2 2 5" xfId="2848" xr:uid="{46EBBB61-A731-4FAC-8AEC-9671EEF38E71}"/>
    <cellStyle name="Normal 12 2 2 5 2" xfId="5077" xr:uid="{48B74CC3-2347-407D-AEB4-70BED89422A6}"/>
    <cellStyle name="Normal 12 2 2 5 2 2" xfId="9295" xr:uid="{3F5CFBB4-7822-4618-8FAE-CBF71A367DC2}"/>
    <cellStyle name="Normal 12 2 2 5 3" xfId="7150" xr:uid="{32CFB0B5-325C-475E-9883-A0038FEE78C8}"/>
    <cellStyle name="Normal 12 2 2 6" xfId="3261" xr:uid="{40C80424-F7DA-4920-A7F8-0643D517EB80}"/>
    <cellStyle name="Normal 12 2 2 6 2" xfId="5490" xr:uid="{108B6502-62BB-47AA-A65A-031D047026C1}"/>
    <cellStyle name="Normal 12 2 2 6 2 2" xfId="9708" xr:uid="{9ED9D5BA-6770-4FAB-9F9F-0651F91FAD03}"/>
    <cellStyle name="Normal 12 2 2 6 3" xfId="7563" xr:uid="{8FDCD522-5488-4FAC-B073-1CCC049BFD7B}"/>
    <cellStyle name="Normal 12 2 2 7" xfId="3697" xr:uid="{A1966080-48C6-4734-95E1-4C3C99019ABF}"/>
    <cellStyle name="Normal 12 2 2 7 2" xfId="7976" xr:uid="{DDB2C615-4744-415C-88B4-E07DACFB72CB}"/>
    <cellStyle name="Normal 12 2 2 8" xfId="5910" xr:uid="{1FF4ADA7-00E3-4340-9308-80625F4AF551}"/>
    <cellStyle name="Normal 12 2 2 9" xfId="1606" xr:uid="{A32797C4-7456-4020-9109-20AB322FE05B}"/>
    <cellStyle name="Normal 12 2 3" xfId="265" xr:uid="{00000000-0005-0000-0000-0000CA010000}"/>
    <cellStyle name="Normal 12 2 3 2" xfId="772" xr:uid="{00000000-0005-0000-0000-0000CB010000}"/>
    <cellStyle name="Normal 12 2 3 2 2" xfId="4253" xr:uid="{286145DD-031C-4416-A381-437FB11AAB9B}"/>
    <cellStyle name="Normal 12 2 3 2 2 2" xfId="8471" xr:uid="{23910E54-8544-4EC7-A4B0-A556A4C4D67A}"/>
    <cellStyle name="Normal 12 2 3 2 3" xfId="6326" xr:uid="{593FAD6A-97F9-4599-A80D-EEE30DFB2583}"/>
    <cellStyle name="Normal 12 2 3 2 4" xfId="2023" xr:uid="{771EA167-A060-407F-8B82-24CBA40E8444}"/>
    <cellStyle name="Normal 12 2 3 3" xfId="1195" xr:uid="{4AB3EF23-2E9E-46EC-AD0E-F69A106845C5}"/>
    <cellStyle name="Normal 12 2 3 3 2" xfId="4666" xr:uid="{28EC7207-D1F9-4C6E-A024-D035F770BBA9}"/>
    <cellStyle name="Normal 12 2 3 3 2 2" xfId="8884" xr:uid="{5496E7BF-762A-4812-BB6E-480FED0A5A63}"/>
    <cellStyle name="Normal 12 2 3 3 3" xfId="6739" xr:uid="{F1CA9265-6D2A-422F-9C64-2311F700EEFC}"/>
    <cellStyle name="Normal 12 2 3 3 4" xfId="2437" xr:uid="{5CB5D58B-FF51-4559-8E57-AD61013D97C0}"/>
    <cellStyle name="Normal 12 2 3 4" xfId="2850" xr:uid="{097187AF-77D4-48B3-B4C9-615664DB7C8F}"/>
    <cellStyle name="Normal 12 2 3 4 2" xfId="5079" xr:uid="{D9981D9C-75F2-4342-BCCF-18F686192B02}"/>
    <cellStyle name="Normal 12 2 3 4 2 2" xfId="9297" xr:uid="{13E28F0E-3644-4BAE-A8AC-553978F98DBA}"/>
    <cellStyle name="Normal 12 2 3 4 3" xfId="7152" xr:uid="{2F2A390E-7ACF-44EE-ABBB-D145A65419AD}"/>
    <cellStyle name="Normal 12 2 3 5" xfId="3263" xr:uid="{4E6F8E62-EA4B-4F57-B6CB-4518D83C12B1}"/>
    <cellStyle name="Normal 12 2 3 5 2" xfId="5492" xr:uid="{EC831F45-2FE6-4F2A-971C-3BB622213816}"/>
    <cellStyle name="Normal 12 2 3 5 2 2" xfId="9710" xr:uid="{6D3E2583-A4B2-494A-A84D-D9E8C451F8BD}"/>
    <cellStyle name="Normal 12 2 3 5 3" xfId="7565" xr:uid="{65E480E7-31B2-431D-9826-E33EA4712B99}"/>
    <cellStyle name="Normal 12 2 3 6" xfId="3699" xr:uid="{9E071583-3C83-4D26-A299-47ABC5CF7C9E}"/>
    <cellStyle name="Normal 12 2 3 6 2" xfId="7978" xr:uid="{F38D4FAB-0253-4591-A025-B37BA3B95F68}"/>
    <cellStyle name="Normal 12 2 3 7" xfId="5912" xr:uid="{628118DE-040C-4E9C-8FC3-F4998641854A}"/>
    <cellStyle name="Normal 12 2 3 8" xfId="1608" xr:uid="{E88FB22E-EF9F-4D27-9A69-801BE3AC14B9}"/>
    <cellStyle name="Normal 12 2 4" xfId="769" xr:uid="{00000000-0005-0000-0000-0000CC010000}"/>
    <cellStyle name="Normal 12 2 4 2" xfId="4250" xr:uid="{0E618642-4B67-45ED-B48B-0F8B25833039}"/>
    <cellStyle name="Normal 12 2 4 2 2" xfId="8468" xr:uid="{9C5F2FD1-6A40-4881-B7F8-9A5275FC8AFF}"/>
    <cellStyle name="Normal 12 2 4 3" xfId="6323" xr:uid="{FDE23A28-5589-4EDE-8DF0-EF45129A2C21}"/>
    <cellStyle name="Normal 12 2 4 4" xfId="2020" xr:uid="{52686FDA-F30D-4CB0-85AC-72A625D3E1CE}"/>
    <cellStyle name="Normal 12 2 5" xfId="1192" xr:uid="{D2550A38-3BD6-4E61-A298-06384C3D7CEC}"/>
    <cellStyle name="Normal 12 2 5 2" xfId="4663" xr:uid="{9818E024-8755-473F-A78C-F76CEF54B99E}"/>
    <cellStyle name="Normal 12 2 5 2 2" xfId="8881" xr:uid="{9F1C88F1-B01E-4601-B254-0A521E8F7F5E}"/>
    <cellStyle name="Normal 12 2 5 3" xfId="6736" xr:uid="{1A120852-2CA7-4E75-B84C-1126F3B3F403}"/>
    <cellStyle name="Normal 12 2 5 4" xfId="2434" xr:uid="{2543F7E5-0653-4293-8BF1-FFB89EDACABF}"/>
    <cellStyle name="Normal 12 2 6" xfId="2847" xr:uid="{27DCDF76-FA4F-450B-9D01-F4D74FB0D7EF}"/>
    <cellStyle name="Normal 12 2 6 2" xfId="5076" xr:uid="{09662D78-5D0D-4BFB-9627-B3EE342C468D}"/>
    <cellStyle name="Normal 12 2 6 2 2" xfId="9294" xr:uid="{FB2DBA68-3FA3-41C2-B55F-9894EEEADAFA}"/>
    <cellStyle name="Normal 12 2 6 3" xfId="7149" xr:uid="{33C0BC6B-A383-442B-8D58-B34C1A2EFEBE}"/>
    <cellStyle name="Normal 12 2 7" xfId="3260" xr:uid="{A083F0E1-4937-4F49-A7D3-4D856A0CE339}"/>
    <cellStyle name="Normal 12 2 7 2" xfId="5489" xr:uid="{CC56FBA6-960E-488F-953B-07AF7BA2FA98}"/>
    <cellStyle name="Normal 12 2 7 2 2" xfId="9707" xr:uid="{CF802B06-6DFA-49CC-B7F3-A1B66BEC9D9D}"/>
    <cellStyle name="Normal 12 2 7 3" xfId="7562" xr:uid="{DD53E0FE-A8F5-47E9-87E4-DCF975EE5967}"/>
    <cellStyle name="Normal 12 2 8" xfId="3696" xr:uid="{06D038C1-613F-4994-8788-06C110AB55C3}"/>
    <cellStyle name="Normal 12 2 8 2" xfId="7975" xr:uid="{0C6B9204-DAB7-4EF4-9B96-88D26E2DFE4F}"/>
    <cellStyle name="Normal 12 2 9" xfId="5909" xr:uid="{63455983-6F62-4D74-B147-C476085A3822}"/>
    <cellStyle name="Normal 12 3" xfId="266" xr:uid="{00000000-0005-0000-0000-0000CD010000}"/>
    <cellStyle name="Normal 12 3 2" xfId="267" xr:uid="{00000000-0005-0000-0000-0000CE010000}"/>
    <cellStyle name="Normal 12 3 2 2" xfId="774" xr:uid="{00000000-0005-0000-0000-0000CF010000}"/>
    <cellStyle name="Normal 12 3 2 2 2" xfId="4255" xr:uid="{3E0BDF96-2AAA-460D-9B7E-C50863602E82}"/>
    <cellStyle name="Normal 12 3 2 2 2 2" xfId="8473" xr:uid="{5AE24705-3776-47C3-A6C6-A07AA8A70475}"/>
    <cellStyle name="Normal 12 3 2 2 3" xfId="6328" xr:uid="{9DAF4A33-51B6-4068-8B36-B979D1A1D03F}"/>
    <cellStyle name="Normal 12 3 2 2 4" xfId="2025" xr:uid="{576F8DB0-50C3-4B83-8C9E-0A46D25BB27A}"/>
    <cellStyle name="Normal 12 3 2 3" xfId="1197" xr:uid="{C361A519-D5C8-4DA9-B243-30A6A3BB08C1}"/>
    <cellStyle name="Normal 12 3 2 3 2" xfId="4668" xr:uid="{73A7DAF3-E5AC-423C-9B29-2EA13392F3AF}"/>
    <cellStyle name="Normal 12 3 2 3 2 2" xfId="8886" xr:uid="{5614D2A6-3307-4835-8110-2335197D2700}"/>
    <cellStyle name="Normal 12 3 2 3 3" xfId="6741" xr:uid="{8202C647-2BB5-4525-8F77-0EF0B7F4BB80}"/>
    <cellStyle name="Normal 12 3 2 3 4" xfId="2439" xr:uid="{0F8EAF1A-7EF6-454A-9539-E4DF88C4DBB7}"/>
    <cellStyle name="Normal 12 3 2 4" xfId="2852" xr:uid="{C518C8FF-30DE-4487-8659-7142D0C91C56}"/>
    <cellStyle name="Normal 12 3 2 4 2" xfId="5081" xr:uid="{70BE767A-A725-4E50-8926-A48660E641CC}"/>
    <cellStyle name="Normal 12 3 2 4 2 2" xfId="9299" xr:uid="{8106714B-60F5-4133-9439-9E3D2B1AAC68}"/>
    <cellStyle name="Normal 12 3 2 4 3" xfId="7154" xr:uid="{F8B980E2-7B73-4D5B-9CFF-0E8923A5ED15}"/>
    <cellStyle name="Normal 12 3 2 5" xfId="3265" xr:uid="{BE2201CC-4CC8-4958-A72B-BF9F12DA2EAB}"/>
    <cellStyle name="Normal 12 3 2 5 2" xfId="5494" xr:uid="{34E8A405-764F-4873-A672-5D2E5FB41462}"/>
    <cellStyle name="Normal 12 3 2 5 2 2" xfId="9712" xr:uid="{902659EA-E498-4FAF-BBA3-5EE7AD4DD94B}"/>
    <cellStyle name="Normal 12 3 2 5 3" xfId="7567" xr:uid="{9C678417-A048-4771-93E1-0AB6A87F9AA5}"/>
    <cellStyle name="Normal 12 3 2 6" xfId="3701" xr:uid="{C9A774AD-9DDC-45C2-8282-AE53EE62E409}"/>
    <cellStyle name="Normal 12 3 2 6 2" xfId="7980" xr:uid="{A2B9715E-A058-4720-9B75-17163631E32A}"/>
    <cellStyle name="Normal 12 3 2 7" xfId="5914" xr:uid="{43291A07-696D-46E2-A298-0E730C078BD4}"/>
    <cellStyle name="Normal 12 3 2 8" xfId="1610" xr:uid="{CD53D1C9-1CA6-4536-B356-D820A316E296}"/>
    <cellStyle name="Normal 12 3 3" xfId="773" xr:uid="{00000000-0005-0000-0000-0000D0010000}"/>
    <cellStyle name="Normal 12 3 3 2" xfId="4254" xr:uid="{3AABFC98-C65C-400E-BB7C-4F2385EC7A61}"/>
    <cellStyle name="Normal 12 3 3 2 2" xfId="8472" xr:uid="{43117841-09F7-48F1-BD7B-2E49BF10D503}"/>
    <cellStyle name="Normal 12 3 3 3" xfId="6327" xr:uid="{2FCE42F0-AAB8-457F-BC86-CAD941FBE997}"/>
    <cellStyle name="Normal 12 3 3 4" xfId="2024" xr:uid="{6DEF386F-71A6-4A66-89A2-040EA77FBAA8}"/>
    <cellStyle name="Normal 12 3 4" xfId="1196" xr:uid="{57ED8C88-2279-4790-B4E5-43E4204A9A97}"/>
    <cellStyle name="Normal 12 3 4 2" xfId="4667" xr:uid="{ABF31856-867B-46DB-890E-652840104E14}"/>
    <cellStyle name="Normal 12 3 4 2 2" xfId="8885" xr:uid="{F0E6FF6D-E005-4D78-AE1B-4FD58B3621A4}"/>
    <cellStyle name="Normal 12 3 4 3" xfId="6740" xr:uid="{3EE6F12B-8F3F-41A4-AC3D-EF4C7232C9EC}"/>
    <cellStyle name="Normal 12 3 4 4" xfId="2438" xr:uid="{E2472FD4-2954-4CDC-86E8-AFD84C0FAC4F}"/>
    <cellStyle name="Normal 12 3 5" xfId="2851" xr:uid="{011F1C10-89A6-44B6-AF51-908852D273B1}"/>
    <cellStyle name="Normal 12 3 5 2" xfId="5080" xr:uid="{1E3AB2C3-F53B-4F7A-9260-6B25F728F7C9}"/>
    <cellStyle name="Normal 12 3 5 2 2" xfId="9298" xr:uid="{1F77647D-43B0-46D5-A16B-CCD3DD9F935C}"/>
    <cellStyle name="Normal 12 3 5 3" xfId="7153" xr:uid="{A71A50A8-F9EA-4E87-8F8B-FA76C98B1048}"/>
    <cellStyle name="Normal 12 3 6" xfId="3264" xr:uid="{3BD27AA7-416D-49C3-A688-78F8670196A2}"/>
    <cellStyle name="Normal 12 3 6 2" xfId="5493" xr:uid="{A36D5969-BA04-4A19-88C0-DBDC1EE37CB8}"/>
    <cellStyle name="Normal 12 3 6 2 2" xfId="9711" xr:uid="{E8BB9B3F-5C75-4718-AE34-0AE85A1E9A41}"/>
    <cellStyle name="Normal 12 3 6 3" xfId="7566" xr:uid="{6C148027-7A93-451C-A381-3A8509FF9AD0}"/>
    <cellStyle name="Normal 12 3 7" xfId="3700" xr:uid="{3359E4AF-D673-43BD-813B-E3ADD1BDBCF9}"/>
    <cellStyle name="Normal 12 3 7 2" xfId="7979" xr:uid="{B525F60E-BA1F-4B82-BC1E-22CD30E32092}"/>
    <cellStyle name="Normal 12 3 8" xfId="5913" xr:uid="{58ED333C-7AEA-4BFD-B41E-6C04F8EDEF49}"/>
    <cellStyle name="Normal 12 3 9" xfId="1609" xr:uid="{8FB7F002-7C24-43FD-9F54-2A9E1A9EF348}"/>
    <cellStyle name="Normal 12 4" xfId="268" xr:uid="{00000000-0005-0000-0000-0000D1010000}"/>
    <cellStyle name="Normal 12 4 2" xfId="775" xr:uid="{00000000-0005-0000-0000-0000D2010000}"/>
    <cellStyle name="Normal 12 4 2 2" xfId="4256" xr:uid="{58E5FA36-7F2A-47E7-91BB-F7B9D52B66A2}"/>
    <cellStyle name="Normal 12 4 2 2 2" xfId="8474" xr:uid="{6E982509-0E91-4181-85A6-738C8C950A06}"/>
    <cellStyle name="Normal 12 4 2 3" xfId="6329" xr:uid="{B1C3FCF4-DEF5-4D68-9E51-022CD815414E}"/>
    <cellStyle name="Normal 12 4 2 4" xfId="2026" xr:uid="{1D3748CB-106A-4CF1-B7FB-9C0961EFB12C}"/>
    <cellStyle name="Normal 12 4 3" xfId="1198" xr:uid="{C79AE691-7244-4FD2-A2E7-455CD957234A}"/>
    <cellStyle name="Normal 12 4 3 2" xfId="4669" xr:uid="{C00206CD-01CB-4589-B6FF-79EDE5E780A3}"/>
    <cellStyle name="Normal 12 4 3 2 2" xfId="8887" xr:uid="{7863F34B-92FA-4484-96E9-54457A560A76}"/>
    <cellStyle name="Normal 12 4 3 3" xfId="6742" xr:uid="{EA644946-4F12-4AD6-978D-2F432354AAC8}"/>
    <cellStyle name="Normal 12 4 3 4" xfId="2440" xr:uid="{952393FB-B12D-4042-A099-06DBD390241C}"/>
    <cellStyle name="Normal 12 4 4" xfId="2853" xr:uid="{3F06B235-0DFC-411E-A062-511C3F82A9E6}"/>
    <cellStyle name="Normal 12 4 4 2" xfId="5082" xr:uid="{C3ED1806-8080-455F-8F15-DB0439E83657}"/>
    <cellStyle name="Normal 12 4 4 2 2" xfId="9300" xr:uid="{D4815909-86A7-4B88-B637-69C5368F7625}"/>
    <cellStyle name="Normal 12 4 4 3" xfId="7155" xr:uid="{CEB05320-D053-4D2A-A718-F643D926AD10}"/>
    <cellStyle name="Normal 12 4 5" xfId="3266" xr:uid="{657F520C-9933-4538-A9B0-FDF4A70AAD44}"/>
    <cellStyle name="Normal 12 4 5 2" xfId="5495" xr:uid="{862104E3-5BF5-4034-AAC6-21955071AFD4}"/>
    <cellStyle name="Normal 12 4 5 2 2" xfId="9713" xr:uid="{6F638CEC-C017-4D4E-AEFD-9BCF8AB2A3E6}"/>
    <cellStyle name="Normal 12 4 5 3" xfId="7568" xr:uid="{90B47BAA-50AE-4282-812F-7C1303D4923D}"/>
    <cellStyle name="Normal 12 4 6" xfId="3702" xr:uid="{76DF16E5-3E7B-4661-9808-157AFF7DFB24}"/>
    <cellStyle name="Normal 12 4 6 2" xfId="7981" xr:uid="{D53F9F8D-959A-4293-859F-AC215801C7BE}"/>
    <cellStyle name="Normal 12 4 7" xfId="5915" xr:uid="{6DF933B5-C17B-41C2-9081-45ECB279DED5}"/>
    <cellStyle name="Normal 12 4 8" xfId="1611" xr:uid="{191F4661-B698-4E7F-A941-2FC40991DC29}"/>
    <cellStyle name="Normal 12 5" xfId="269" xr:uid="{00000000-0005-0000-0000-0000D3010000}"/>
    <cellStyle name="Normal 12 6" xfId="768" xr:uid="{00000000-0005-0000-0000-0000D4010000}"/>
    <cellStyle name="Normal 12 6 2" xfId="4249" xr:uid="{16335CC2-E896-47EB-8312-D8A045DFD686}"/>
    <cellStyle name="Normal 12 6 2 2" xfId="8467" xr:uid="{664905CE-456C-41F5-AFAB-E714488E4F80}"/>
    <cellStyle name="Normal 12 6 3" xfId="6322" xr:uid="{F793B72E-5CCC-4FF2-8011-6CB2843E0765}"/>
    <cellStyle name="Normal 12 6 4" xfId="2019" xr:uid="{9F6363B3-7954-4EA4-9BFD-4E280277EB1D}"/>
    <cellStyle name="Normal 12 7" xfId="1191" xr:uid="{596A7902-7267-42C9-AC95-152CF1854B1F}"/>
    <cellStyle name="Normal 12 7 2" xfId="4662" xr:uid="{0015DB44-CA51-45BC-A97A-823FC60655F8}"/>
    <cellStyle name="Normal 12 7 2 2" xfId="8880" xr:uid="{C3696BD0-0255-48F1-9138-C30E89A71710}"/>
    <cellStyle name="Normal 12 7 3" xfId="6735" xr:uid="{56D6E2DC-24C9-4964-8D27-0AC1A1683F06}"/>
    <cellStyle name="Normal 12 7 4" xfId="2433" xr:uid="{F7763BC2-C2C6-451E-84B4-928D2E58E461}"/>
    <cellStyle name="Normal 12 8" xfId="2846" xr:uid="{514C251E-6DC1-4A9C-A951-123139BF0938}"/>
    <cellStyle name="Normal 12 8 2" xfId="5075" xr:uid="{993D0A0A-B2FA-4B7F-9D46-B6649E4AB035}"/>
    <cellStyle name="Normal 12 8 2 2" xfId="9293" xr:uid="{BC207442-B5E7-42B3-8984-54B9C8238FDF}"/>
    <cellStyle name="Normal 12 8 3" xfId="7148" xr:uid="{B741189F-871F-4113-9051-4464E5C504CE}"/>
    <cellStyle name="Normal 12 9" xfId="3259" xr:uid="{696F5487-3BE9-4A1C-AB28-FC8BC965C1EF}"/>
    <cellStyle name="Normal 12 9 2" xfId="5488" xr:uid="{161155D1-2086-4B1A-8E10-079B87A53259}"/>
    <cellStyle name="Normal 12 9 2 2" xfId="9706" xr:uid="{C84FBA16-3AF4-43B0-8B78-BE3C29540F2D}"/>
    <cellStyle name="Normal 12 9 3" xfId="7561" xr:uid="{F56DEE98-E6C5-4738-A702-2C26FD13DDCE}"/>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4257" xr:uid="{DEF49D28-F7C3-4F0E-BFF1-D09C1DEFC4E1}"/>
    <cellStyle name="Normal 14 2 2 2" xfId="8475" xr:uid="{426A28BD-3E28-43EE-A13D-4C34B8CD85CA}"/>
    <cellStyle name="Normal 14 2 3" xfId="6330" xr:uid="{5B8BBA39-9394-4F7A-93DB-A09A63B935C8}"/>
    <cellStyle name="Normal 14 2 4" xfId="2027" xr:uid="{DCC6E1DE-DF43-4FB6-9BFF-E6D38652BFAD}"/>
    <cellStyle name="Normal 14 3" xfId="1199" xr:uid="{5F8239C4-BACB-439B-848B-1922354DF7D2}"/>
    <cellStyle name="Normal 14 3 2" xfId="4670" xr:uid="{DF674760-90C8-458C-A4A6-7888A799A3AC}"/>
    <cellStyle name="Normal 14 3 2 2" xfId="8888" xr:uid="{7E68B0EB-76DF-4252-9252-13ABF3B58741}"/>
    <cellStyle name="Normal 14 3 3" xfId="6743" xr:uid="{58BCE84E-FEBE-4516-A1C5-44DD5F99177E}"/>
    <cellStyle name="Normal 14 3 4" xfId="2441" xr:uid="{3B3F1844-DCA5-4B11-8F7E-21E828AF1F1B}"/>
    <cellStyle name="Normal 14 4" xfId="2854" xr:uid="{5A144190-578E-4BE6-8E04-64C63F8AFB3D}"/>
    <cellStyle name="Normal 14 4 2" xfId="5083" xr:uid="{264333BD-7B6B-421F-A718-8A471D422ECB}"/>
    <cellStyle name="Normal 14 4 2 2" xfId="9301" xr:uid="{EA21A281-FD9F-48B0-9EE4-519AD3AAA5CF}"/>
    <cellStyle name="Normal 14 4 3" xfId="7156" xr:uid="{DB839A6B-61CA-45FF-91E8-5C2671BD18BA}"/>
    <cellStyle name="Normal 14 5" xfId="3267" xr:uid="{B94B351E-F704-4915-9CBF-CFE2B281C2D5}"/>
    <cellStyle name="Normal 14 5 2" xfId="5496" xr:uid="{0234B499-4BDB-4FCB-B08A-6745F67971BC}"/>
    <cellStyle name="Normal 14 5 2 2" xfId="9714" xr:uid="{F964A865-139A-4574-AAF1-D2657E930A6A}"/>
    <cellStyle name="Normal 14 5 3" xfId="7569" xr:uid="{2B9575C5-97CB-4EB0-B4D2-DD2A5D5BD966}"/>
    <cellStyle name="Normal 14 6" xfId="3703" xr:uid="{496D7F4A-12D0-4C9E-A91F-0A2970AE6461}"/>
    <cellStyle name="Normal 14 6 2" xfId="7982" xr:uid="{EFFD34E4-61C8-42D8-AE58-B66AECD9F8CD}"/>
    <cellStyle name="Normal 14 7" xfId="5916" xr:uid="{7DD9B313-E57F-42EE-BFBC-B944B29049A7}"/>
    <cellStyle name="Normal 14 8" xfId="1612" xr:uid="{D1C74754-7B25-4C21-AE21-FB5BA5D718A7}"/>
    <cellStyle name="Normal 15" xfId="575" xr:uid="{00000000-0005-0000-0000-0000D9010000}"/>
    <cellStyle name="Normal 15 2" xfId="5742" xr:uid="{C5EDB088-9492-4C52-8044-99BD51F054AC}"/>
    <cellStyle name="Normal 16" xfId="5745" xr:uid="{BC97E8BD-04FE-4276-B477-8FE819058EB6}"/>
    <cellStyle name="Normal 16 2" xfId="9959" xr:uid="{DCF13936-A88B-4B1A-8A66-F6342746CC28}"/>
    <cellStyle name="Normal 16 3" xfId="9962" xr:uid="{1B18E47C-F719-46F9-9774-43E635B86106}"/>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3268" xr:uid="{754C8CD5-19FD-4D4A-B3D8-1E405740B9DF}"/>
    <cellStyle name="Normal 2 4 2 10 2" xfId="5497" xr:uid="{5951A956-A13A-4076-98FA-6DB335107026}"/>
    <cellStyle name="Normal 2 4 2 10 2 2" xfId="9715" xr:uid="{D52E8FED-4923-4DAA-BBCA-6886C56EB3E2}"/>
    <cellStyle name="Normal 2 4 2 10 3" xfId="7570" xr:uid="{BECF00B6-97F9-4AE9-B9BA-3A95AF0EBF74}"/>
    <cellStyle name="Normal 2 4 2 11" xfId="3704" xr:uid="{CDA73143-99B0-4343-9B57-352DD49525F0}"/>
    <cellStyle name="Normal 2 4 2 11 2" xfId="7983" xr:uid="{6B6ABE8F-E0F7-4E6F-8BFE-392780DBD4C0}"/>
    <cellStyle name="Normal 2 4 2 12" xfId="5917" xr:uid="{D05205AE-F9E8-429C-A1F1-0B5274045A0D}"/>
    <cellStyle name="Normal 2 4 2 13" xfId="1613" xr:uid="{68A9F1E8-170D-4F0A-B32D-DDD383CD21D5}"/>
    <cellStyle name="Normal 2 4 2 2" xfId="283" xr:uid="{00000000-0005-0000-0000-0000E6010000}"/>
    <cellStyle name="Normal 2 4 2 3" xfId="284" xr:uid="{00000000-0005-0000-0000-0000E7010000}"/>
    <cellStyle name="Normal 2 4 2 3 10" xfId="5918" xr:uid="{C53F5947-B0FA-43A8-B3FF-474C1FE89BF0}"/>
    <cellStyle name="Normal 2 4 2 3 11" xfId="1614" xr:uid="{E26145F7-6C26-4FF1-A1FF-7302D6BC1977}"/>
    <cellStyle name="Normal 2 4 2 3 2" xfId="285" xr:uid="{00000000-0005-0000-0000-0000E8010000}"/>
    <cellStyle name="Normal 2 4 2 3 2 10" xfId="1615" xr:uid="{49D88CFC-1554-475A-B364-CE274AFE05CD}"/>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4262" xr:uid="{7CDDB583-7A0B-4CD3-9C1A-74170EF24159}"/>
    <cellStyle name="Normal 2 4 2 3 2 2 2 2 2 2" xfId="8480" xr:uid="{69C696C5-525D-4DDC-B9C7-0F059F0DEED3}"/>
    <cellStyle name="Normal 2 4 2 3 2 2 2 2 3" xfId="6335" xr:uid="{468653E6-E0BA-4D80-AA02-F9A4B96FA4D0}"/>
    <cellStyle name="Normal 2 4 2 3 2 2 2 2 4" xfId="2033" xr:uid="{859EC6EC-F2C9-4B54-826A-A36E5856A8EB}"/>
    <cellStyle name="Normal 2 4 2 3 2 2 2 3" xfId="1204" xr:uid="{F8713443-CB2E-4775-A4B8-13F2E411071E}"/>
    <cellStyle name="Normal 2 4 2 3 2 2 2 3 2" xfId="4675" xr:uid="{B332E250-DE71-476B-AC0B-551FDE576543}"/>
    <cellStyle name="Normal 2 4 2 3 2 2 2 3 2 2" xfId="8893" xr:uid="{0FFBBD7F-50DF-411E-BDBB-C992FBBB9744}"/>
    <cellStyle name="Normal 2 4 2 3 2 2 2 3 3" xfId="6748" xr:uid="{D74FE22E-0C64-4F30-9F82-3D05B5CABC89}"/>
    <cellStyle name="Normal 2 4 2 3 2 2 2 3 4" xfId="2446" xr:uid="{904158D4-A3C3-497F-865A-33DC69A236FA}"/>
    <cellStyle name="Normal 2 4 2 3 2 2 2 4" xfId="2859" xr:uid="{9D2DC342-D26D-47BF-A79B-5E5F875F69D0}"/>
    <cellStyle name="Normal 2 4 2 3 2 2 2 4 2" xfId="5088" xr:uid="{6FD8D5E3-21EA-49DB-A0B3-6FAF955C791E}"/>
    <cellStyle name="Normal 2 4 2 3 2 2 2 4 2 2" xfId="9306" xr:uid="{816C1A0A-60AE-40A1-A633-87B66EEC0557}"/>
    <cellStyle name="Normal 2 4 2 3 2 2 2 4 3" xfId="7161" xr:uid="{0EBEC00D-7F75-4943-9635-A802F15ABD23}"/>
    <cellStyle name="Normal 2 4 2 3 2 2 2 5" xfId="3272" xr:uid="{39AF2F56-EB48-4390-8BEF-5B95AF41F282}"/>
    <cellStyle name="Normal 2 4 2 3 2 2 2 5 2" xfId="5501" xr:uid="{6A81D1E3-A5DE-4C5C-A9EE-8D4A0C112C7C}"/>
    <cellStyle name="Normal 2 4 2 3 2 2 2 5 2 2" xfId="9719" xr:uid="{89BF3E35-F997-4CBC-B18B-7DA2F7A83849}"/>
    <cellStyle name="Normal 2 4 2 3 2 2 2 5 3" xfId="7574" xr:uid="{A4F85861-A985-456E-A0F0-CF85A4A5BAC0}"/>
    <cellStyle name="Normal 2 4 2 3 2 2 2 6" xfId="3708" xr:uid="{599DED78-259F-4DD5-AE98-92B24B266097}"/>
    <cellStyle name="Normal 2 4 2 3 2 2 2 6 2" xfId="7987" xr:uid="{36B880AF-CDCE-41C8-BF0B-83EE3BF95E1C}"/>
    <cellStyle name="Normal 2 4 2 3 2 2 2 7" xfId="5921" xr:uid="{71F33367-7042-48E6-8D53-E843E5806A9A}"/>
    <cellStyle name="Normal 2 4 2 3 2 2 2 8" xfId="1617" xr:uid="{8AC766AA-5CB7-4E16-9055-253F46673BB6}"/>
    <cellStyle name="Normal 2 4 2 3 2 2 3" xfId="782" xr:uid="{00000000-0005-0000-0000-0000EC010000}"/>
    <cellStyle name="Normal 2 4 2 3 2 2 3 2" xfId="4261" xr:uid="{C5876555-28FC-4596-B7C2-5BC3812E1C5C}"/>
    <cellStyle name="Normal 2 4 2 3 2 2 3 2 2" xfId="8479" xr:uid="{F11AEC2F-DB10-4810-ACE0-6C0B854C2C05}"/>
    <cellStyle name="Normal 2 4 2 3 2 2 3 3" xfId="6334" xr:uid="{AACCA555-8954-4F87-B47D-91A4D03EC5D5}"/>
    <cellStyle name="Normal 2 4 2 3 2 2 3 4" xfId="2032" xr:uid="{1105D744-4E91-482C-A13F-1A0A018F7BBB}"/>
    <cellStyle name="Normal 2 4 2 3 2 2 4" xfId="1203" xr:uid="{7431ECCD-0164-45D1-98A5-FD5D2A005C1D}"/>
    <cellStyle name="Normal 2 4 2 3 2 2 4 2" xfId="4674" xr:uid="{80B7BF9D-0279-4CEF-8190-481E3AA5C0BB}"/>
    <cellStyle name="Normal 2 4 2 3 2 2 4 2 2" xfId="8892" xr:uid="{DC65C98D-1723-4116-B6C0-A08A172D083F}"/>
    <cellStyle name="Normal 2 4 2 3 2 2 4 3" xfId="6747" xr:uid="{1E490A66-3056-42F8-99D6-37DB0C3C8AEB}"/>
    <cellStyle name="Normal 2 4 2 3 2 2 4 4" xfId="2445" xr:uid="{6D7D7700-49E8-4D1C-8EA3-7406D360AEE3}"/>
    <cellStyle name="Normal 2 4 2 3 2 2 5" xfId="2858" xr:uid="{7E716CCA-9144-44F4-9FC3-90401EEE7EF9}"/>
    <cellStyle name="Normal 2 4 2 3 2 2 5 2" xfId="5087" xr:uid="{9B607D59-486D-48CA-BF03-D21020B96058}"/>
    <cellStyle name="Normal 2 4 2 3 2 2 5 2 2" xfId="9305" xr:uid="{F1134C12-705B-4BEB-9660-ED47C8541742}"/>
    <cellStyle name="Normal 2 4 2 3 2 2 5 3" xfId="7160" xr:uid="{678A50FF-9A0E-4316-B252-2887F708A84C}"/>
    <cellStyle name="Normal 2 4 2 3 2 2 6" xfId="3271" xr:uid="{10CA467B-DCB5-42D9-8A37-C7D81275A3AB}"/>
    <cellStyle name="Normal 2 4 2 3 2 2 6 2" xfId="5500" xr:uid="{4863A6E8-5AB7-44AD-8DD1-0A53A940F9AD}"/>
    <cellStyle name="Normal 2 4 2 3 2 2 6 2 2" xfId="9718" xr:uid="{2D5833B8-FDEA-4AA4-B3F8-FF3BFA37F5B5}"/>
    <cellStyle name="Normal 2 4 2 3 2 2 6 3" xfId="7573" xr:uid="{ED1A5559-E581-473F-A098-4BEE56EC8663}"/>
    <cellStyle name="Normal 2 4 2 3 2 2 7" xfId="3707" xr:uid="{9C926B91-5D97-422F-BD52-684B08793ECD}"/>
    <cellStyle name="Normal 2 4 2 3 2 2 7 2" xfId="7986" xr:uid="{315A8A5D-CA0E-41B6-8105-9090188CAC53}"/>
    <cellStyle name="Normal 2 4 2 3 2 2 8" xfId="5920" xr:uid="{C7A7078B-5DB6-4EA5-9492-521360E795A4}"/>
    <cellStyle name="Normal 2 4 2 3 2 2 9" xfId="1616" xr:uid="{9A73D35A-6861-4F49-B2A5-1FFF412A8C91}"/>
    <cellStyle name="Normal 2 4 2 3 2 3" xfId="288" xr:uid="{00000000-0005-0000-0000-0000ED010000}"/>
    <cellStyle name="Normal 2 4 2 3 2 3 2" xfId="784" xr:uid="{00000000-0005-0000-0000-0000EE010000}"/>
    <cellStyle name="Normal 2 4 2 3 2 3 2 2" xfId="4263" xr:uid="{A5DDD240-D9DC-49FB-86F8-5F0B93A7F72E}"/>
    <cellStyle name="Normal 2 4 2 3 2 3 2 2 2" xfId="8481" xr:uid="{6738A775-2E4B-4E78-A464-37AB1C6AE81B}"/>
    <cellStyle name="Normal 2 4 2 3 2 3 2 3" xfId="6336" xr:uid="{038A3EC6-861C-457F-947A-A1957825CBCF}"/>
    <cellStyle name="Normal 2 4 2 3 2 3 2 4" xfId="2034" xr:uid="{56AE79B9-6E4F-4AAE-BE82-8DF0D1CADD8D}"/>
    <cellStyle name="Normal 2 4 2 3 2 3 3" xfId="1205" xr:uid="{49C3D4E9-7C96-45AC-930A-89A43F0EF097}"/>
    <cellStyle name="Normal 2 4 2 3 2 3 3 2" xfId="4676" xr:uid="{1765652B-6E5F-4641-997B-32F3A4F7F8BA}"/>
    <cellStyle name="Normal 2 4 2 3 2 3 3 2 2" xfId="8894" xr:uid="{1FBC9583-8BB0-4A8D-A6E3-59D7EE5F4582}"/>
    <cellStyle name="Normal 2 4 2 3 2 3 3 3" xfId="6749" xr:uid="{00E65F7B-3126-4F73-9C23-21604FF206FE}"/>
    <cellStyle name="Normal 2 4 2 3 2 3 3 4" xfId="2447" xr:uid="{C8782FD8-9E05-40B9-BD97-59A041895CC5}"/>
    <cellStyle name="Normal 2 4 2 3 2 3 4" xfId="2860" xr:uid="{95B34652-30A9-442B-9B91-1BBA5384D7C6}"/>
    <cellStyle name="Normal 2 4 2 3 2 3 4 2" xfId="5089" xr:uid="{3DD90171-AC99-436D-8663-277503830472}"/>
    <cellStyle name="Normal 2 4 2 3 2 3 4 2 2" xfId="9307" xr:uid="{EBE1FB27-35CC-4BDC-947E-8B09045CA5DF}"/>
    <cellStyle name="Normal 2 4 2 3 2 3 4 3" xfId="7162" xr:uid="{9BB191E6-926A-48DB-A0FB-3E9D1BE1330C}"/>
    <cellStyle name="Normal 2 4 2 3 2 3 5" xfId="3273" xr:uid="{AA653C6C-529C-44EC-BEA6-6A41D62651A4}"/>
    <cellStyle name="Normal 2 4 2 3 2 3 5 2" xfId="5502" xr:uid="{CBAAEA50-1FEC-414F-9E0F-40292E3B7406}"/>
    <cellStyle name="Normal 2 4 2 3 2 3 5 2 2" xfId="9720" xr:uid="{F9C850BE-C077-475F-8350-433E26F72F8B}"/>
    <cellStyle name="Normal 2 4 2 3 2 3 5 3" xfId="7575" xr:uid="{7357BFB7-29EA-407E-B98B-5EED2624BC4D}"/>
    <cellStyle name="Normal 2 4 2 3 2 3 6" xfId="3709" xr:uid="{22AADB1C-1CF0-4534-981E-5D6EF9AFFAB8}"/>
    <cellStyle name="Normal 2 4 2 3 2 3 6 2" xfId="7988" xr:uid="{E81876DC-E2D7-452E-81C4-F8131E7D9550}"/>
    <cellStyle name="Normal 2 4 2 3 2 3 7" xfId="5922" xr:uid="{F8C2E890-5980-44A9-9226-EDCB0DF73FA6}"/>
    <cellStyle name="Normal 2 4 2 3 2 3 8" xfId="1618" xr:uid="{905F3DE9-4C3F-448E-AC34-2D628247C9C5}"/>
    <cellStyle name="Normal 2 4 2 3 2 4" xfId="781" xr:uid="{00000000-0005-0000-0000-0000EF010000}"/>
    <cellStyle name="Normal 2 4 2 3 2 4 2" xfId="4260" xr:uid="{CC3E468B-808A-46C3-9664-A52C2EEE6C09}"/>
    <cellStyle name="Normal 2 4 2 3 2 4 2 2" xfId="8478" xr:uid="{991A6047-8737-4B3A-94A3-A5AEBCE2C09B}"/>
    <cellStyle name="Normal 2 4 2 3 2 4 3" xfId="6333" xr:uid="{9AF96787-AFEB-4359-BD1A-AF15E20ABB0E}"/>
    <cellStyle name="Normal 2 4 2 3 2 4 4" xfId="2031" xr:uid="{FC288D80-DF38-4675-9D2E-FA09356B8BD2}"/>
    <cellStyle name="Normal 2 4 2 3 2 5" xfId="1202" xr:uid="{4D2A8D0D-5897-452C-B043-64599D43C1C3}"/>
    <cellStyle name="Normal 2 4 2 3 2 5 2" xfId="4673" xr:uid="{F69BE722-10E8-4CDF-B248-869D1EC47D1F}"/>
    <cellStyle name="Normal 2 4 2 3 2 5 2 2" xfId="8891" xr:uid="{D83D643A-EDCD-4B32-8857-69B1A058391B}"/>
    <cellStyle name="Normal 2 4 2 3 2 5 3" xfId="6746" xr:uid="{4C00DA50-0B87-4980-BBB6-40BC65C51622}"/>
    <cellStyle name="Normal 2 4 2 3 2 5 4" xfId="2444" xr:uid="{BEE05942-1275-4BEE-8E8D-41E84CFE928E}"/>
    <cellStyle name="Normal 2 4 2 3 2 6" xfId="2857" xr:uid="{25B76714-A88A-405B-A0F4-8D62DD206822}"/>
    <cellStyle name="Normal 2 4 2 3 2 6 2" xfId="5086" xr:uid="{BA0B01F5-9517-4A0A-B647-270282A9D63A}"/>
    <cellStyle name="Normal 2 4 2 3 2 6 2 2" xfId="9304" xr:uid="{99D414EC-13C7-42A7-AB96-2F679257D3AF}"/>
    <cellStyle name="Normal 2 4 2 3 2 6 3" xfId="7159" xr:uid="{5F3A3250-40A4-4026-BC4F-6CED36047ED9}"/>
    <cellStyle name="Normal 2 4 2 3 2 7" xfId="3270" xr:uid="{8CF8BA38-34A2-4F32-AA08-8A2EA10A4FC8}"/>
    <cellStyle name="Normal 2 4 2 3 2 7 2" xfId="5499" xr:uid="{975360C6-C4A3-4ADE-9253-D2565EAFE3C1}"/>
    <cellStyle name="Normal 2 4 2 3 2 7 2 2" xfId="9717" xr:uid="{17B601B2-E4CB-4180-B865-C8429A388670}"/>
    <cellStyle name="Normal 2 4 2 3 2 7 3" xfId="7572" xr:uid="{1618F694-6222-41FB-B7A3-E73144019EF3}"/>
    <cellStyle name="Normal 2 4 2 3 2 8" xfId="3706" xr:uid="{F7885B21-9AC0-4302-9DFF-7487896CF349}"/>
    <cellStyle name="Normal 2 4 2 3 2 8 2" xfId="7985" xr:uid="{FCDB0D1A-188E-456E-978C-3DC571E7D687}"/>
    <cellStyle name="Normal 2 4 2 3 2 9" xfId="5919" xr:uid="{E5CE3D30-752E-4596-86EB-605381E89476}"/>
    <cellStyle name="Normal 2 4 2 3 3" xfId="289" xr:uid="{00000000-0005-0000-0000-0000F0010000}"/>
    <cellStyle name="Normal 2 4 2 3 3 2" xfId="290" xr:uid="{00000000-0005-0000-0000-0000F1010000}"/>
    <cellStyle name="Normal 2 4 2 3 3 2 2" xfId="786" xr:uid="{00000000-0005-0000-0000-0000F2010000}"/>
    <cellStyle name="Normal 2 4 2 3 3 2 2 2" xfId="4265" xr:uid="{1D32AC7B-CC6A-44AA-B476-75992708DF96}"/>
    <cellStyle name="Normal 2 4 2 3 3 2 2 2 2" xfId="8483" xr:uid="{7D1D298A-F16E-4588-BF4F-DF75636380A9}"/>
    <cellStyle name="Normal 2 4 2 3 3 2 2 3" xfId="6338" xr:uid="{CD3C503A-23BF-4B44-826D-6F2CE6BA6DB1}"/>
    <cellStyle name="Normal 2 4 2 3 3 2 2 4" xfId="2036" xr:uid="{CDEFFB0C-FEEF-4BD8-8DC9-C4F44216C26C}"/>
    <cellStyle name="Normal 2 4 2 3 3 2 3" xfId="1207" xr:uid="{74DC3F7E-AF7B-41C2-B61F-C847E0EABF83}"/>
    <cellStyle name="Normal 2 4 2 3 3 2 3 2" xfId="4678" xr:uid="{EF75E472-E640-4948-AB9C-29A03177F3F5}"/>
    <cellStyle name="Normal 2 4 2 3 3 2 3 2 2" xfId="8896" xr:uid="{50A784CA-AD1F-4A8C-96A6-F274D09D1BC7}"/>
    <cellStyle name="Normal 2 4 2 3 3 2 3 3" xfId="6751" xr:uid="{D1ACF251-30D9-4D98-B51E-18A35A5B369B}"/>
    <cellStyle name="Normal 2 4 2 3 3 2 3 4" xfId="2449" xr:uid="{6088A934-A50F-485D-8D2F-502D4822563D}"/>
    <cellStyle name="Normal 2 4 2 3 3 2 4" xfId="2862" xr:uid="{06711362-7957-4B2C-BF51-0E8D8211C983}"/>
    <cellStyle name="Normal 2 4 2 3 3 2 4 2" xfId="5091" xr:uid="{F677463C-5270-41A0-8966-053C5E82FC55}"/>
    <cellStyle name="Normal 2 4 2 3 3 2 4 2 2" xfId="9309" xr:uid="{7FCAEB37-472C-401D-B65B-709C73DF2540}"/>
    <cellStyle name="Normal 2 4 2 3 3 2 4 3" xfId="7164" xr:uid="{94E6A8AC-F5B7-4AEC-85A2-D0643CB7F9FA}"/>
    <cellStyle name="Normal 2 4 2 3 3 2 5" xfId="3275" xr:uid="{6BE7A65A-3972-4AB1-8D0A-37AAC4E631E4}"/>
    <cellStyle name="Normal 2 4 2 3 3 2 5 2" xfId="5504" xr:uid="{AD626422-11FC-4848-BB5F-38F2DB31425B}"/>
    <cellStyle name="Normal 2 4 2 3 3 2 5 2 2" xfId="9722" xr:uid="{B62B635A-3D51-46A8-8301-A8165F38EA98}"/>
    <cellStyle name="Normal 2 4 2 3 3 2 5 3" xfId="7577" xr:uid="{26CE893C-1C30-4F8A-9BD6-6B6DA58ECB15}"/>
    <cellStyle name="Normal 2 4 2 3 3 2 6" xfId="3711" xr:uid="{FA14890B-E9A1-49AC-9614-3F2D8F66FCAC}"/>
    <cellStyle name="Normal 2 4 2 3 3 2 6 2" xfId="7990" xr:uid="{31C29B89-B33D-4663-A63B-F3E17741FF74}"/>
    <cellStyle name="Normal 2 4 2 3 3 2 7" xfId="5924" xr:uid="{A022A2AE-446E-470A-B17C-42BAB3121F21}"/>
    <cellStyle name="Normal 2 4 2 3 3 2 8" xfId="1620" xr:uid="{1F16D40F-F2D0-4BF0-B9D0-541B3B2234A8}"/>
    <cellStyle name="Normal 2 4 2 3 3 3" xfId="785" xr:uid="{00000000-0005-0000-0000-0000F3010000}"/>
    <cellStyle name="Normal 2 4 2 3 3 3 2" xfId="4264" xr:uid="{E335F789-4258-48F3-8F3F-D2E171C65420}"/>
    <cellStyle name="Normal 2 4 2 3 3 3 2 2" xfId="8482" xr:uid="{DED5A64C-9C62-4D2B-942A-AF2B84DB978C}"/>
    <cellStyle name="Normal 2 4 2 3 3 3 3" xfId="6337" xr:uid="{CADD56D7-A601-4E21-9A97-F4070D86251E}"/>
    <cellStyle name="Normal 2 4 2 3 3 3 4" xfId="2035" xr:uid="{F86FDA7E-9678-495A-8614-2228BF9265F6}"/>
    <cellStyle name="Normal 2 4 2 3 3 4" xfId="1206" xr:uid="{8743907A-934E-44B2-A97C-24CEE6DA1D19}"/>
    <cellStyle name="Normal 2 4 2 3 3 4 2" xfId="4677" xr:uid="{A89109BC-DF6B-4145-8827-A532BF2609EB}"/>
    <cellStyle name="Normal 2 4 2 3 3 4 2 2" xfId="8895" xr:uid="{F3439F92-6C07-4655-B63C-FDCC394106C5}"/>
    <cellStyle name="Normal 2 4 2 3 3 4 3" xfId="6750" xr:uid="{2B479A39-7728-42CF-8009-1618CBE23550}"/>
    <cellStyle name="Normal 2 4 2 3 3 4 4" xfId="2448" xr:uid="{557265E0-35EB-4480-B934-66AA1B9D84EE}"/>
    <cellStyle name="Normal 2 4 2 3 3 5" xfId="2861" xr:uid="{C3B5F245-3084-4933-83D4-9CF7B3BA0393}"/>
    <cellStyle name="Normal 2 4 2 3 3 5 2" xfId="5090" xr:uid="{CC2774E0-B036-4090-9482-9D18F4D9CDB4}"/>
    <cellStyle name="Normal 2 4 2 3 3 5 2 2" xfId="9308" xr:uid="{6EDF30B9-2F40-47DB-8733-4ECE84CA6A17}"/>
    <cellStyle name="Normal 2 4 2 3 3 5 3" xfId="7163" xr:uid="{3DD21C8E-3968-494E-9502-BC1DE073874D}"/>
    <cellStyle name="Normal 2 4 2 3 3 6" xfId="3274" xr:uid="{45B61BD8-3FE7-4A0D-A317-30EB0E5818B9}"/>
    <cellStyle name="Normal 2 4 2 3 3 6 2" xfId="5503" xr:uid="{C220F678-DDA0-488B-8E91-BEEC473170B3}"/>
    <cellStyle name="Normal 2 4 2 3 3 6 2 2" xfId="9721" xr:uid="{B9DA1FB5-EC40-4ECB-B89F-14A54F87CC48}"/>
    <cellStyle name="Normal 2 4 2 3 3 6 3" xfId="7576" xr:uid="{AECCDC4F-71BE-4139-A18F-1D2DB21F852A}"/>
    <cellStyle name="Normal 2 4 2 3 3 7" xfId="3710" xr:uid="{72A3A1CD-3BDC-4DB8-A4AF-337E8895A42A}"/>
    <cellStyle name="Normal 2 4 2 3 3 7 2" xfId="7989" xr:uid="{7ECF9D25-41EE-47BA-8DB4-51EC16AB65B5}"/>
    <cellStyle name="Normal 2 4 2 3 3 8" xfId="5923" xr:uid="{7C5E3EE2-5B53-43D7-8C0C-5F229F3ABE4F}"/>
    <cellStyle name="Normal 2 4 2 3 3 9" xfId="1619" xr:uid="{3295F3D7-6EE5-4FE7-911D-A72A0E2D72BE}"/>
    <cellStyle name="Normal 2 4 2 3 4" xfId="291" xr:uid="{00000000-0005-0000-0000-0000F4010000}"/>
    <cellStyle name="Normal 2 4 2 3 4 2" xfId="787" xr:uid="{00000000-0005-0000-0000-0000F5010000}"/>
    <cellStyle name="Normal 2 4 2 3 4 2 2" xfId="4266" xr:uid="{0228BD1A-0EED-4706-8169-5C160F9C9C2D}"/>
    <cellStyle name="Normal 2 4 2 3 4 2 2 2" xfId="8484" xr:uid="{2D9A439A-35E3-4643-A21F-F7F5AEC30F85}"/>
    <cellStyle name="Normal 2 4 2 3 4 2 3" xfId="6339" xr:uid="{CDB3654A-BBE8-4482-A843-645346EE02FE}"/>
    <cellStyle name="Normal 2 4 2 3 4 2 4" xfId="2037" xr:uid="{FDCE5F65-D0DC-4BA0-970B-4D0D81D56C6F}"/>
    <cellStyle name="Normal 2 4 2 3 4 3" xfId="1208" xr:uid="{E3631206-7ECD-45A2-BF46-5E12E3533944}"/>
    <cellStyle name="Normal 2 4 2 3 4 3 2" xfId="4679" xr:uid="{4868AF63-4077-4CA3-8205-9D63A85FB89E}"/>
    <cellStyle name="Normal 2 4 2 3 4 3 2 2" xfId="8897" xr:uid="{F67BCB26-932F-4284-8AC0-5170B8C5348F}"/>
    <cellStyle name="Normal 2 4 2 3 4 3 3" xfId="6752" xr:uid="{6470CE94-7827-46B9-8AA8-2F7F2EF64827}"/>
    <cellStyle name="Normal 2 4 2 3 4 3 4" xfId="2450" xr:uid="{B2305BD0-270A-40D4-83D0-6334A8325424}"/>
    <cellStyle name="Normal 2 4 2 3 4 4" xfId="2863" xr:uid="{F159391C-2004-4BA1-A425-68875BDF3114}"/>
    <cellStyle name="Normal 2 4 2 3 4 4 2" xfId="5092" xr:uid="{F30FF087-7E27-4A83-820A-EDEB30C23D8D}"/>
    <cellStyle name="Normal 2 4 2 3 4 4 2 2" xfId="9310" xr:uid="{04830AD7-25EB-49E9-9AC7-7A935D7CB758}"/>
    <cellStyle name="Normal 2 4 2 3 4 4 3" xfId="7165" xr:uid="{993115B8-88D4-4756-BF08-C883EF184F81}"/>
    <cellStyle name="Normal 2 4 2 3 4 5" xfId="3276" xr:uid="{4812F639-06CE-48F7-B982-4531E66364E9}"/>
    <cellStyle name="Normal 2 4 2 3 4 5 2" xfId="5505" xr:uid="{BF7AE797-BF40-470E-B52A-5464DCCFD5C7}"/>
    <cellStyle name="Normal 2 4 2 3 4 5 2 2" xfId="9723" xr:uid="{F08FB388-AC39-4C2F-8DFC-801D6F0CF454}"/>
    <cellStyle name="Normal 2 4 2 3 4 5 3" xfId="7578" xr:uid="{F9E42B57-9E35-4622-98E8-292E73AD5620}"/>
    <cellStyle name="Normal 2 4 2 3 4 6" xfId="3712" xr:uid="{EE17F261-3347-4994-A720-9BC383AEC704}"/>
    <cellStyle name="Normal 2 4 2 3 4 6 2" xfId="7991" xr:uid="{BD4EFA3B-17CE-4AB6-8B55-1A593AA28DFF}"/>
    <cellStyle name="Normal 2 4 2 3 4 7" xfId="5925" xr:uid="{60696ACE-1314-4D67-89B1-EA14B0946051}"/>
    <cellStyle name="Normal 2 4 2 3 4 8" xfId="1621" xr:uid="{825424C0-7DD7-4F43-BBD3-8811E7603CFD}"/>
    <cellStyle name="Normal 2 4 2 3 5" xfId="780" xr:uid="{00000000-0005-0000-0000-0000F6010000}"/>
    <cellStyle name="Normal 2 4 2 3 5 2" xfId="4259" xr:uid="{FFE44E92-CCDB-49A5-BB07-8DD4962CFE31}"/>
    <cellStyle name="Normal 2 4 2 3 5 2 2" xfId="8477" xr:uid="{27BFC05D-07AB-48B8-9765-BAB9DFAFC56D}"/>
    <cellStyle name="Normal 2 4 2 3 5 3" xfId="6332" xr:uid="{228BD663-DA6D-49C8-B7FB-C4E6F809E2A9}"/>
    <cellStyle name="Normal 2 4 2 3 5 4" xfId="2030" xr:uid="{CB34CEA7-1D38-4EB6-821B-F6044DB78E7E}"/>
    <cellStyle name="Normal 2 4 2 3 6" xfId="1201" xr:uid="{98EA5C48-325A-4730-BB59-0B5BA33F12C0}"/>
    <cellStyle name="Normal 2 4 2 3 6 2" xfId="4672" xr:uid="{380CF769-225F-4A38-AEAD-917CCD981601}"/>
    <cellStyle name="Normal 2 4 2 3 6 2 2" xfId="8890" xr:uid="{34127916-B419-473A-B56C-23556336DA5A}"/>
    <cellStyle name="Normal 2 4 2 3 6 3" xfId="6745" xr:uid="{AB8B2B11-53E4-487C-89FD-AD2967F85B13}"/>
    <cellStyle name="Normal 2 4 2 3 6 4" xfId="2443" xr:uid="{19501853-25AF-4DDE-9FD9-417433CFD233}"/>
    <cellStyle name="Normal 2 4 2 3 7" xfId="2856" xr:uid="{4696C8FF-66A5-4AD7-BA3C-B3DB3BB702F9}"/>
    <cellStyle name="Normal 2 4 2 3 7 2" xfId="5085" xr:uid="{C460C6D1-E8E3-449A-A698-3D8CC1D540EC}"/>
    <cellStyle name="Normal 2 4 2 3 7 2 2" xfId="9303" xr:uid="{A32E287F-56D8-452D-84E1-4E600360EDCD}"/>
    <cellStyle name="Normal 2 4 2 3 7 3" xfId="7158" xr:uid="{DC3E3505-4A7C-49E5-889B-685F2DFC783A}"/>
    <cellStyle name="Normal 2 4 2 3 8" xfId="3269" xr:uid="{A570EDB1-93DA-4AEF-8E65-CAF205F9F6ED}"/>
    <cellStyle name="Normal 2 4 2 3 8 2" xfId="5498" xr:uid="{2B5A2328-E426-4F30-A496-8838B5E4451F}"/>
    <cellStyle name="Normal 2 4 2 3 8 2 2" xfId="9716" xr:uid="{89EFE15E-13FB-4837-A750-08C0818E8BDA}"/>
    <cellStyle name="Normal 2 4 2 3 8 3" xfId="7571" xr:uid="{D762ABBC-463B-46DE-AAFE-D8FADD5B56EA}"/>
    <cellStyle name="Normal 2 4 2 3 9" xfId="3705" xr:uid="{31208D4B-BDE2-49A5-9CA0-0827CC523B21}"/>
    <cellStyle name="Normal 2 4 2 3 9 2" xfId="7984" xr:uid="{FDEF3296-8259-47BE-B427-D4918308BE51}"/>
    <cellStyle name="Normal 2 4 2 4" xfId="292" xr:uid="{00000000-0005-0000-0000-0000F7010000}"/>
    <cellStyle name="Normal 2 4 2 4 10" xfId="1622" xr:uid="{AAD60D53-92D0-42B1-8D88-779E26E769E2}"/>
    <cellStyle name="Normal 2 4 2 4 2" xfId="293" xr:uid="{00000000-0005-0000-0000-0000F8010000}"/>
    <cellStyle name="Normal 2 4 2 4 2 2" xfId="294" xr:uid="{00000000-0005-0000-0000-0000F9010000}"/>
    <cellStyle name="Normal 2 4 2 4 2 2 2" xfId="790" xr:uid="{00000000-0005-0000-0000-0000FA010000}"/>
    <cellStyle name="Normal 2 4 2 4 2 2 2 2" xfId="4269" xr:uid="{6EFBAB60-6E98-40CC-B8B4-8CAC10B01582}"/>
    <cellStyle name="Normal 2 4 2 4 2 2 2 2 2" xfId="8487" xr:uid="{DC5584B6-FFBB-41DE-AC71-CBD42B7E97D0}"/>
    <cellStyle name="Normal 2 4 2 4 2 2 2 3" xfId="6342" xr:uid="{570C3BA6-70ED-45FB-9870-ED03A0373539}"/>
    <cellStyle name="Normal 2 4 2 4 2 2 2 4" xfId="2040" xr:uid="{842CD242-24BF-48BB-986A-1C786440BFEF}"/>
    <cellStyle name="Normal 2 4 2 4 2 2 3" xfId="1211" xr:uid="{7F65CD02-EB7F-4BC6-96FE-275CDA336523}"/>
    <cellStyle name="Normal 2 4 2 4 2 2 3 2" xfId="4682" xr:uid="{8EFE0593-BD90-4B32-9076-F187F503486A}"/>
    <cellStyle name="Normal 2 4 2 4 2 2 3 2 2" xfId="8900" xr:uid="{71031F12-7F90-4BB8-835A-D18F4321A79F}"/>
    <cellStyle name="Normal 2 4 2 4 2 2 3 3" xfId="6755" xr:uid="{EA3140F1-5502-4AE0-8C80-F26F256A1787}"/>
    <cellStyle name="Normal 2 4 2 4 2 2 3 4" xfId="2453" xr:uid="{B5D0A813-42C9-4C87-9E0E-CC4B67797D48}"/>
    <cellStyle name="Normal 2 4 2 4 2 2 4" xfId="2866" xr:uid="{315EBD35-F1EA-4A59-BCA3-EBCB7392C488}"/>
    <cellStyle name="Normal 2 4 2 4 2 2 4 2" xfId="5095" xr:uid="{2B19D5D5-A2EA-4096-90AE-B6FA25F12627}"/>
    <cellStyle name="Normal 2 4 2 4 2 2 4 2 2" xfId="9313" xr:uid="{F3EB2F5F-C396-4058-A8EA-BB397A256BF8}"/>
    <cellStyle name="Normal 2 4 2 4 2 2 4 3" xfId="7168" xr:uid="{C4315227-486D-4EFF-B81D-818664FAA576}"/>
    <cellStyle name="Normal 2 4 2 4 2 2 5" xfId="3279" xr:uid="{F032A19A-AB25-4567-89DE-1D7874AAD1B4}"/>
    <cellStyle name="Normal 2 4 2 4 2 2 5 2" xfId="5508" xr:uid="{518B5955-BB7F-41B4-8206-91D4B9D3AE61}"/>
    <cellStyle name="Normal 2 4 2 4 2 2 5 2 2" xfId="9726" xr:uid="{F8C360CC-82E6-4EE7-8741-C989227D17C5}"/>
    <cellStyle name="Normal 2 4 2 4 2 2 5 3" xfId="7581" xr:uid="{58865744-A3F2-4C31-BF35-ECFD1FDC0757}"/>
    <cellStyle name="Normal 2 4 2 4 2 2 6" xfId="3715" xr:uid="{E401E211-B9C9-46C6-AF68-D860705E944F}"/>
    <cellStyle name="Normal 2 4 2 4 2 2 6 2" xfId="7994" xr:uid="{0FD6657F-80A7-489A-9677-0E968F4DA593}"/>
    <cellStyle name="Normal 2 4 2 4 2 2 7" xfId="5928" xr:uid="{9022F2E5-814E-4093-9A83-F8ED8E398C7B}"/>
    <cellStyle name="Normal 2 4 2 4 2 2 8" xfId="1624" xr:uid="{1E0E5052-FCD3-4AC2-842E-D3FA64AAFA95}"/>
    <cellStyle name="Normal 2 4 2 4 2 3" xfId="789" xr:uid="{00000000-0005-0000-0000-0000FB010000}"/>
    <cellStyle name="Normal 2 4 2 4 2 3 2" xfId="4268" xr:uid="{1472DF1C-019C-4AD0-ADD6-17F09014909C}"/>
    <cellStyle name="Normal 2 4 2 4 2 3 2 2" xfId="8486" xr:uid="{2B708C0C-367F-4EB1-BB83-22CD8128BFDC}"/>
    <cellStyle name="Normal 2 4 2 4 2 3 3" xfId="6341" xr:uid="{B337406D-8AD4-4DEC-89D4-5BF10436D3AF}"/>
    <cellStyle name="Normal 2 4 2 4 2 3 4" xfId="2039" xr:uid="{150299A6-953D-44C1-9ED4-F2EE01D75226}"/>
    <cellStyle name="Normal 2 4 2 4 2 4" xfId="1210" xr:uid="{B8F1B5A5-444E-42AC-AB03-AE7CC9FCDD38}"/>
    <cellStyle name="Normal 2 4 2 4 2 4 2" xfId="4681" xr:uid="{2B9A0A26-F904-43BC-AF46-A982CE7898C6}"/>
    <cellStyle name="Normal 2 4 2 4 2 4 2 2" xfId="8899" xr:uid="{9C7D9E64-1AA4-4D31-8B44-A0370B5A4CC0}"/>
    <cellStyle name="Normal 2 4 2 4 2 4 3" xfId="6754" xr:uid="{76D9B461-A857-42B0-B832-BBD757D9E3A6}"/>
    <cellStyle name="Normal 2 4 2 4 2 4 4" xfId="2452" xr:uid="{A3D85EE1-5579-4965-B69A-08A215002434}"/>
    <cellStyle name="Normal 2 4 2 4 2 5" xfId="2865" xr:uid="{386E6BFD-E191-4D7F-9274-D9C4712BDCB6}"/>
    <cellStyle name="Normal 2 4 2 4 2 5 2" xfId="5094" xr:uid="{655A6CAA-E9B2-45C6-A2E6-9BB325CC40CA}"/>
    <cellStyle name="Normal 2 4 2 4 2 5 2 2" xfId="9312" xr:uid="{0C542383-90AD-4F3C-B419-91672C7EBA6C}"/>
    <cellStyle name="Normal 2 4 2 4 2 5 3" xfId="7167" xr:uid="{B0EF0225-75DA-4480-B91D-711AA47AA712}"/>
    <cellStyle name="Normal 2 4 2 4 2 6" xfId="3278" xr:uid="{A28814CB-BA9D-4D62-8600-E66AF91BCFA4}"/>
    <cellStyle name="Normal 2 4 2 4 2 6 2" xfId="5507" xr:uid="{8B048E89-457D-4CB7-A70E-E0B1763123DA}"/>
    <cellStyle name="Normal 2 4 2 4 2 6 2 2" xfId="9725" xr:uid="{13560631-5E14-476C-88B3-0A5FC92FFA3F}"/>
    <cellStyle name="Normal 2 4 2 4 2 6 3" xfId="7580" xr:uid="{51C33AA9-F5A4-454D-BE47-BBE8F6933E1E}"/>
    <cellStyle name="Normal 2 4 2 4 2 7" xfId="3714" xr:uid="{14CCE6FD-2651-435A-BEA0-2F5FE9D0FBBC}"/>
    <cellStyle name="Normal 2 4 2 4 2 7 2" xfId="7993" xr:uid="{F16D7FAD-E114-46DC-9C65-41002EF91ECF}"/>
    <cellStyle name="Normal 2 4 2 4 2 8" xfId="5927" xr:uid="{BB612686-D476-4870-809F-5B03A0380D8C}"/>
    <cellStyle name="Normal 2 4 2 4 2 9" xfId="1623" xr:uid="{64E1D956-0485-4D45-9F12-735435397115}"/>
    <cellStyle name="Normal 2 4 2 4 3" xfId="295" xr:uid="{00000000-0005-0000-0000-0000FC010000}"/>
    <cellStyle name="Normal 2 4 2 4 3 2" xfId="791" xr:uid="{00000000-0005-0000-0000-0000FD010000}"/>
    <cellStyle name="Normal 2 4 2 4 3 2 2" xfId="4270" xr:uid="{D37E6108-F436-46FE-9134-6E7EC7B05D35}"/>
    <cellStyle name="Normal 2 4 2 4 3 2 2 2" xfId="8488" xr:uid="{C18D42CF-204B-4445-BDB1-8A56DE5661C4}"/>
    <cellStyle name="Normal 2 4 2 4 3 2 3" xfId="6343" xr:uid="{85B25C0E-1D63-4041-A9D3-F499E7EE394D}"/>
    <cellStyle name="Normal 2 4 2 4 3 2 4" xfId="2041" xr:uid="{06CEE133-DE30-4532-B8E4-C8D85CE45065}"/>
    <cellStyle name="Normal 2 4 2 4 3 3" xfId="1212" xr:uid="{96BEBA94-5872-40E9-8D43-43BEF188CB66}"/>
    <cellStyle name="Normal 2 4 2 4 3 3 2" xfId="4683" xr:uid="{92478194-4783-442D-B6C0-D80E2851E58E}"/>
    <cellStyle name="Normal 2 4 2 4 3 3 2 2" xfId="8901" xr:uid="{26F2C575-AAC8-4A7E-A65F-148D55732880}"/>
    <cellStyle name="Normal 2 4 2 4 3 3 3" xfId="6756" xr:uid="{262C0FC6-9C60-4B63-9BBB-5CAB9C268D56}"/>
    <cellStyle name="Normal 2 4 2 4 3 3 4" xfId="2454" xr:uid="{A7B3D7EE-C1F1-4E4C-9196-C7EE41D285DC}"/>
    <cellStyle name="Normal 2 4 2 4 3 4" xfId="2867" xr:uid="{778F66EC-E246-4E90-B147-68593AAC7339}"/>
    <cellStyle name="Normal 2 4 2 4 3 4 2" xfId="5096" xr:uid="{3708A0F4-8850-47C9-AF12-665AB1942405}"/>
    <cellStyle name="Normal 2 4 2 4 3 4 2 2" xfId="9314" xr:uid="{40370A00-B951-4D91-BB91-3AD0D55DB6D2}"/>
    <cellStyle name="Normal 2 4 2 4 3 4 3" xfId="7169" xr:uid="{AF744D5C-871A-40E6-BAF1-EC63A942BA65}"/>
    <cellStyle name="Normal 2 4 2 4 3 5" xfId="3280" xr:uid="{3C7359A4-AB69-4A81-BCCF-4539CFCD9373}"/>
    <cellStyle name="Normal 2 4 2 4 3 5 2" xfId="5509" xr:uid="{CD1DCC1D-72EA-4A29-898D-E78CB8C02269}"/>
    <cellStyle name="Normal 2 4 2 4 3 5 2 2" xfId="9727" xr:uid="{DA3B3A87-FC8E-47EB-BEC9-8213D3A0032F}"/>
    <cellStyle name="Normal 2 4 2 4 3 5 3" xfId="7582" xr:uid="{B6FCBBD3-660D-4DDE-BBC3-A8855D4DCD57}"/>
    <cellStyle name="Normal 2 4 2 4 3 6" xfId="3716" xr:uid="{6FEA8378-EC49-4C46-B4B0-010884F5A216}"/>
    <cellStyle name="Normal 2 4 2 4 3 6 2" xfId="7995" xr:uid="{2A0C44CF-8A6A-4224-835E-DBB46B7AD08E}"/>
    <cellStyle name="Normal 2 4 2 4 3 7" xfId="5929" xr:uid="{4EF49AD6-B0E2-4B12-9A6C-A116393D0551}"/>
    <cellStyle name="Normal 2 4 2 4 3 8" xfId="1625" xr:uid="{8BFC8B26-3F1F-4E91-B81A-25CEF6BE0EDA}"/>
    <cellStyle name="Normal 2 4 2 4 4" xfId="788" xr:uid="{00000000-0005-0000-0000-0000FE010000}"/>
    <cellStyle name="Normal 2 4 2 4 4 2" xfId="4267" xr:uid="{9953B046-A124-48E9-BA6C-D6E4FCD67B05}"/>
    <cellStyle name="Normal 2 4 2 4 4 2 2" xfId="8485" xr:uid="{318A73D6-5054-44DA-80DB-B9997396824E}"/>
    <cellStyle name="Normal 2 4 2 4 4 3" xfId="6340" xr:uid="{4D8007F2-73F9-49B5-BA80-16DBF86A0B19}"/>
    <cellStyle name="Normal 2 4 2 4 4 4" xfId="2038" xr:uid="{AEE2FF88-D4FC-4CF5-A207-F11AFD861D81}"/>
    <cellStyle name="Normal 2 4 2 4 5" xfId="1209" xr:uid="{4E04105A-767C-4BD2-A8A8-1614ABE6B347}"/>
    <cellStyle name="Normal 2 4 2 4 5 2" xfId="4680" xr:uid="{27B3B15F-BE05-49FB-B99A-0D95FDAC2B31}"/>
    <cellStyle name="Normal 2 4 2 4 5 2 2" xfId="8898" xr:uid="{800596C5-C926-45F3-B4A8-B87B013C8994}"/>
    <cellStyle name="Normal 2 4 2 4 5 3" xfId="6753" xr:uid="{EE3029B3-FAB4-47E6-AD01-4B45EA7E6498}"/>
    <cellStyle name="Normal 2 4 2 4 5 4" xfId="2451" xr:uid="{FBB9BDEA-EA1F-4221-8C9E-CAFF2BED381B}"/>
    <cellStyle name="Normal 2 4 2 4 6" xfId="2864" xr:uid="{AA058A95-6E25-43F7-9AE2-4F1369DC9052}"/>
    <cellStyle name="Normal 2 4 2 4 6 2" xfId="5093" xr:uid="{B8F4FFC5-B674-473A-95FC-ABEBC5CE0F26}"/>
    <cellStyle name="Normal 2 4 2 4 6 2 2" xfId="9311" xr:uid="{97DFD96B-C225-4476-B11D-F1F6E82C1706}"/>
    <cellStyle name="Normal 2 4 2 4 6 3" xfId="7166" xr:uid="{2F653908-C98C-4E24-A4FB-4BF685D9252E}"/>
    <cellStyle name="Normal 2 4 2 4 7" xfId="3277" xr:uid="{828DA87F-D5A0-4039-9D57-CC728FE28D65}"/>
    <cellStyle name="Normal 2 4 2 4 7 2" xfId="5506" xr:uid="{2A1182D3-5322-41A6-95A3-DB0AD3B0C56F}"/>
    <cellStyle name="Normal 2 4 2 4 7 2 2" xfId="9724" xr:uid="{E269A873-4672-4DDF-BC25-38D28E58518C}"/>
    <cellStyle name="Normal 2 4 2 4 7 3" xfId="7579" xr:uid="{D9A62E38-0C8C-4D55-91FE-F090431425D5}"/>
    <cellStyle name="Normal 2 4 2 4 8" xfId="3713" xr:uid="{00AA72EB-485B-4077-BBC7-E5CA9600B1A5}"/>
    <cellStyle name="Normal 2 4 2 4 8 2" xfId="7992" xr:uid="{558DD8D7-7974-412D-BF6E-D4BFBA9B3E0C}"/>
    <cellStyle name="Normal 2 4 2 4 9" xfId="5926" xr:uid="{12A58E94-BECE-4D77-9076-AFC32F563AE7}"/>
    <cellStyle name="Normal 2 4 2 5" xfId="296" xr:uid="{00000000-0005-0000-0000-0000FF010000}"/>
    <cellStyle name="Normal 2 4 2 5 2" xfId="297" xr:uid="{00000000-0005-0000-0000-000000020000}"/>
    <cellStyle name="Normal 2 4 2 5 2 2" xfId="793" xr:uid="{00000000-0005-0000-0000-000001020000}"/>
    <cellStyle name="Normal 2 4 2 5 2 2 2" xfId="4272" xr:uid="{88B204B1-720A-41F6-A621-077744C8A0A8}"/>
    <cellStyle name="Normal 2 4 2 5 2 2 2 2" xfId="8490" xr:uid="{2602BC1E-123D-4762-81ED-F005ECD0C6C3}"/>
    <cellStyle name="Normal 2 4 2 5 2 2 3" xfId="6345" xr:uid="{366B83BF-ADD3-48B3-856C-2D00B85CBBB6}"/>
    <cellStyle name="Normal 2 4 2 5 2 2 4" xfId="2043" xr:uid="{CE795DDE-74B7-4DC0-A9A4-86FCDA56C1CF}"/>
    <cellStyle name="Normal 2 4 2 5 2 3" xfId="1214" xr:uid="{A2D65A9A-C99B-4515-8E6C-1800BBA780F4}"/>
    <cellStyle name="Normal 2 4 2 5 2 3 2" xfId="4685" xr:uid="{C3FCA9B7-73A5-4E96-85D3-329089F84E16}"/>
    <cellStyle name="Normal 2 4 2 5 2 3 2 2" xfId="8903" xr:uid="{F595DED6-9D12-4411-8E0C-C7F9549D8485}"/>
    <cellStyle name="Normal 2 4 2 5 2 3 3" xfId="6758" xr:uid="{AC2F7907-CDFE-41C0-9ADB-F545FFBD9E08}"/>
    <cellStyle name="Normal 2 4 2 5 2 3 4" xfId="2456" xr:uid="{DB9F8130-EE96-41FC-9436-4F9397365FCB}"/>
    <cellStyle name="Normal 2 4 2 5 2 4" xfId="2869" xr:uid="{01985B09-CA63-4A3D-B967-428BCA3DFFA9}"/>
    <cellStyle name="Normal 2 4 2 5 2 4 2" xfId="5098" xr:uid="{DBDFA384-AFF1-4E38-A3AC-513BF5789DEA}"/>
    <cellStyle name="Normal 2 4 2 5 2 4 2 2" xfId="9316" xr:uid="{71BA4B4D-D2E8-4483-8B7D-062D4414615C}"/>
    <cellStyle name="Normal 2 4 2 5 2 4 3" xfId="7171" xr:uid="{34A14147-30C0-4355-BBDC-126CE2E6C466}"/>
    <cellStyle name="Normal 2 4 2 5 2 5" xfId="3282" xr:uid="{BBDE479B-6B5D-4DB1-9AE1-9E30A919F817}"/>
    <cellStyle name="Normal 2 4 2 5 2 5 2" xfId="5511" xr:uid="{A43853E9-47D4-4E49-B48A-B3A4B4BC7523}"/>
    <cellStyle name="Normal 2 4 2 5 2 5 2 2" xfId="9729" xr:uid="{09042625-A388-4F20-9923-51B04E119EAD}"/>
    <cellStyle name="Normal 2 4 2 5 2 5 3" xfId="7584" xr:uid="{89C4CDA2-329D-4177-A395-E7B6AC69675B}"/>
    <cellStyle name="Normal 2 4 2 5 2 6" xfId="3718" xr:uid="{7E84FA56-194C-4414-BFDD-7B81B402127C}"/>
    <cellStyle name="Normal 2 4 2 5 2 6 2" xfId="7997" xr:uid="{CFB41F0C-E024-4721-B3FD-4BA8754E1C24}"/>
    <cellStyle name="Normal 2 4 2 5 2 7" xfId="5931" xr:uid="{C360AFD4-5A22-416E-9AB4-AD3AE2B9B4FA}"/>
    <cellStyle name="Normal 2 4 2 5 2 8" xfId="1627" xr:uid="{1E1E4A06-CCD5-44A7-9F57-A1D145EBD55A}"/>
    <cellStyle name="Normal 2 4 2 5 3" xfId="792" xr:uid="{00000000-0005-0000-0000-000002020000}"/>
    <cellStyle name="Normal 2 4 2 5 3 2" xfId="4271" xr:uid="{09077C62-E294-4849-9BF8-4DA54F5184E7}"/>
    <cellStyle name="Normal 2 4 2 5 3 2 2" xfId="8489" xr:uid="{59B54C04-A3A0-49C7-92C6-BA5F4790CC4A}"/>
    <cellStyle name="Normal 2 4 2 5 3 3" xfId="6344" xr:uid="{9CB2B3F9-94A4-4362-B73F-6C4848C6057B}"/>
    <cellStyle name="Normal 2 4 2 5 3 4" xfId="2042" xr:uid="{68B2CA1A-8EF2-44AA-9FEE-ABF14B354438}"/>
    <cellStyle name="Normal 2 4 2 5 4" xfId="1213" xr:uid="{C0124BD7-2379-4CFE-A734-3A323D30FC56}"/>
    <cellStyle name="Normal 2 4 2 5 4 2" xfId="4684" xr:uid="{DB9D9621-FB4C-4E80-A1D1-07F3290975E2}"/>
    <cellStyle name="Normal 2 4 2 5 4 2 2" xfId="8902" xr:uid="{5D022349-5040-4780-9588-4CE4979D8070}"/>
    <cellStyle name="Normal 2 4 2 5 4 3" xfId="6757" xr:uid="{3F473743-2058-4336-9842-44CF6C0A1383}"/>
    <cellStyle name="Normal 2 4 2 5 4 4" xfId="2455" xr:uid="{695659CA-FE28-49A7-AE8B-F686AAAA1B16}"/>
    <cellStyle name="Normal 2 4 2 5 5" xfId="2868" xr:uid="{D028FCA4-CA06-4752-85B0-5834EFC75F36}"/>
    <cellStyle name="Normal 2 4 2 5 5 2" xfId="5097" xr:uid="{4A40BA37-E5A1-4156-B1E1-1D5709B56EFF}"/>
    <cellStyle name="Normal 2 4 2 5 5 2 2" xfId="9315" xr:uid="{EA1BBD4B-9929-4119-A581-E102EF402219}"/>
    <cellStyle name="Normal 2 4 2 5 5 3" xfId="7170" xr:uid="{72B02B33-E770-41C7-838E-E11420350CA2}"/>
    <cellStyle name="Normal 2 4 2 5 6" xfId="3281" xr:uid="{228CA326-7A9D-4C0C-A037-78F33B7EEEBA}"/>
    <cellStyle name="Normal 2 4 2 5 6 2" xfId="5510" xr:uid="{359FA426-64A2-4991-8F25-BC5F7DD8F427}"/>
    <cellStyle name="Normal 2 4 2 5 6 2 2" xfId="9728" xr:uid="{B20E8149-5E3E-4C39-B783-CEC4FD7EC2B6}"/>
    <cellStyle name="Normal 2 4 2 5 6 3" xfId="7583" xr:uid="{41E40E50-81B2-4B12-A250-40785A423A40}"/>
    <cellStyle name="Normal 2 4 2 5 7" xfId="3717" xr:uid="{FC14E3D9-4678-4213-9BFA-EC79E54753B0}"/>
    <cellStyle name="Normal 2 4 2 5 7 2" xfId="7996" xr:uid="{0C5759F1-EC95-4807-8EEA-AE05E74973DB}"/>
    <cellStyle name="Normal 2 4 2 5 8" xfId="5930" xr:uid="{117924A2-043C-4E1C-91F1-4BE7844BE8C8}"/>
    <cellStyle name="Normal 2 4 2 5 9" xfId="1626" xr:uid="{5703CB23-DF66-47FC-A417-1548F3746DCE}"/>
    <cellStyle name="Normal 2 4 2 6" xfId="298" xr:uid="{00000000-0005-0000-0000-000003020000}"/>
    <cellStyle name="Normal 2 4 2 6 2" xfId="794" xr:uid="{00000000-0005-0000-0000-000004020000}"/>
    <cellStyle name="Normal 2 4 2 6 2 2" xfId="4273" xr:uid="{99581797-CAB1-4211-8100-E500F37567AB}"/>
    <cellStyle name="Normal 2 4 2 6 2 2 2" xfId="8491" xr:uid="{FADB9B31-EA5D-484A-B0D3-1712B86525F6}"/>
    <cellStyle name="Normal 2 4 2 6 2 3" xfId="6346" xr:uid="{3FBAA31A-ABB2-44E5-8CCE-1CCEDE594941}"/>
    <cellStyle name="Normal 2 4 2 6 2 4" xfId="2044" xr:uid="{8A70C7DB-592E-407D-BCA2-FED3879CC2E2}"/>
    <cellStyle name="Normal 2 4 2 6 3" xfId="1215" xr:uid="{186AB676-83E2-441B-AADD-755BA7569C29}"/>
    <cellStyle name="Normal 2 4 2 6 3 2" xfId="4686" xr:uid="{FD3811F0-4D6A-43FE-9A64-182CD5304740}"/>
    <cellStyle name="Normal 2 4 2 6 3 2 2" xfId="8904" xr:uid="{B086896D-2BAF-44FF-B087-DA43639BD0DA}"/>
    <cellStyle name="Normal 2 4 2 6 3 3" xfId="6759" xr:uid="{4B4F71AD-C48E-4F87-A087-4534A1228E1E}"/>
    <cellStyle name="Normal 2 4 2 6 3 4" xfId="2457" xr:uid="{BA60F277-5690-4514-959F-DB092CD5E8A2}"/>
    <cellStyle name="Normal 2 4 2 6 4" xfId="2870" xr:uid="{70551684-C26F-40A2-AF7C-9E5C4C15B469}"/>
    <cellStyle name="Normal 2 4 2 6 4 2" xfId="5099" xr:uid="{BB84DC75-8704-439E-93D9-7DE89349C8CB}"/>
    <cellStyle name="Normal 2 4 2 6 4 2 2" xfId="9317" xr:uid="{EC4FFC0D-B099-40E1-A074-49A0EE9B2419}"/>
    <cellStyle name="Normal 2 4 2 6 4 3" xfId="7172" xr:uid="{CFF388CC-7814-495C-B5CE-596935ED77DF}"/>
    <cellStyle name="Normal 2 4 2 6 5" xfId="3283" xr:uid="{6F3ADEA8-3C4B-4F22-9BDE-EA4CC6B3F080}"/>
    <cellStyle name="Normal 2 4 2 6 5 2" xfId="5512" xr:uid="{62CD364E-9516-4763-A1C7-94B150AB1D44}"/>
    <cellStyle name="Normal 2 4 2 6 5 2 2" xfId="9730" xr:uid="{65FF5715-84FE-4309-9122-8605FAE76644}"/>
    <cellStyle name="Normal 2 4 2 6 5 3" xfId="7585" xr:uid="{30299531-0FB5-4836-8575-9A749A0A4D45}"/>
    <cellStyle name="Normal 2 4 2 6 6" xfId="3719" xr:uid="{EC5D43AA-1794-4078-8475-9C6424A2DD2D}"/>
    <cellStyle name="Normal 2 4 2 6 6 2" xfId="7998" xr:uid="{4AEFD543-F5B6-4458-9EDB-E433A9F0C2F7}"/>
    <cellStyle name="Normal 2 4 2 6 7" xfId="5932" xr:uid="{CE9478F5-6F63-432E-86A6-D278D948A8E5}"/>
    <cellStyle name="Normal 2 4 2 6 8" xfId="1628" xr:uid="{D38D5B7B-D9AF-4F4D-AFA4-AD4354B46552}"/>
    <cellStyle name="Normal 2 4 2 7" xfId="779" xr:uid="{00000000-0005-0000-0000-000005020000}"/>
    <cellStyle name="Normal 2 4 2 7 2" xfId="4258" xr:uid="{E9B96714-A199-4D7D-B9B6-BDF0176F7857}"/>
    <cellStyle name="Normal 2 4 2 7 2 2" xfId="8476" xr:uid="{140E6D22-39FB-4C8E-9039-44CF99101FAF}"/>
    <cellStyle name="Normal 2 4 2 7 3" xfId="6331" xr:uid="{B18E227C-D265-4DDB-B63F-44D812F4B921}"/>
    <cellStyle name="Normal 2 4 2 7 4" xfId="2029" xr:uid="{C3357FDA-FE7B-4AED-9D63-9BEA3747CA80}"/>
    <cellStyle name="Normal 2 4 2 8" xfId="1200" xr:uid="{87C6D1F4-9538-4642-A496-1014731D2B70}"/>
    <cellStyle name="Normal 2 4 2 8 2" xfId="4671" xr:uid="{E6EDB594-6E6F-44F2-ADCE-F52826C409B1}"/>
    <cellStyle name="Normal 2 4 2 8 2 2" xfId="8889" xr:uid="{00FFDBA1-1922-4BB8-BA70-CE67520EBD36}"/>
    <cellStyle name="Normal 2 4 2 8 3" xfId="6744" xr:uid="{B47A2B98-F380-4935-AA8F-1D93261893ED}"/>
    <cellStyle name="Normal 2 4 2 8 4" xfId="2442" xr:uid="{056DA49C-ABF2-4070-84C0-BD2AB2384EE4}"/>
    <cellStyle name="Normal 2 4 2 9" xfId="2855" xr:uid="{6B1A6057-D9CA-48BB-B8DC-03920B4B4D61}"/>
    <cellStyle name="Normal 2 4 2 9 2" xfId="5084" xr:uid="{87D1ADD7-8108-4F08-BE51-A2ED700791B9}"/>
    <cellStyle name="Normal 2 4 2 9 2 2" xfId="9302" xr:uid="{ACBA734C-2170-4031-BF62-FE1BC31356AF}"/>
    <cellStyle name="Normal 2 4 2 9 3" xfId="7157" xr:uid="{AD81FBB3-FAB8-4771-9628-358FEFD4B7DB}"/>
    <cellStyle name="Normal 2 4 3" xfId="299" xr:uid="{00000000-0005-0000-0000-000006020000}"/>
    <cellStyle name="Normal 2 4 3 10" xfId="1629" xr:uid="{7AF953C5-E37F-4E13-A998-6812AB69CC3A}"/>
    <cellStyle name="Normal 2 4 3 2" xfId="300" xr:uid="{00000000-0005-0000-0000-000007020000}"/>
    <cellStyle name="Normal 2 4 3 3" xfId="301" xr:uid="{00000000-0005-0000-0000-000008020000}"/>
    <cellStyle name="Normal 2 4 3 3 10" xfId="1630" xr:uid="{0FDA1CCB-A698-4F41-8643-ACAAB6ECD01C}"/>
    <cellStyle name="Normal 2 4 3 3 2" xfId="302" xr:uid="{00000000-0005-0000-0000-000009020000}"/>
    <cellStyle name="Normal 2 4 3 3 2 2" xfId="303" xr:uid="{00000000-0005-0000-0000-00000A020000}"/>
    <cellStyle name="Normal 2 4 3 3 2 2 2" xfId="798" xr:uid="{00000000-0005-0000-0000-00000B020000}"/>
    <cellStyle name="Normal 2 4 3 3 2 2 2 2" xfId="4277" xr:uid="{848E657B-6486-491A-8F05-E650E8A7AE91}"/>
    <cellStyle name="Normal 2 4 3 3 2 2 2 2 2" xfId="8495" xr:uid="{8581E815-0640-4645-B260-9D8AC63DB27A}"/>
    <cellStyle name="Normal 2 4 3 3 2 2 2 3" xfId="6350" xr:uid="{7A15144B-85A1-4782-8A09-4933635A9C45}"/>
    <cellStyle name="Normal 2 4 3 3 2 2 2 4" xfId="2048" xr:uid="{04D91626-D929-4BA1-975F-D78178D38EA8}"/>
    <cellStyle name="Normal 2 4 3 3 2 2 3" xfId="1219" xr:uid="{F5F66DCF-32B6-44E0-B166-1BEE12A9C7E7}"/>
    <cellStyle name="Normal 2 4 3 3 2 2 3 2" xfId="4690" xr:uid="{F221C407-E0C1-4084-A13A-D8E1DCEAAA26}"/>
    <cellStyle name="Normal 2 4 3 3 2 2 3 2 2" xfId="8908" xr:uid="{4C9746BF-FB75-4BC2-820A-C4A07BA1EF15}"/>
    <cellStyle name="Normal 2 4 3 3 2 2 3 3" xfId="6763" xr:uid="{DAFC6FE8-92F2-490C-AA14-50E7DB813D53}"/>
    <cellStyle name="Normal 2 4 3 3 2 2 3 4" xfId="2461" xr:uid="{71909707-764C-4128-852A-0662F6354B50}"/>
    <cellStyle name="Normal 2 4 3 3 2 2 4" xfId="2874" xr:uid="{DA9923BD-B069-45F0-8295-01C98AE6C4E5}"/>
    <cellStyle name="Normal 2 4 3 3 2 2 4 2" xfId="5103" xr:uid="{EA0CE76F-CCD0-4EC3-996F-71CAAF942413}"/>
    <cellStyle name="Normal 2 4 3 3 2 2 4 2 2" xfId="9321" xr:uid="{FC93B64A-B168-47BF-A7E7-E57401157C40}"/>
    <cellStyle name="Normal 2 4 3 3 2 2 4 3" xfId="7176" xr:uid="{10C21064-08D9-4D39-9B40-497A5DC15BBF}"/>
    <cellStyle name="Normal 2 4 3 3 2 2 5" xfId="3287" xr:uid="{3F5C32AD-BC2E-42CE-A31F-CB1E189BB51C}"/>
    <cellStyle name="Normal 2 4 3 3 2 2 5 2" xfId="5516" xr:uid="{F822CA7D-87AB-4B72-B06A-166EC265295A}"/>
    <cellStyle name="Normal 2 4 3 3 2 2 5 2 2" xfId="9734" xr:uid="{D639F50F-10F7-4E59-9080-4B9EEE0330A6}"/>
    <cellStyle name="Normal 2 4 3 3 2 2 5 3" xfId="7589" xr:uid="{24CA3C9A-7CC5-4C41-A183-A94143EB22BE}"/>
    <cellStyle name="Normal 2 4 3 3 2 2 6" xfId="3723" xr:uid="{3529073E-50AE-43CA-9078-CB0CDFCD2861}"/>
    <cellStyle name="Normal 2 4 3 3 2 2 6 2" xfId="8002" xr:uid="{29FDC339-D0AE-4830-8D17-85506F326C11}"/>
    <cellStyle name="Normal 2 4 3 3 2 2 7" xfId="5936" xr:uid="{6363AE7F-B0B0-43E7-9386-4D0B09B0124D}"/>
    <cellStyle name="Normal 2 4 3 3 2 2 8" xfId="1632" xr:uid="{FA687F4B-B08E-4F24-91EC-D73481E4FEB3}"/>
    <cellStyle name="Normal 2 4 3 3 2 3" xfId="797" xr:uid="{00000000-0005-0000-0000-00000C020000}"/>
    <cellStyle name="Normal 2 4 3 3 2 3 2" xfId="4276" xr:uid="{C115C101-460D-4D22-8A3B-2D27D9660535}"/>
    <cellStyle name="Normal 2 4 3 3 2 3 2 2" xfId="8494" xr:uid="{69FFD14F-AB65-4561-B1B0-A9D8613718F6}"/>
    <cellStyle name="Normal 2 4 3 3 2 3 3" xfId="6349" xr:uid="{83E1D87B-695C-45EC-A37D-4C5966FE485C}"/>
    <cellStyle name="Normal 2 4 3 3 2 3 4" xfId="2047" xr:uid="{2D0433B0-106A-4A6A-A9EA-DC9F8FAFA7DB}"/>
    <cellStyle name="Normal 2 4 3 3 2 4" xfId="1218" xr:uid="{0033EDB7-0545-4FE8-AB55-818D6F5726BD}"/>
    <cellStyle name="Normal 2 4 3 3 2 4 2" xfId="4689" xr:uid="{1E5B1498-454A-4099-9486-B9C1AF566693}"/>
    <cellStyle name="Normal 2 4 3 3 2 4 2 2" xfId="8907" xr:uid="{8C3B5B68-FFC8-4943-A260-DF6CF9CD2093}"/>
    <cellStyle name="Normal 2 4 3 3 2 4 3" xfId="6762" xr:uid="{4BA05071-2CCA-4A08-B009-275F7C8DC235}"/>
    <cellStyle name="Normal 2 4 3 3 2 4 4" xfId="2460" xr:uid="{F60737D6-2CD4-45D9-AEF2-AD7B77F549EC}"/>
    <cellStyle name="Normal 2 4 3 3 2 5" xfId="2873" xr:uid="{60B0AF50-1632-4AB8-93B1-4EFA1FFBFA27}"/>
    <cellStyle name="Normal 2 4 3 3 2 5 2" xfId="5102" xr:uid="{9797B4BC-6F07-423E-80CF-066DBDEC6676}"/>
    <cellStyle name="Normal 2 4 3 3 2 5 2 2" xfId="9320" xr:uid="{0C6AE9DF-3CD7-459F-8A1C-0CDD15EBD853}"/>
    <cellStyle name="Normal 2 4 3 3 2 5 3" xfId="7175" xr:uid="{322DA66B-3971-40FF-8094-EF70FDA92980}"/>
    <cellStyle name="Normal 2 4 3 3 2 6" xfId="3286" xr:uid="{7C5811E5-B676-47AD-820A-F70ECA58FA52}"/>
    <cellStyle name="Normal 2 4 3 3 2 6 2" xfId="5515" xr:uid="{C8B424F9-A8B4-44CA-A9E0-328774829E56}"/>
    <cellStyle name="Normal 2 4 3 3 2 6 2 2" xfId="9733" xr:uid="{24D0AB58-0FD1-4504-A5DA-BEAE5D32461A}"/>
    <cellStyle name="Normal 2 4 3 3 2 6 3" xfId="7588" xr:uid="{85D944E8-E030-4B87-839D-085AD2DD3AB2}"/>
    <cellStyle name="Normal 2 4 3 3 2 7" xfId="3722" xr:uid="{FE455217-B6B3-431C-950B-5BE3D3972357}"/>
    <cellStyle name="Normal 2 4 3 3 2 7 2" xfId="8001" xr:uid="{49B73E70-0144-4930-9D65-C4ADBD05A92C}"/>
    <cellStyle name="Normal 2 4 3 3 2 8" xfId="5935" xr:uid="{947FAD7C-C61E-4C6D-9B44-2A1D5A38D370}"/>
    <cellStyle name="Normal 2 4 3 3 2 9" xfId="1631" xr:uid="{903DCBA1-7E8B-4404-BDE1-7E90E7EFFB0B}"/>
    <cellStyle name="Normal 2 4 3 3 3" xfId="304" xr:uid="{00000000-0005-0000-0000-00000D020000}"/>
    <cellStyle name="Normal 2 4 3 3 3 2" xfId="799" xr:uid="{00000000-0005-0000-0000-00000E020000}"/>
    <cellStyle name="Normal 2 4 3 3 3 2 2" xfId="4278" xr:uid="{9F633C1B-CA3F-4FFB-B010-21CD5A75D554}"/>
    <cellStyle name="Normal 2 4 3 3 3 2 2 2" xfId="8496" xr:uid="{AB5C98D4-CDCF-454C-80EF-BA1CF3D6F323}"/>
    <cellStyle name="Normal 2 4 3 3 3 2 3" xfId="6351" xr:uid="{A91BEAE6-83B2-44E6-A190-D2A789F7C32C}"/>
    <cellStyle name="Normal 2 4 3 3 3 2 4" xfId="2049" xr:uid="{FEBD52EF-DE02-4889-9A6C-923C025AD835}"/>
    <cellStyle name="Normal 2 4 3 3 3 3" xfId="1220" xr:uid="{5CB71A1B-D490-4559-89BD-79B47946B9CD}"/>
    <cellStyle name="Normal 2 4 3 3 3 3 2" xfId="4691" xr:uid="{A6B1FB01-A223-4532-A2B5-CC40AB3E2220}"/>
    <cellStyle name="Normal 2 4 3 3 3 3 2 2" xfId="8909" xr:uid="{7561A714-D5A3-41AD-B86B-B8774CE59ED0}"/>
    <cellStyle name="Normal 2 4 3 3 3 3 3" xfId="6764" xr:uid="{8938048D-EDB9-491C-9713-40E63B867463}"/>
    <cellStyle name="Normal 2 4 3 3 3 3 4" xfId="2462" xr:uid="{F33E5181-EB1B-4EDE-9436-FD61A93BFCF1}"/>
    <cellStyle name="Normal 2 4 3 3 3 4" xfId="2875" xr:uid="{C1D57AC3-B358-4AB0-AF79-1AA44D5A5982}"/>
    <cellStyle name="Normal 2 4 3 3 3 4 2" xfId="5104" xr:uid="{4684243E-ABB3-424C-B610-A544D0BCDC0A}"/>
    <cellStyle name="Normal 2 4 3 3 3 4 2 2" xfId="9322" xr:uid="{606852F3-1C9C-4C6B-AA38-3AC33E867332}"/>
    <cellStyle name="Normal 2 4 3 3 3 4 3" xfId="7177" xr:uid="{5566FEBF-AC5C-4B37-A06D-EA13B1976DF9}"/>
    <cellStyle name="Normal 2 4 3 3 3 5" xfId="3288" xr:uid="{9DC41E2C-D477-45F1-803F-117CBF099F70}"/>
    <cellStyle name="Normal 2 4 3 3 3 5 2" xfId="5517" xr:uid="{51BA940A-1887-4CBF-9A2E-BDF5FE7AA2E4}"/>
    <cellStyle name="Normal 2 4 3 3 3 5 2 2" xfId="9735" xr:uid="{661D57CE-6ABD-45AC-B167-FF7BDE81F303}"/>
    <cellStyle name="Normal 2 4 3 3 3 5 3" xfId="7590" xr:uid="{DDB3891C-35E3-4E4E-9800-D7025FDF38BD}"/>
    <cellStyle name="Normal 2 4 3 3 3 6" xfId="3724" xr:uid="{805DE489-CC72-402F-A42C-BFEC9A79C7BC}"/>
    <cellStyle name="Normal 2 4 3 3 3 6 2" xfId="8003" xr:uid="{90E10543-F3EE-46BA-8099-9D2FDB2A5E7E}"/>
    <cellStyle name="Normal 2 4 3 3 3 7" xfId="5937" xr:uid="{72579B14-3273-4DA4-856C-31196C33B0BC}"/>
    <cellStyle name="Normal 2 4 3 3 3 8" xfId="1633" xr:uid="{80DD3535-8113-4CF3-9380-FF18FEDA60CB}"/>
    <cellStyle name="Normal 2 4 3 3 4" xfId="796" xr:uid="{00000000-0005-0000-0000-00000F020000}"/>
    <cellStyle name="Normal 2 4 3 3 4 2" xfId="4275" xr:uid="{54B267F9-1D60-4EBC-8F4F-DE49069903F2}"/>
    <cellStyle name="Normal 2 4 3 3 4 2 2" xfId="8493" xr:uid="{DAD39CD6-7444-4215-9A5A-D27EA2509F86}"/>
    <cellStyle name="Normal 2 4 3 3 4 3" xfId="6348" xr:uid="{B6614A41-73FC-49EC-8C1C-7177354F725F}"/>
    <cellStyle name="Normal 2 4 3 3 4 4" xfId="2046" xr:uid="{B31D6C9A-B570-4DD9-994F-6CB45851C370}"/>
    <cellStyle name="Normal 2 4 3 3 5" xfId="1217" xr:uid="{F37530D7-7727-4608-81E0-66FD7C9DFECB}"/>
    <cellStyle name="Normal 2 4 3 3 5 2" xfId="4688" xr:uid="{B2F01712-A63F-4997-A326-A6B53FB37A73}"/>
    <cellStyle name="Normal 2 4 3 3 5 2 2" xfId="8906" xr:uid="{A4F487E5-1759-40E1-8553-A6C066234A0A}"/>
    <cellStyle name="Normal 2 4 3 3 5 3" xfId="6761" xr:uid="{30212A59-B012-4613-8659-28DA8C437469}"/>
    <cellStyle name="Normal 2 4 3 3 5 4" xfId="2459" xr:uid="{898768B0-CD88-4314-B620-E8EC5707CCD7}"/>
    <cellStyle name="Normal 2 4 3 3 6" xfId="2872" xr:uid="{218B1418-FF3F-4B6F-91F2-E6A5C0DF2AB7}"/>
    <cellStyle name="Normal 2 4 3 3 6 2" xfId="5101" xr:uid="{3CD1BE10-2CD5-4D2F-8F9B-20A08E7EA412}"/>
    <cellStyle name="Normal 2 4 3 3 6 2 2" xfId="9319" xr:uid="{419F08D2-5AB8-4A48-8BDB-65E1383550B6}"/>
    <cellStyle name="Normal 2 4 3 3 6 3" xfId="7174" xr:uid="{664DE509-BAF9-4A9B-AAF6-67ADB6E4993A}"/>
    <cellStyle name="Normal 2 4 3 3 7" xfId="3285" xr:uid="{75699E41-7C36-4D00-9FBA-2111C5878694}"/>
    <cellStyle name="Normal 2 4 3 3 7 2" xfId="5514" xr:uid="{E6904F48-24CC-40EE-AAA1-8AD2CA561B36}"/>
    <cellStyle name="Normal 2 4 3 3 7 2 2" xfId="9732" xr:uid="{17F736B4-B325-4E37-9DE0-F3B24E8DF660}"/>
    <cellStyle name="Normal 2 4 3 3 7 3" xfId="7587" xr:uid="{6096A43E-0182-4CB8-AA04-C29E19E0DDA4}"/>
    <cellStyle name="Normal 2 4 3 3 8" xfId="3721" xr:uid="{994AFE99-43E9-4BE1-ADC4-02942A053785}"/>
    <cellStyle name="Normal 2 4 3 3 8 2" xfId="8000" xr:uid="{E115A1F8-18CF-4267-9250-B2AD48719716}"/>
    <cellStyle name="Normal 2 4 3 3 9" xfId="5934" xr:uid="{205484AE-7995-4359-AA34-B95A96034B6C}"/>
    <cellStyle name="Normal 2 4 3 4" xfId="795" xr:uid="{00000000-0005-0000-0000-000010020000}"/>
    <cellStyle name="Normal 2 4 3 4 2" xfId="4274" xr:uid="{84AA6B69-D0E4-4142-BE27-5D2B2DDDEE28}"/>
    <cellStyle name="Normal 2 4 3 4 2 2" xfId="8492" xr:uid="{A914C1EE-70CC-4E1F-86EF-953B2DFF96CE}"/>
    <cellStyle name="Normal 2 4 3 4 3" xfId="6347" xr:uid="{E6D7D0B4-CFD1-4481-B445-EFCD0F1DD776}"/>
    <cellStyle name="Normal 2 4 3 4 4" xfId="2045" xr:uid="{5F2E6529-8739-4394-A26C-67D181F94357}"/>
    <cellStyle name="Normal 2 4 3 5" xfId="1216" xr:uid="{7A93150F-3374-4A40-AA62-98A28326263A}"/>
    <cellStyle name="Normal 2 4 3 5 2" xfId="4687" xr:uid="{BBBBB601-7F68-4CC6-B176-9ABBD635528C}"/>
    <cellStyle name="Normal 2 4 3 5 2 2" xfId="8905" xr:uid="{B06E02EF-704B-471D-B554-4CE5E270614A}"/>
    <cellStyle name="Normal 2 4 3 5 3" xfId="6760" xr:uid="{E797ABB2-A0F2-4CA2-8C4C-CCCFD754619B}"/>
    <cellStyle name="Normal 2 4 3 5 4" xfId="2458" xr:uid="{8CA582B0-F0E0-4F42-B4C4-8F38FCB1F8A6}"/>
    <cellStyle name="Normal 2 4 3 6" xfId="2871" xr:uid="{51237FD2-BE12-4EA5-A98F-0EF8FB899053}"/>
    <cellStyle name="Normal 2 4 3 6 2" xfId="5100" xr:uid="{B5C51C26-42A7-4763-B94C-168A4AB37B8D}"/>
    <cellStyle name="Normal 2 4 3 6 2 2" xfId="9318" xr:uid="{F9C866FE-195D-4F86-9DF5-9642723EC59D}"/>
    <cellStyle name="Normal 2 4 3 6 3" xfId="7173" xr:uid="{022A06E4-46B8-4561-BDF8-E1C2177179B1}"/>
    <cellStyle name="Normal 2 4 3 7" xfId="3284" xr:uid="{E1A2B0F3-72DF-43C8-92AE-DBE2D605C362}"/>
    <cellStyle name="Normal 2 4 3 7 2" xfId="5513" xr:uid="{E7EE68A1-672C-4563-90DB-D8CB40DF9BF6}"/>
    <cellStyle name="Normal 2 4 3 7 2 2" xfId="9731" xr:uid="{4E36F6A4-07A4-4431-8F4A-3D89E720243C}"/>
    <cellStyle name="Normal 2 4 3 7 3" xfId="7586" xr:uid="{1F617500-253C-4BE5-B178-E13A7CD20CC8}"/>
    <cellStyle name="Normal 2 4 3 8" xfId="3720" xr:uid="{789EB7A6-D7B8-456E-95EB-A385E2BD51C2}"/>
    <cellStyle name="Normal 2 4 3 8 2" xfId="7999" xr:uid="{8DDEDD58-85E0-4AA3-A240-26B4B924DD7D}"/>
    <cellStyle name="Normal 2 4 3 9" xfId="5933" xr:uid="{16706C0C-08D5-42F0-B51D-660CDA28EA38}"/>
    <cellStyle name="Normal 2 4 4" xfId="305" xr:uid="{00000000-0005-0000-0000-000011020000}"/>
    <cellStyle name="Normal 2 4 5" xfId="306" xr:uid="{00000000-0005-0000-0000-000012020000}"/>
    <cellStyle name="Normal 2 4 5 10" xfId="5938" xr:uid="{718B1C71-13A2-4C15-98F9-8F934527E5CC}"/>
    <cellStyle name="Normal 2 4 5 11" xfId="1634" xr:uid="{2AFE38DD-5D24-4F4A-A663-578B79528838}"/>
    <cellStyle name="Normal 2 4 5 2" xfId="307" xr:uid="{00000000-0005-0000-0000-000013020000}"/>
    <cellStyle name="Normal 2 4 5 2 10" xfId="1635" xr:uid="{0FD4B3F0-8BB9-4DBF-B5EE-8AEA319E257A}"/>
    <cellStyle name="Normal 2 4 5 2 2" xfId="308" xr:uid="{00000000-0005-0000-0000-000014020000}"/>
    <cellStyle name="Normal 2 4 5 2 2 2" xfId="309" xr:uid="{00000000-0005-0000-0000-000015020000}"/>
    <cellStyle name="Normal 2 4 5 2 2 2 2" xfId="803" xr:uid="{00000000-0005-0000-0000-000016020000}"/>
    <cellStyle name="Normal 2 4 5 2 2 2 2 2" xfId="4282" xr:uid="{A89A6423-8172-48AF-98CD-9402DBEB692F}"/>
    <cellStyle name="Normal 2 4 5 2 2 2 2 2 2" xfId="8500" xr:uid="{E749FCE5-4470-460A-8689-A6FF85E0B1ED}"/>
    <cellStyle name="Normal 2 4 5 2 2 2 2 3" xfId="6355" xr:uid="{B89EA2EA-8ADE-4172-BEA9-A6077D894ADA}"/>
    <cellStyle name="Normal 2 4 5 2 2 2 2 4" xfId="2053" xr:uid="{22D7B7F6-EEED-4851-ACE7-2D844F8D623C}"/>
    <cellStyle name="Normal 2 4 5 2 2 2 3" xfId="1224" xr:uid="{18F34BA3-10CB-4B35-A05B-282E009D77D0}"/>
    <cellStyle name="Normal 2 4 5 2 2 2 3 2" xfId="4695" xr:uid="{FEEAFD27-FF36-4935-A361-7F4342DFF84D}"/>
    <cellStyle name="Normal 2 4 5 2 2 2 3 2 2" xfId="8913" xr:uid="{4A0E8710-375D-4476-A35D-03EB571D91BA}"/>
    <cellStyle name="Normal 2 4 5 2 2 2 3 3" xfId="6768" xr:uid="{28815D5E-07F4-471F-95BB-F087D8E79246}"/>
    <cellStyle name="Normal 2 4 5 2 2 2 3 4" xfId="2466" xr:uid="{125898FA-FF0B-47FA-99BD-A840523B5889}"/>
    <cellStyle name="Normal 2 4 5 2 2 2 4" xfId="2879" xr:uid="{AADC746E-7211-4B58-B39A-51A31BA0EF6F}"/>
    <cellStyle name="Normal 2 4 5 2 2 2 4 2" xfId="5108" xr:uid="{B5458021-EF07-4190-B4BA-61B26FC8743A}"/>
    <cellStyle name="Normal 2 4 5 2 2 2 4 2 2" xfId="9326" xr:uid="{CF04A721-5650-4454-BEBF-4930648B6820}"/>
    <cellStyle name="Normal 2 4 5 2 2 2 4 3" xfId="7181" xr:uid="{DE8A84BC-50B6-404F-81C4-FFA1CF957913}"/>
    <cellStyle name="Normal 2 4 5 2 2 2 5" xfId="3292" xr:uid="{FD02411E-ED91-42A1-9D6F-FAD82F6704F3}"/>
    <cellStyle name="Normal 2 4 5 2 2 2 5 2" xfId="5521" xr:uid="{EB92228E-844B-4719-81D6-BDCB6349697E}"/>
    <cellStyle name="Normal 2 4 5 2 2 2 5 2 2" xfId="9739" xr:uid="{D8F94D6D-E45B-4083-84FB-47827549BF4B}"/>
    <cellStyle name="Normal 2 4 5 2 2 2 5 3" xfId="7594" xr:uid="{E636F86A-100E-4E03-B053-526B2470C33D}"/>
    <cellStyle name="Normal 2 4 5 2 2 2 6" xfId="3728" xr:uid="{CC18EE6C-E198-4C37-8BE2-CDC532DF54A9}"/>
    <cellStyle name="Normal 2 4 5 2 2 2 6 2" xfId="8007" xr:uid="{DFE88BE6-5AEE-4293-8B62-19D871655F0F}"/>
    <cellStyle name="Normal 2 4 5 2 2 2 7" xfId="5941" xr:uid="{E39CCC23-5A4C-47EA-936C-A30EDB57DF51}"/>
    <cellStyle name="Normal 2 4 5 2 2 2 8" xfId="1637" xr:uid="{26E149D5-967F-4E38-BDEF-C145A6F94E56}"/>
    <cellStyle name="Normal 2 4 5 2 2 3" xfId="802" xr:uid="{00000000-0005-0000-0000-000017020000}"/>
    <cellStyle name="Normal 2 4 5 2 2 3 2" xfId="4281" xr:uid="{59A724BA-8455-44E1-9033-C7A7AF4FCE4F}"/>
    <cellStyle name="Normal 2 4 5 2 2 3 2 2" xfId="8499" xr:uid="{80D35528-1B2D-4BED-A8B7-18BC83326AF1}"/>
    <cellStyle name="Normal 2 4 5 2 2 3 3" xfId="6354" xr:uid="{48727AD2-8879-4C83-9503-25D04F717D6E}"/>
    <cellStyle name="Normal 2 4 5 2 2 3 4" xfId="2052" xr:uid="{5C2D677D-1BA5-4CEB-8560-882A533FED97}"/>
    <cellStyle name="Normal 2 4 5 2 2 4" xfId="1223" xr:uid="{CCDDDC5E-E7E1-4ADE-B8AC-FA7CE89B1FD6}"/>
    <cellStyle name="Normal 2 4 5 2 2 4 2" xfId="4694" xr:uid="{02FAA568-88A2-4F07-9FEF-F550DB3DE6F7}"/>
    <cellStyle name="Normal 2 4 5 2 2 4 2 2" xfId="8912" xr:uid="{78487BA8-7D9A-4F2D-9A29-1AB3014B8314}"/>
    <cellStyle name="Normal 2 4 5 2 2 4 3" xfId="6767" xr:uid="{3FB901C7-2B5F-4BDF-A593-1DA255D5A620}"/>
    <cellStyle name="Normal 2 4 5 2 2 4 4" xfId="2465" xr:uid="{D63F850C-E798-4F90-80A8-C417120C0532}"/>
    <cellStyle name="Normal 2 4 5 2 2 5" xfId="2878" xr:uid="{87DC246A-9D76-421C-9DFB-3BCEE023F31A}"/>
    <cellStyle name="Normal 2 4 5 2 2 5 2" xfId="5107" xr:uid="{27DB960A-59DE-4198-B7D3-6FDF41F0BDFE}"/>
    <cellStyle name="Normal 2 4 5 2 2 5 2 2" xfId="9325" xr:uid="{7E246227-7589-41EF-A4A3-B0D692066BF4}"/>
    <cellStyle name="Normal 2 4 5 2 2 5 3" xfId="7180" xr:uid="{64EB9F2A-B0E9-424C-9201-E798A5801250}"/>
    <cellStyle name="Normal 2 4 5 2 2 6" xfId="3291" xr:uid="{08696CD2-CB8C-4775-B3C0-C9537572148C}"/>
    <cellStyle name="Normal 2 4 5 2 2 6 2" xfId="5520" xr:uid="{1E37677A-3569-4C77-BF2D-A40428213484}"/>
    <cellStyle name="Normal 2 4 5 2 2 6 2 2" xfId="9738" xr:uid="{6EE1BF18-18F1-4707-8447-941D0B066E6B}"/>
    <cellStyle name="Normal 2 4 5 2 2 6 3" xfId="7593" xr:uid="{325E5C0D-F2C5-4764-A305-083C5FFBA697}"/>
    <cellStyle name="Normal 2 4 5 2 2 7" xfId="3727" xr:uid="{1D49274F-E4EB-469B-8B6B-F2F4F60917F1}"/>
    <cellStyle name="Normal 2 4 5 2 2 7 2" xfId="8006" xr:uid="{6D196BF3-128F-448A-A756-BF91C5BE46AD}"/>
    <cellStyle name="Normal 2 4 5 2 2 8" xfId="5940" xr:uid="{4C493F9F-75E6-4DDD-BB3D-C2C2B0DB21C5}"/>
    <cellStyle name="Normal 2 4 5 2 2 9" xfId="1636" xr:uid="{878D3B3A-FB6A-46D7-9C67-435E707F5A1B}"/>
    <cellStyle name="Normal 2 4 5 2 3" xfId="310" xr:uid="{00000000-0005-0000-0000-000018020000}"/>
    <cellStyle name="Normal 2 4 5 2 3 2" xfId="804" xr:uid="{00000000-0005-0000-0000-000019020000}"/>
    <cellStyle name="Normal 2 4 5 2 3 2 2" xfId="4283" xr:uid="{3815DE72-2FDD-4240-A7BD-D3206B45AC60}"/>
    <cellStyle name="Normal 2 4 5 2 3 2 2 2" xfId="8501" xr:uid="{55A9BE6F-E532-48C8-84D1-658B875BEB9C}"/>
    <cellStyle name="Normal 2 4 5 2 3 2 3" xfId="6356" xr:uid="{12366C43-17A9-410F-892F-0BA137BEEB7C}"/>
    <cellStyle name="Normal 2 4 5 2 3 2 4" xfId="2054" xr:uid="{683D32CD-73DA-4452-8139-A44CB9705FDF}"/>
    <cellStyle name="Normal 2 4 5 2 3 3" xfId="1225" xr:uid="{20922522-2BE5-4DE6-9297-292047B6708B}"/>
    <cellStyle name="Normal 2 4 5 2 3 3 2" xfId="4696" xr:uid="{1277BD32-D118-4DEC-BD0F-29C0AD64E69D}"/>
    <cellStyle name="Normal 2 4 5 2 3 3 2 2" xfId="8914" xr:uid="{6A559257-F430-49AE-A725-CB4E5F46E294}"/>
    <cellStyle name="Normal 2 4 5 2 3 3 3" xfId="6769" xr:uid="{DAD50E28-06A9-464F-BC6E-AC815D3D49F7}"/>
    <cellStyle name="Normal 2 4 5 2 3 3 4" xfId="2467" xr:uid="{8F18C3FD-CE1A-455D-8F35-B9DE491478C0}"/>
    <cellStyle name="Normal 2 4 5 2 3 4" xfId="2880" xr:uid="{612D1487-8D20-4482-892C-4D2D867D8A92}"/>
    <cellStyle name="Normal 2 4 5 2 3 4 2" xfId="5109" xr:uid="{E5E73504-38A5-47B8-9507-DF17049134E8}"/>
    <cellStyle name="Normal 2 4 5 2 3 4 2 2" xfId="9327" xr:uid="{86F24DB8-77F6-4E79-8304-B7B3215B25E0}"/>
    <cellStyle name="Normal 2 4 5 2 3 4 3" xfId="7182" xr:uid="{AD39E9E2-66C7-4627-828A-19F9ECF76326}"/>
    <cellStyle name="Normal 2 4 5 2 3 5" xfId="3293" xr:uid="{DF3E7010-FE5C-42AC-9290-472CD1A36CCC}"/>
    <cellStyle name="Normal 2 4 5 2 3 5 2" xfId="5522" xr:uid="{5C2BC853-3547-4555-BD4C-BDF00DDD356A}"/>
    <cellStyle name="Normal 2 4 5 2 3 5 2 2" xfId="9740" xr:uid="{54E53635-424E-4289-BEF5-67FA299C8A65}"/>
    <cellStyle name="Normal 2 4 5 2 3 5 3" xfId="7595" xr:uid="{FA67931A-DEE8-4CE1-A9ED-F2D0FAA921D9}"/>
    <cellStyle name="Normal 2 4 5 2 3 6" xfId="3729" xr:uid="{2325B96C-C3FF-4F92-B4A0-AE9EC4EB784F}"/>
    <cellStyle name="Normal 2 4 5 2 3 6 2" xfId="8008" xr:uid="{F6C68EEC-3337-4280-810A-EDE3A967C73E}"/>
    <cellStyle name="Normal 2 4 5 2 3 7" xfId="5942" xr:uid="{4EA60400-E255-4AE9-9DF9-F2ABB27DF114}"/>
    <cellStyle name="Normal 2 4 5 2 3 8" xfId="1638" xr:uid="{E8168B51-41B0-4BC5-99F7-7DE58689798D}"/>
    <cellStyle name="Normal 2 4 5 2 4" xfId="801" xr:uid="{00000000-0005-0000-0000-00001A020000}"/>
    <cellStyle name="Normal 2 4 5 2 4 2" xfId="4280" xr:uid="{EA506C18-7208-4D07-88F5-4A81C6ECFB67}"/>
    <cellStyle name="Normal 2 4 5 2 4 2 2" xfId="8498" xr:uid="{E4E01397-F1BC-4B84-8C1C-091F790C375B}"/>
    <cellStyle name="Normal 2 4 5 2 4 3" xfId="6353" xr:uid="{E81E920D-A0D4-42B5-B6CA-495E2662BA11}"/>
    <cellStyle name="Normal 2 4 5 2 4 4" xfId="2051" xr:uid="{47961EE7-DFA6-4E2A-9A55-D5A15657ABE6}"/>
    <cellStyle name="Normal 2 4 5 2 5" xfId="1222" xr:uid="{068EF281-BD1B-4D8F-BA85-E5F11021E591}"/>
    <cellStyle name="Normal 2 4 5 2 5 2" xfId="4693" xr:uid="{571167E8-3E50-426E-A22E-AD838990533C}"/>
    <cellStyle name="Normal 2 4 5 2 5 2 2" xfId="8911" xr:uid="{E1C1689E-9D9E-4D11-8D3E-28759F63D89E}"/>
    <cellStyle name="Normal 2 4 5 2 5 3" xfId="6766" xr:uid="{BFF076F3-8449-487B-B1CC-AD658696FA2F}"/>
    <cellStyle name="Normal 2 4 5 2 5 4" xfId="2464" xr:uid="{292E216B-1CA0-4DEB-87D1-AB839EEA82CF}"/>
    <cellStyle name="Normal 2 4 5 2 6" xfId="2877" xr:uid="{17DE482E-5861-40CA-9249-0DE2754FB1C9}"/>
    <cellStyle name="Normal 2 4 5 2 6 2" xfId="5106" xr:uid="{743720F4-FF7C-4709-B8AE-F926F1D9313C}"/>
    <cellStyle name="Normal 2 4 5 2 6 2 2" xfId="9324" xr:uid="{D277C323-3587-46C4-B8A2-1C0130724AD1}"/>
    <cellStyle name="Normal 2 4 5 2 6 3" xfId="7179" xr:uid="{59B9D9BE-94AE-4DB1-88D7-99678A2CB147}"/>
    <cellStyle name="Normal 2 4 5 2 7" xfId="3290" xr:uid="{7D9DF5F2-3DDE-43EE-81DA-BDEBD7ACCD47}"/>
    <cellStyle name="Normal 2 4 5 2 7 2" xfId="5519" xr:uid="{D3B3CFEA-C8C3-4097-A865-1C4558DE534F}"/>
    <cellStyle name="Normal 2 4 5 2 7 2 2" xfId="9737" xr:uid="{0544502D-E9D4-4849-BF8A-94551D321798}"/>
    <cellStyle name="Normal 2 4 5 2 7 3" xfId="7592" xr:uid="{0199723F-39CE-4892-949A-7182EF4CB095}"/>
    <cellStyle name="Normal 2 4 5 2 8" xfId="3726" xr:uid="{723F7FB2-E0B5-4EC7-9521-DC59519AF59F}"/>
    <cellStyle name="Normal 2 4 5 2 8 2" xfId="8005" xr:uid="{D27FC6D2-78E1-4B34-907B-2F77B1F69753}"/>
    <cellStyle name="Normal 2 4 5 2 9" xfId="5939" xr:uid="{36819AE7-439C-4AE2-AFAE-8E1F2E95449F}"/>
    <cellStyle name="Normal 2 4 5 3" xfId="311" xr:uid="{00000000-0005-0000-0000-00001B020000}"/>
    <cellStyle name="Normal 2 4 5 3 2" xfId="312" xr:uid="{00000000-0005-0000-0000-00001C020000}"/>
    <cellStyle name="Normal 2 4 5 3 2 2" xfId="806" xr:uid="{00000000-0005-0000-0000-00001D020000}"/>
    <cellStyle name="Normal 2 4 5 3 2 2 2" xfId="4285" xr:uid="{838A43E5-260D-4919-971C-AB700E6A8541}"/>
    <cellStyle name="Normal 2 4 5 3 2 2 2 2" xfId="8503" xr:uid="{856F3794-AB45-426A-846B-0C611E17DABC}"/>
    <cellStyle name="Normal 2 4 5 3 2 2 3" xfId="6358" xr:uid="{0BE916E6-10B6-4191-989D-A3D890BB4BB1}"/>
    <cellStyle name="Normal 2 4 5 3 2 2 4" xfId="2056" xr:uid="{785F34FF-ED13-42C0-9270-8469FDE82757}"/>
    <cellStyle name="Normal 2 4 5 3 2 3" xfId="1227" xr:uid="{A43BB6DC-5D7C-4D89-8D50-84F0042DAFCC}"/>
    <cellStyle name="Normal 2 4 5 3 2 3 2" xfId="4698" xr:uid="{9B5CD44C-F1BC-4A6E-9FB9-6657445D7701}"/>
    <cellStyle name="Normal 2 4 5 3 2 3 2 2" xfId="8916" xr:uid="{53CBB447-73BF-4346-9122-A71A187AFA4E}"/>
    <cellStyle name="Normal 2 4 5 3 2 3 3" xfId="6771" xr:uid="{C3255B62-E978-43BB-A69F-17855BB39B70}"/>
    <cellStyle name="Normal 2 4 5 3 2 3 4" xfId="2469" xr:uid="{CE06221F-0964-4050-9717-00B1DDF07428}"/>
    <cellStyle name="Normal 2 4 5 3 2 4" xfId="2882" xr:uid="{7C64E964-F249-482B-84E8-2EBBE40CC931}"/>
    <cellStyle name="Normal 2 4 5 3 2 4 2" xfId="5111" xr:uid="{A1A44B6B-A650-4348-8C1B-DD247A657252}"/>
    <cellStyle name="Normal 2 4 5 3 2 4 2 2" xfId="9329" xr:uid="{1DD16097-3F99-4B8C-A055-F09BE7B069B5}"/>
    <cellStyle name="Normal 2 4 5 3 2 4 3" xfId="7184" xr:uid="{8C284C75-1982-4494-9128-BF6D136BCCCA}"/>
    <cellStyle name="Normal 2 4 5 3 2 5" xfId="3295" xr:uid="{600E80FD-21FF-4334-AB11-7049BEBC606F}"/>
    <cellStyle name="Normal 2 4 5 3 2 5 2" xfId="5524" xr:uid="{E83E6FDA-EFF9-47E9-8C71-EC5212EA2323}"/>
    <cellStyle name="Normal 2 4 5 3 2 5 2 2" xfId="9742" xr:uid="{32EB4375-A27F-4E39-B24D-79F42EDDC885}"/>
    <cellStyle name="Normal 2 4 5 3 2 5 3" xfId="7597" xr:uid="{D3D2338B-4C87-4131-BDB2-19E7DEE4B33C}"/>
    <cellStyle name="Normal 2 4 5 3 2 6" xfId="3731" xr:uid="{BCA9674A-5C7F-4CFD-913D-EB406222785B}"/>
    <cellStyle name="Normal 2 4 5 3 2 6 2" xfId="8010" xr:uid="{AE204D0F-20F1-4845-9D2F-E383E8A7AE81}"/>
    <cellStyle name="Normal 2 4 5 3 2 7" xfId="5944" xr:uid="{CABE37DC-C915-41D5-9430-DE30632ABD88}"/>
    <cellStyle name="Normal 2 4 5 3 2 8" xfId="1640" xr:uid="{FB81B901-DBFD-4A92-AB4B-13F9BAC72C70}"/>
    <cellStyle name="Normal 2 4 5 3 3" xfId="805" xr:uid="{00000000-0005-0000-0000-00001E020000}"/>
    <cellStyle name="Normal 2 4 5 3 3 2" xfId="4284" xr:uid="{00E3A5B3-F895-4343-B5CB-4E5C3C61E8C0}"/>
    <cellStyle name="Normal 2 4 5 3 3 2 2" xfId="8502" xr:uid="{5FF2B19D-E23C-4F5C-8EC6-49F4ED7B28E1}"/>
    <cellStyle name="Normal 2 4 5 3 3 3" xfId="6357" xr:uid="{57717B83-AC98-42DA-971B-996E2408AFBA}"/>
    <cellStyle name="Normal 2 4 5 3 3 4" xfId="2055" xr:uid="{D7FC9C4A-4A50-4C7C-8B3E-951413C64007}"/>
    <cellStyle name="Normal 2 4 5 3 4" xfId="1226" xr:uid="{8A5D06A0-801B-44AD-B185-BCE490241473}"/>
    <cellStyle name="Normal 2 4 5 3 4 2" xfId="4697" xr:uid="{4CDC6BF6-E779-4D75-A25A-D58A78A80B51}"/>
    <cellStyle name="Normal 2 4 5 3 4 2 2" xfId="8915" xr:uid="{425A2C4B-849F-46D6-AFB2-84258716FC3F}"/>
    <cellStyle name="Normal 2 4 5 3 4 3" xfId="6770" xr:uid="{7A55B973-418B-48B5-ADA8-B6E5A505F102}"/>
    <cellStyle name="Normal 2 4 5 3 4 4" xfId="2468" xr:uid="{FD8E27E8-21F7-4986-901A-00DF4F25C704}"/>
    <cellStyle name="Normal 2 4 5 3 5" xfId="2881" xr:uid="{FB4EB564-F3D4-49AF-A5FB-C0866AB972A6}"/>
    <cellStyle name="Normal 2 4 5 3 5 2" xfId="5110" xr:uid="{6CDE9CA6-D178-402F-B349-5EA0BF2A4F5E}"/>
    <cellStyle name="Normal 2 4 5 3 5 2 2" xfId="9328" xr:uid="{8724C2D2-96A5-49EE-82C3-0381AECC8D84}"/>
    <cellStyle name="Normal 2 4 5 3 5 3" xfId="7183" xr:uid="{A9E1C662-86C6-4F65-8AAE-C294C9D544BC}"/>
    <cellStyle name="Normal 2 4 5 3 6" xfId="3294" xr:uid="{95A34083-03E0-4B96-B7D0-E4E6477CD3C8}"/>
    <cellStyle name="Normal 2 4 5 3 6 2" xfId="5523" xr:uid="{D16DB565-84CB-469E-8850-312DA4A7012A}"/>
    <cellStyle name="Normal 2 4 5 3 6 2 2" xfId="9741" xr:uid="{1F6F0390-CC00-4EE6-81C7-1690A894319A}"/>
    <cellStyle name="Normal 2 4 5 3 6 3" xfId="7596" xr:uid="{7C545BDF-31B9-4B67-8F60-3F66EAA0ED63}"/>
    <cellStyle name="Normal 2 4 5 3 7" xfId="3730" xr:uid="{71C5992A-9C3B-49D5-A6A5-E6C676A010AE}"/>
    <cellStyle name="Normal 2 4 5 3 7 2" xfId="8009" xr:uid="{F13D8C4D-7E8C-4B99-B4C4-7764DC8ACA68}"/>
    <cellStyle name="Normal 2 4 5 3 8" xfId="5943" xr:uid="{E130A534-776F-49CF-9362-F97EC6A10B9F}"/>
    <cellStyle name="Normal 2 4 5 3 9" xfId="1639" xr:uid="{ABA93805-6BA9-4B9C-BCBB-AF1F51CFE42E}"/>
    <cellStyle name="Normal 2 4 5 4" xfId="313" xr:uid="{00000000-0005-0000-0000-00001F020000}"/>
    <cellStyle name="Normal 2 4 5 4 2" xfId="807" xr:uid="{00000000-0005-0000-0000-000020020000}"/>
    <cellStyle name="Normal 2 4 5 4 2 2" xfId="4286" xr:uid="{838F9043-63B0-4D11-8E3B-494ED9A75441}"/>
    <cellStyle name="Normal 2 4 5 4 2 2 2" xfId="8504" xr:uid="{09382166-4F2E-4473-9F2C-1E4E819D3F5A}"/>
    <cellStyle name="Normal 2 4 5 4 2 3" xfId="6359" xr:uid="{B018479F-D343-4B66-A6F6-F48CF1145689}"/>
    <cellStyle name="Normal 2 4 5 4 2 4" xfId="2057" xr:uid="{4DD76CB8-0551-4453-9DD2-A90D176113B9}"/>
    <cellStyle name="Normal 2 4 5 4 3" xfId="1228" xr:uid="{6EE1ACFE-17CE-48A8-9489-F129E24CC4FF}"/>
    <cellStyle name="Normal 2 4 5 4 3 2" xfId="4699" xr:uid="{AC52B316-DB79-4F8D-AE94-3B8B6ADD490D}"/>
    <cellStyle name="Normal 2 4 5 4 3 2 2" xfId="8917" xr:uid="{B7FC9090-C9AD-45DC-8409-431EB45BC188}"/>
    <cellStyle name="Normal 2 4 5 4 3 3" xfId="6772" xr:uid="{50F6614F-15B8-4AFE-B7CA-EA671289E2C7}"/>
    <cellStyle name="Normal 2 4 5 4 3 4" xfId="2470" xr:uid="{BA0A3B5F-6EA9-41B1-B9A5-20AEF5CD448E}"/>
    <cellStyle name="Normal 2 4 5 4 4" xfId="2883" xr:uid="{6AD76803-7ED4-4E67-BC23-A8547306A1EF}"/>
    <cellStyle name="Normal 2 4 5 4 4 2" xfId="5112" xr:uid="{A59726A1-E735-48FE-9446-3139FCACF590}"/>
    <cellStyle name="Normal 2 4 5 4 4 2 2" xfId="9330" xr:uid="{95FEB2C4-CAD2-4E15-82F5-2449554579E8}"/>
    <cellStyle name="Normal 2 4 5 4 4 3" xfId="7185" xr:uid="{37B1A4DA-991A-4A37-81CC-9509B6B3EE37}"/>
    <cellStyle name="Normal 2 4 5 4 5" xfId="3296" xr:uid="{98942D43-A08D-448A-B972-5D82E84AC25B}"/>
    <cellStyle name="Normal 2 4 5 4 5 2" xfId="5525" xr:uid="{4E5AB8F5-E098-4CFA-B822-E9BBC736A1B2}"/>
    <cellStyle name="Normal 2 4 5 4 5 2 2" xfId="9743" xr:uid="{1B024747-0BD8-449F-9BB0-6AD6958B4F6A}"/>
    <cellStyle name="Normal 2 4 5 4 5 3" xfId="7598" xr:uid="{43514442-BC15-4B8E-8E09-F6440C4BB236}"/>
    <cellStyle name="Normal 2 4 5 4 6" xfId="3732" xr:uid="{D7BC4CE7-08AB-42BE-9A5D-FE56D1DCAEBA}"/>
    <cellStyle name="Normal 2 4 5 4 6 2" xfId="8011" xr:uid="{AECB8575-258C-40A2-A114-DC0692ECCE14}"/>
    <cellStyle name="Normal 2 4 5 4 7" xfId="5945" xr:uid="{69321653-F608-4BE7-AF9F-D500682C7B8F}"/>
    <cellStyle name="Normal 2 4 5 4 8" xfId="1641" xr:uid="{2B1C7D37-1A76-4B1B-A142-7A3389BA48F8}"/>
    <cellStyle name="Normal 2 4 5 5" xfId="800" xr:uid="{00000000-0005-0000-0000-000021020000}"/>
    <cellStyle name="Normal 2 4 5 5 2" xfId="4279" xr:uid="{60B34742-E977-4B47-B819-E730AAC5FAA9}"/>
    <cellStyle name="Normal 2 4 5 5 2 2" xfId="8497" xr:uid="{4F37E800-C680-4D5E-A475-E43D75A7A912}"/>
    <cellStyle name="Normal 2 4 5 5 3" xfId="6352" xr:uid="{C958E5DC-95EF-43E6-A894-135DF94F5F1E}"/>
    <cellStyle name="Normal 2 4 5 5 4" xfId="2050" xr:uid="{463B6876-C1AD-46AA-B8EC-748121666DCF}"/>
    <cellStyle name="Normal 2 4 5 6" xfId="1221" xr:uid="{AAAE8AB3-5B50-472F-AEF3-72438109289D}"/>
    <cellStyle name="Normal 2 4 5 6 2" xfId="4692" xr:uid="{67F5E9DC-A3A6-4AA2-B27E-53DFB15283DC}"/>
    <cellStyle name="Normal 2 4 5 6 2 2" xfId="8910" xr:uid="{BAD158A4-10DA-46F2-8DE4-44B6C0046BF6}"/>
    <cellStyle name="Normal 2 4 5 6 3" xfId="6765" xr:uid="{1973DECE-3BE1-4F79-AB0B-CC9AB4A4EAD3}"/>
    <cellStyle name="Normal 2 4 5 6 4" xfId="2463" xr:uid="{F505D5D5-53C0-4312-8479-7377438E9650}"/>
    <cellStyle name="Normal 2 4 5 7" xfId="2876" xr:uid="{7154AF69-8574-4114-AD3A-111593AEDCFF}"/>
    <cellStyle name="Normal 2 4 5 7 2" xfId="5105" xr:uid="{B39D92A2-430E-43CF-BAAC-B47A11E92F3E}"/>
    <cellStyle name="Normal 2 4 5 7 2 2" xfId="9323" xr:uid="{18081FDA-4D42-41E3-98FF-0218E3C7C215}"/>
    <cellStyle name="Normal 2 4 5 7 3" xfId="7178" xr:uid="{092C6DDA-55F1-4B3C-83F5-BB246E9178D9}"/>
    <cellStyle name="Normal 2 4 5 8" xfId="3289" xr:uid="{72FD71D0-CD71-4750-BFA4-0FAE532247FC}"/>
    <cellStyle name="Normal 2 4 5 8 2" xfId="5518" xr:uid="{E9FF455C-8EF2-4522-8B0F-BD5D0CC8170F}"/>
    <cellStyle name="Normal 2 4 5 8 2 2" xfId="9736" xr:uid="{7B795F87-4A5B-456F-B9DA-2C87D5A5E495}"/>
    <cellStyle name="Normal 2 4 5 8 3" xfId="7591" xr:uid="{88C1E423-9E12-48D6-A296-BFA275B34EE4}"/>
    <cellStyle name="Normal 2 4 5 9" xfId="3725" xr:uid="{E113AF6C-316B-4E86-8366-6FDAE3A55226}"/>
    <cellStyle name="Normal 2 4 5 9 2" xfId="8004" xr:uid="{39E99388-3722-40D6-B5EA-135BDE7A364A}"/>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4288" xr:uid="{E7126A0D-27C1-44BD-971B-FC4D60E2D27D}"/>
    <cellStyle name="Normal 2 4 7 2 2 2 2" xfId="8506" xr:uid="{6563CD17-4FC4-4FF0-8693-DF3485166F8D}"/>
    <cellStyle name="Normal 2 4 7 2 2 3" xfId="6361" xr:uid="{2AE51CA8-1693-4FF1-81EB-A5CA5F5632C5}"/>
    <cellStyle name="Normal 2 4 7 2 2 4" xfId="2059" xr:uid="{7B99021C-71F4-48ED-AE17-00BD475EF07B}"/>
    <cellStyle name="Normal 2 4 7 2 3" xfId="1230" xr:uid="{902D14B1-783B-4FFB-9C22-81F77760B6A3}"/>
    <cellStyle name="Normal 2 4 7 2 3 2" xfId="4701" xr:uid="{21C9D64D-18B4-42C5-8A0C-28626936D9E5}"/>
    <cellStyle name="Normal 2 4 7 2 3 2 2" xfId="8919" xr:uid="{7C3E6F0D-79BC-4E8A-AB18-0701DE13F370}"/>
    <cellStyle name="Normal 2 4 7 2 3 3" xfId="6774" xr:uid="{0F8AE287-7AF3-46A3-87FD-BD37FD11E8F5}"/>
    <cellStyle name="Normal 2 4 7 2 3 4" xfId="2472" xr:uid="{2ADCF62C-7D11-498A-8946-B5A262A7C9A9}"/>
    <cellStyle name="Normal 2 4 7 2 4" xfId="2885" xr:uid="{F3F777F0-9C72-48F8-BE82-EE6DE5010BAC}"/>
    <cellStyle name="Normal 2 4 7 2 4 2" xfId="5114" xr:uid="{4EBA6ECF-31FB-40E7-9C07-6D5E937E667F}"/>
    <cellStyle name="Normal 2 4 7 2 4 2 2" xfId="9332" xr:uid="{EBCA12F2-6381-4218-BDF9-1673F3916AAE}"/>
    <cellStyle name="Normal 2 4 7 2 4 3" xfId="7187" xr:uid="{F9AB8FE5-D293-469B-9301-067A29EF8BC8}"/>
    <cellStyle name="Normal 2 4 7 2 5" xfId="3298" xr:uid="{4D7EF013-1FA9-45FD-AA04-A3C11DAEB32A}"/>
    <cellStyle name="Normal 2 4 7 2 5 2" xfId="5527" xr:uid="{DA063794-5CBB-4A66-A5F7-66AF737DE2D9}"/>
    <cellStyle name="Normal 2 4 7 2 5 2 2" xfId="9745" xr:uid="{CAB462DA-199A-44DC-8C81-370B0E5A87BD}"/>
    <cellStyle name="Normal 2 4 7 2 5 3" xfId="7600" xr:uid="{E7280BE6-90C2-4A2A-BDB7-D4692B2A73F2}"/>
    <cellStyle name="Normal 2 4 7 2 6" xfId="3734" xr:uid="{E40B99E9-F2E3-4C20-BC45-8F11816AC73A}"/>
    <cellStyle name="Normal 2 4 7 2 6 2" xfId="8013" xr:uid="{A022E4E2-EDE5-4970-B9F3-7AB1C858D188}"/>
    <cellStyle name="Normal 2 4 7 2 7" xfId="5947" xr:uid="{49DAB670-441E-49D1-AD1B-F7E4B5C335FD}"/>
    <cellStyle name="Normal 2 4 7 2 8" xfId="1643" xr:uid="{B64B823E-C72E-460E-A4CC-C9AE3FF94CE5}"/>
    <cellStyle name="Normal 2 4 7 3" xfId="808" xr:uid="{00000000-0005-0000-0000-000026020000}"/>
    <cellStyle name="Normal 2 4 7 3 2" xfId="4287" xr:uid="{32648770-9F9C-4680-B0AD-6827A3521BD6}"/>
    <cellStyle name="Normal 2 4 7 3 2 2" xfId="8505" xr:uid="{89BB0E8C-FDBD-486A-9F85-681FE806D88F}"/>
    <cellStyle name="Normal 2 4 7 3 3" xfId="6360" xr:uid="{C75063AE-1044-4710-9C3F-238B69B2F0AA}"/>
    <cellStyle name="Normal 2 4 7 3 4" xfId="2058" xr:uid="{E1FD1E52-8AB5-41FA-BDF7-96638A82BB2F}"/>
    <cellStyle name="Normal 2 4 7 4" xfId="1229" xr:uid="{CC25F113-31A8-49B5-9EBC-2C2649D1B3B7}"/>
    <cellStyle name="Normal 2 4 7 4 2" xfId="4700" xr:uid="{3BD2F050-E517-44B7-9FB6-1D732477F0BF}"/>
    <cellStyle name="Normal 2 4 7 4 2 2" xfId="8918" xr:uid="{65CB6BE4-C6E7-487D-990C-BB92ECCE1526}"/>
    <cellStyle name="Normal 2 4 7 4 3" xfId="6773" xr:uid="{A83A0D04-AF39-4227-A28D-1AD1431B2B2B}"/>
    <cellStyle name="Normal 2 4 7 4 4" xfId="2471" xr:uid="{6811AF2E-F9F8-46DB-86AA-7EC83FF3E85B}"/>
    <cellStyle name="Normal 2 4 7 5" xfId="2884" xr:uid="{43FACE3E-CFA7-406A-9FA2-23311A7E3E1C}"/>
    <cellStyle name="Normal 2 4 7 5 2" xfId="5113" xr:uid="{CFC501BE-3682-402B-A24C-9A06DC6545C2}"/>
    <cellStyle name="Normal 2 4 7 5 2 2" xfId="9331" xr:uid="{83F1FFEC-93FB-44A4-AAC3-DEC815ACEE1A}"/>
    <cellStyle name="Normal 2 4 7 5 3" xfId="7186" xr:uid="{BD9B84A8-8DF9-4235-8FB1-51BF7359F5CA}"/>
    <cellStyle name="Normal 2 4 7 6" xfId="3297" xr:uid="{C6B8DD7D-51AB-42D3-AF20-3B2FBF906EAB}"/>
    <cellStyle name="Normal 2 4 7 6 2" xfId="5526" xr:uid="{56ACDEB8-44C6-45B4-8283-119598ED1551}"/>
    <cellStyle name="Normal 2 4 7 6 2 2" xfId="9744" xr:uid="{E07301BF-9413-46E9-8D5E-4B1D4DE9EF7B}"/>
    <cellStyle name="Normal 2 4 7 6 3" xfId="7599" xr:uid="{18DB3A5E-B4F0-442B-ADE2-C3C68494724A}"/>
    <cellStyle name="Normal 2 4 7 7" xfId="3733" xr:uid="{33FEE96E-A37F-4E57-AC5F-DD1138AC3E29}"/>
    <cellStyle name="Normal 2 4 7 7 2" xfId="8012" xr:uid="{66EBE6FB-56CB-4723-B285-16C2DC8527B6}"/>
    <cellStyle name="Normal 2 4 7 8" xfId="5946" xr:uid="{BB76BA00-D48E-496E-8375-4F897FCB2E27}"/>
    <cellStyle name="Normal 2 4 7 9" xfId="1642" xr:uid="{E2F36651-2E57-4443-B223-A6562CF7FA27}"/>
    <cellStyle name="Normal 2 4 8" xfId="317" xr:uid="{00000000-0005-0000-0000-000027020000}"/>
    <cellStyle name="Normal 2 4 8 2" xfId="810" xr:uid="{00000000-0005-0000-0000-000028020000}"/>
    <cellStyle name="Normal 2 4 8 2 2" xfId="4289" xr:uid="{DC97C2FE-5384-4F22-8602-E3A56CB2B63F}"/>
    <cellStyle name="Normal 2 4 8 2 2 2" xfId="8507" xr:uid="{3F03FA53-3C14-4C35-B0DE-11F68B7F9BF7}"/>
    <cellStyle name="Normal 2 4 8 2 3" xfId="6362" xr:uid="{DADDE513-9F2A-4817-AE5E-7DA6ECDF78BE}"/>
    <cellStyle name="Normal 2 4 8 2 4" xfId="2060" xr:uid="{09E49195-6627-446F-9FD6-133F0F04FB25}"/>
    <cellStyle name="Normal 2 4 8 3" xfId="1231" xr:uid="{04292B1D-75B8-4058-810F-2CA59444B13D}"/>
    <cellStyle name="Normal 2 4 8 3 2" xfId="4702" xr:uid="{B90A0521-44E3-4C32-88C0-EEE878C9285D}"/>
    <cellStyle name="Normal 2 4 8 3 2 2" xfId="8920" xr:uid="{3AB0A430-20A9-4341-9266-ED814BD1DF6E}"/>
    <cellStyle name="Normal 2 4 8 3 3" xfId="6775" xr:uid="{CA02A2BB-C0D8-481D-B187-450A28004D25}"/>
    <cellStyle name="Normal 2 4 8 3 4" xfId="2473" xr:uid="{2E01BB61-B653-42BA-B44B-68020497D68D}"/>
    <cellStyle name="Normal 2 4 8 4" xfId="2886" xr:uid="{BD1325EE-EE6B-4A5D-BC68-F71AD369CF64}"/>
    <cellStyle name="Normal 2 4 8 4 2" xfId="5115" xr:uid="{4670D076-2649-45C7-A669-CE841E4424DB}"/>
    <cellStyle name="Normal 2 4 8 4 2 2" xfId="9333" xr:uid="{0E72F00A-77FA-411A-AB0D-6BB76B246690}"/>
    <cellStyle name="Normal 2 4 8 4 3" xfId="7188" xr:uid="{155435DA-CE34-40E4-87AE-1DB16E15701F}"/>
    <cellStyle name="Normal 2 4 8 5" xfId="3299" xr:uid="{92302F31-4586-4A2B-A4EA-D357451FE754}"/>
    <cellStyle name="Normal 2 4 8 5 2" xfId="5528" xr:uid="{CF661720-61EE-43A0-B3D1-A46D8E61AB63}"/>
    <cellStyle name="Normal 2 4 8 5 2 2" xfId="9746" xr:uid="{47DFAED2-8BF8-4663-B1CC-FEB4F0A10C97}"/>
    <cellStyle name="Normal 2 4 8 5 3" xfId="7601" xr:uid="{5C3220A1-BA09-4962-B7E7-411BF4097285}"/>
    <cellStyle name="Normal 2 4 8 6" xfId="3735" xr:uid="{3DC5DF7F-0C1E-4A85-8A07-31B926F8AA01}"/>
    <cellStyle name="Normal 2 4 8 6 2" xfId="8014" xr:uid="{8570101C-9874-4EA6-B6E8-A8806B2FBAB3}"/>
    <cellStyle name="Normal 2 4 8 7" xfId="5948" xr:uid="{737988DC-D329-4812-9618-895D9D60790A}"/>
    <cellStyle name="Normal 2 4 8 8" xfId="1644" xr:uid="{3F24BBE4-EAEA-4D3E-B7E3-1A253D4E1094}"/>
    <cellStyle name="Normal 2 5" xfId="318" xr:uid="{00000000-0005-0000-0000-000029020000}"/>
    <cellStyle name="Normal 2 5 10" xfId="5949" xr:uid="{C0B2F5E2-3673-4F5E-84AD-8C47C02D4182}"/>
    <cellStyle name="Normal 2 5 11" xfId="1645" xr:uid="{FDB60823-4EB3-4D22-B168-35FA64A23DE5}"/>
    <cellStyle name="Normal 2 5 2" xfId="319" xr:uid="{00000000-0005-0000-0000-00002A020000}"/>
    <cellStyle name="Normal 2 5 3" xfId="320" xr:uid="{00000000-0005-0000-0000-00002B020000}"/>
    <cellStyle name="Normal 2 5 4" xfId="321" xr:uid="{00000000-0005-0000-0000-00002C020000}"/>
    <cellStyle name="Normal 2 5 4 10" xfId="1646" xr:uid="{C7D14459-9868-4D22-B908-086A318F6660}"/>
    <cellStyle name="Normal 2 5 4 2" xfId="322" xr:uid="{00000000-0005-0000-0000-00002D020000}"/>
    <cellStyle name="Normal 2 5 4 2 2" xfId="323" xr:uid="{00000000-0005-0000-0000-00002E020000}"/>
    <cellStyle name="Normal 2 5 4 2 2 2" xfId="814" xr:uid="{00000000-0005-0000-0000-00002F020000}"/>
    <cellStyle name="Normal 2 5 4 2 2 2 2" xfId="4293" xr:uid="{8534C5F3-CC34-4E08-97E7-794EED9D174C}"/>
    <cellStyle name="Normal 2 5 4 2 2 2 2 2" xfId="8511" xr:uid="{1EB7E995-D350-4057-9A82-D3CE2FB37DE7}"/>
    <cellStyle name="Normal 2 5 4 2 2 2 3" xfId="6366" xr:uid="{168D342A-92B4-4E20-A67F-FD282A8360F6}"/>
    <cellStyle name="Normal 2 5 4 2 2 2 4" xfId="2064" xr:uid="{A761B7B0-E4FE-4208-BA1B-CD5DF8D7AD36}"/>
    <cellStyle name="Normal 2 5 4 2 2 3" xfId="1235" xr:uid="{8546F462-B903-40FA-AF12-EC7A98ACA016}"/>
    <cellStyle name="Normal 2 5 4 2 2 3 2" xfId="4706" xr:uid="{DE392DC4-3FFE-4D7E-9D88-F427C20F43E7}"/>
    <cellStyle name="Normal 2 5 4 2 2 3 2 2" xfId="8924" xr:uid="{E451E409-9B14-4DC4-8EC2-F9F95F98ADBE}"/>
    <cellStyle name="Normal 2 5 4 2 2 3 3" xfId="6779" xr:uid="{AF3A8338-B04D-48AF-B54E-27334735C6F0}"/>
    <cellStyle name="Normal 2 5 4 2 2 3 4" xfId="2477" xr:uid="{FC7AC146-3FC6-426A-A563-1F6D21F3D6F6}"/>
    <cellStyle name="Normal 2 5 4 2 2 4" xfId="2890" xr:uid="{9D1B9E03-7E00-4742-82BA-1D8BCEB774E8}"/>
    <cellStyle name="Normal 2 5 4 2 2 4 2" xfId="5119" xr:uid="{BD35BF7A-04ED-4CDB-A364-CA5EE6B18111}"/>
    <cellStyle name="Normal 2 5 4 2 2 4 2 2" xfId="9337" xr:uid="{4665EF37-70F3-47E1-A6D1-8AD1CF8382CE}"/>
    <cellStyle name="Normal 2 5 4 2 2 4 3" xfId="7192" xr:uid="{9B2F43C3-9841-4557-9D9C-9017C0294B3F}"/>
    <cellStyle name="Normal 2 5 4 2 2 5" xfId="3303" xr:uid="{DAE35CBB-333F-44E2-9589-90C7003620F4}"/>
    <cellStyle name="Normal 2 5 4 2 2 5 2" xfId="5532" xr:uid="{3497B4AD-6911-42B4-B515-28A17796D7AB}"/>
    <cellStyle name="Normal 2 5 4 2 2 5 2 2" xfId="9750" xr:uid="{357C9F66-8E94-4190-A31B-22EDE349E30F}"/>
    <cellStyle name="Normal 2 5 4 2 2 5 3" xfId="7605" xr:uid="{471CC38D-7DA0-426D-8892-E02E9D3F8019}"/>
    <cellStyle name="Normal 2 5 4 2 2 6" xfId="3739" xr:uid="{F8511AFC-FF32-4403-964C-C22B8B328F41}"/>
    <cellStyle name="Normal 2 5 4 2 2 6 2" xfId="8018" xr:uid="{DA8C11BF-91B4-41A4-A218-F497B60F61DF}"/>
    <cellStyle name="Normal 2 5 4 2 2 7" xfId="5952" xr:uid="{33C99D63-C9DC-4B57-B778-B448D2342251}"/>
    <cellStyle name="Normal 2 5 4 2 2 8" xfId="1648" xr:uid="{AE39B127-B255-4EF7-B164-6A823F3F46FF}"/>
    <cellStyle name="Normal 2 5 4 2 3" xfId="813" xr:uid="{00000000-0005-0000-0000-000030020000}"/>
    <cellStyle name="Normal 2 5 4 2 3 2" xfId="4292" xr:uid="{6DB4B876-16D2-466E-91CA-603B5E6BFAA4}"/>
    <cellStyle name="Normal 2 5 4 2 3 2 2" xfId="8510" xr:uid="{C5364FE3-E7CC-4A45-903B-2BA4891E4F22}"/>
    <cellStyle name="Normal 2 5 4 2 3 3" xfId="6365" xr:uid="{DB2F86AA-1EF6-4EBD-883B-2DDE35CD07B2}"/>
    <cellStyle name="Normal 2 5 4 2 3 4" xfId="2063" xr:uid="{ED1F3F28-CEA2-4083-9D85-53FA0A6DB0B3}"/>
    <cellStyle name="Normal 2 5 4 2 4" xfId="1234" xr:uid="{2565CE2B-792A-4955-B8DA-01999E470267}"/>
    <cellStyle name="Normal 2 5 4 2 4 2" xfId="4705" xr:uid="{78ADEB63-64F6-43E5-A239-6919ABB2DACF}"/>
    <cellStyle name="Normal 2 5 4 2 4 2 2" xfId="8923" xr:uid="{E20C2186-F5BF-4008-8698-A149E87E0DB5}"/>
    <cellStyle name="Normal 2 5 4 2 4 3" xfId="6778" xr:uid="{1EAF01AB-378A-47A8-8DCA-75F066EC0C7D}"/>
    <cellStyle name="Normal 2 5 4 2 4 4" xfId="2476" xr:uid="{424F439C-0EB6-41E1-87DD-46A28C73C326}"/>
    <cellStyle name="Normal 2 5 4 2 5" xfId="2889" xr:uid="{EE876F34-2CD5-469E-97D7-E6BE08FCE033}"/>
    <cellStyle name="Normal 2 5 4 2 5 2" xfId="5118" xr:uid="{188AD5C8-ABD2-4A5F-B568-0A4ED78BA1CA}"/>
    <cellStyle name="Normal 2 5 4 2 5 2 2" xfId="9336" xr:uid="{8FCD2797-1479-4982-9837-85109AB684BE}"/>
    <cellStyle name="Normal 2 5 4 2 5 3" xfId="7191" xr:uid="{3A150531-7DC4-4E9B-B480-0D9821B4C458}"/>
    <cellStyle name="Normal 2 5 4 2 6" xfId="3302" xr:uid="{3864C2B2-767C-49B1-93A9-8669166BAF8C}"/>
    <cellStyle name="Normal 2 5 4 2 6 2" xfId="5531" xr:uid="{55A48059-068E-44A7-A23C-B9B4A096E341}"/>
    <cellStyle name="Normal 2 5 4 2 6 2 2" xfId="9749" xr:uid="{008ED02E-D905-48FC-BE23-A8592070E3E0}"/>
    <cellStyle name="Normal 2 5 4 2 6 3" xfId="7604" xr:uid="{4FE0DAA8-1D01-4819-88D8-68257A321098}"/>
    <cellStyle name="Normal 2 5 4 2 7" xfId="3738" xr:uid="{8803BD73-0413-4AD3-82D2-F412BFBCEE20}"/>
    <cellStyle name="Normal 2 5 4 2 7 2" xfId="8017" xr:uid="{804C2A5A-14A4-427E-B81B-DF43FD8024E7}"/>
    <cellStyle name="Normal 2 5 4 2 8" xfId="5951" xr:uid="{68AF5C99-0BA1-4ABC-BBB8-60A7A0A64B24}"/>
    <cellStyle name="Normal 2 5 4 2 9" xfId="1647" xr:uid="{98893D74-5E41-4A4E-BC70-8A7D26DAA10A}"/>
    <cellStyle name="Normal 2 5 4 3" xfId="324" xr:uid="{00000000-0005-0000-0000-000031020000}"/>
    <cellStyle name="Normal 2 5 4 3 2" xfId="815" xr:uid="{00000000-0005-0000-0000-000032020000}"/>
    <cellStyle name="Normal 2 5 4 3 2 2" xfId="4294" xr:uid="{DF081A94-B0AE-4A9C-BFEB-97520CD33959}"/>
    <cellStyle name="Normal 2 5 4 3 2 2 2" xfId="8512" xr:uid="{EB860E22-8BDB-4109-8025-B6DC55F51675}"/>
    <cellStyle name="Normal 2 5 4 3 2 3" xfId="6367" xr:uid="{5AF51076-EE4D-4D49-8FFE-058F96527753}"/>
    <cellStyle name="Normal 2 5 4 3 2 4" xfId="2065" xr:uid="{5E715116-AAEB-4283-9E4A-A8B76D4474A5}"/>
    <cellStyle name="Normal 2 5 4 3 3" xfId="1236" xr:uid="{F07C4A50-C3A5-4843-BF72-D4331A4E9CC5}"/>
    <cellStyle name="Normal 2 5 4 3 3 2" xfId="4707" xr:uid="{746476B9-4054-4A5C-B877-FCC7EF430DA7}"/>
    <cellStyle name="Normal 2 5 4 3 3 2 2" xfId="8925" xr:uid="{FB6DD25F-7BF6-47DB-9217-4C5FE727C397}"/>
    <cellStyle name="Normal 2 5 4 3 3 3" xfId="6780" xr:uid="{B4E87B2B-098F-4F15-8E92-4329AB6D8DE6}"/>
    <cellStyle name="Normal 2 5 4 3 3 4" xfId="2478" xr:uid="{DF41EA12-75CF-4BBD-95AD-230A5A8A1AEF}"/>
    <cellStyle name="Normal 2 5 4 3 4" xfId="2891" xr:uid="{18799B99-B616-48E3-8496-80FE430EC155}"/>
    <cellStyle name="Normal 2 5 4 3 4 2" xfId="5120" xr:uid="{D2916386-0162-41F9-ADAB-3A931B51E430}"/>
    <cellStyle name="Normal 2 5 4 3 4 2 2" xfId="9338" xr:uid="{7851C185-296A-41D9-AA84-F905D7F7E413}"/>
    <cellStyle name="Normal 2 5 4 3 4 3" xfId="7193" xr:uid="{0C1D92D0-D4B2-4716-A5DA-DB78355C0298}"/>
    <cellStyle name="Normal 2 5 4 3 5" xfId="3304" xr:uid="{F8A21921-B2B0-4FAF-9AAD-81C0BE677DA2}"/>
    <cellStyle name="Normal 2 5 4 3 5 2" xfId="5533" xr:uid="{CD93722B-590B-454F-AA2E-53B8ACFEABA8}"/>
    <cellStyle name="Normal 2 5 4 3 5 2 2" xfId="9751" xr:uid="{A36C3A3D-9A13-42F8-AE6A-9662F5E4C79C}"/>
    <cellStyle name="Normal 2 5 4 3 5 3" xfId="7606" xr:uid="{241F60E3-AFAD-4F28-8391-903537812B87}"/>
    <cellStyle name="Normal 2 5 4 3 6" xfId="3740" xr:uid="{3A83D96C-5A86-40B7-9076-2FC43B84304A}"/>
    <cellStyle name="Normal 2 5 4 3 6 2" xfId="8019" xr:uid="{D795CE4F-899F-41F1-B22C-E41B846728D8}"/>
    <cellStyle name="Normal 2 5 4 3 7" xfId="5953" xr:uid="{916DEF41-2D19-41F7-9E8E-018D0D5195F9}"/>
    <cellStyle name="Normal 2 5 4 3 8" xfId="1649" xr:uid="{D2618F37-5F5C-447C-8F33-3D8F01BB1C09}"/>
    <cellStyle name="Normal 2 5 4 4" xfId="812" xr:uid="{00000000-0005-0000-0000-000033020000}"/>
    <cellStyle name="Normal 2 5 4 4 2" xfId="4291" xr:uid="{E249C186-ED99-4754-AC84-FAB8EE525857}"/>
    <cellStyle name="Normal 2 5 4 4 2 2" xfId="8509" xr:uid="{F890EECE-EC18-4AD1-9B24-01ED98F06F40}"/>
    <cellStyle name="Normal 2 5 4 4 3" xfId="6364" xr:uid="{69D98804-1C3E-4BF7-9F58-197A14B425E8}"/>
    <cellStyle name="Normal 2 5 4 4 4" xfId="2062" xr:uid="{2454F0AD-9D83-42EF-A75E-1533B83E1865}"/>
    <cellStyle name="Normal 2 5 4 5" xfId="1233" xr:uid="{7ECC71D8-DBDB-4E97-98F0-676B31AB0374}"/>
    <cellStyle name="Normal 2 5 4 5 2" xfId="4704" xr:uid="{637B37ED-76C7-4C81-BEA8-52A794351674}"/>
    <cellStyle name="Normal 2 5 4 5 2 2" xfId="8922" xr:uid="{61C62574-F0BE-4EBF-B639-8A02688A686D}"/>
    <cellStyle name="Normal 2 5 4 5 3" xfId="6777" xr:uid="{0F010200-EF09-4EE4-807E-232805102C7A}"/>
    <cellStyle name="Normal 2 5 4 5 4" xfId="2475" xr:uid="{FADB388A-839A-423E-9DDA-7970F072770C}"/>
    <cellStyle name="Normal 2 5 4 6" xfId="2888" xr:uid="{32D8378E-765A-4110-9BE8-C54D9EE030B9}"/>
    <cellStyle name="Normal 2 5 4 6 2" xfId="5117" xr:uid="{A8B9B1AB-3251-478A-BFEE-B45F31162A38}"/>
    <cellStyle name="Normal 2 5 4 6 2 2" xfId="9335" xr:uid="{8D663126-4C0B-48B2-99D3-30765FA68F56}"/>
    <cellStyle name="Normal 2 5 4 6 3" xfId="7190" xr:uid="{82FEF120-DBAC-4D9A-96A8-D703769CE1D1}"/>
    <cellStyle name="Normal 2 5 4 7" xfId="3301" xr:uid="{67152D9E-8F67-47B5-9D02-3524A4E4D4DB}"/>
    <cellStyle name="Normal 2 5 4 7 2" xfId="5530" xr:uid="{AAD2701C-7C00-44FC-9642-CB52B5AABB12}"/>
    <cellStyle name="Normal 2 5 4 7 2 2" xfId="9748" xr:uid="{B3E24B87-D3CB-4D09-9A3D-316A17309C6F}"/>
    <cellStyle name="Normal 2 5 4 7 3" xfId="7603" xr:uid="{32A9FFCB-2C33-4B12-AC23-7928502AFC6D}"/>
    <cellStyle name="Normal 2 5 4 8" xfId="3737" xr:uid="{52E56ED4-DC2E-4EEA-9A63-0BEB7593DB33}"/>
    <cellStyle name="Normal 2 5 4 8 2" xfId="8016" xr:uid="{1E9ED5EF-33E0-4179-A73F-C496DC882DF6}"/>
    <cellStyle name="Normal 2 5 4 9" xfId="5950" xr:uid="{377836CD-2EFC-42FF-B75E-61B054864E8A}"/>
    <cellStyle name="Normal 2 5 5" xfId="811" xr:uid="{00000000-0005-0000-0000-000034020000}"/>
    <cellStyle name="Normal 2 5 5 2" xfId="4290" xr:uid="{5B34098A-9C4C-43AD-B3AC-3060C5923D93}"/>
    <cellStyle name="Normal 2 5 5 2 2" xfId="8508" xr:uid="{F6F4702A-BBF5-4876-B66F-EAE825A189DA}"/>
    <cellStyle name="Normal 2 5 5 3" xfId="6363" xr:uid="{2A136BCE-C506-4B9F-A662-166EB7F1ED6A}"/>
    <cellStyle name="Normal 2 5 5 4" xfId="2061" xr:uid="{4834C9E5-7C60-449B-81B4-2396950619DB}"/>
    <cellStyle name="Normal 2 5 6" xfId="1232" xr:uid="{5821C626-1CC1-41E8-A1CC-8D885F4FBBFB}"/>
    <cellStyle name="Normal 2 5 6 2" xfId="4703" xr:uid="{479F2DED-46FA-4119-A61C-B4CAB33D0EDA}"/>
    <cellStyle name="Normal 2 5 6 2 2" xfId="8921" xr:uid="{37526054-9307-463B-99DB-5C8EBA69354C}"/>
    <cellStyle name="Normal 2 5 6 3" xfId="6776" xr:uid="{7CF802A2-315F-4F36-97EC-AE447DFB8894}"/>
    <cellStyle name="Normal 2 5 6 4" xfId="2474" xr:uid="{F1720DDB-C434-4F5C-8452-82D39956ABC4}"/>
    <cellStyle name="Normal 2 5 7" xfId="2887" xr:uid="{B6C261B0-50C2-4149-AAA6-436B9A2F957D}"/>
    <cellStyle name="Normal 2 5 7 2" xfId="5116" xr:uid="{F2E111C7-29C7-485F-8114-AA28E81AC5AB}"/>
    <cellStyle name="Normal 2 5 7 2 2" xfId="9334" xr:uid="{5DD6F1BE-013C-467A-A606-B0387C4ADCDB}"/>
    <cellStyle name="Normal 2 5 7 3" xfId="7189" xr:uid="{5564CBD8-FC48-43B7-B7EC-6AA46E44B900}"/>
    <cellStyle name="Normal 2 5 8" xfId="3300" xr:uid="{974A2A8C-891A-4BEF-8523-055DEC6EA280}"/>
    <cellStyle name="Normal 2 5 8 2" xfId="5529" xr:uid="{1FBB7C70-FF22-410F-BA35-F207FE9F5D34}"/>
    <cellStyle name="Normal 2 5 8 2 2" xfId="9747" xr:uid="{4809EBEF-C970-458B-96FB-665677F24FAF}"/>
    <cellStyle name="Normal 2 5 8 3" xfId="7602" xr:uid="{078D917A-F67A-4301-A5CD-4EB846A2CFD7}"/>
    <cellStyle name="Normal 2 5 9" xfId="3736" xr:uid="{49ADF6F5-812D-429F-B7C8-CBC2F21C96BB}"/>
    <cellStyle name="Normal 2 5 9 2" xfId="8015" xr:uid="{EBA1EC93-3393-49E0-86D8-7107CD99B359}"/>
    <cellStyle name="Normal 2 6" xfId="325" xr:uid="{00000000-0005-0000-0000-000035020000}"/>
    <cellStyle name="Normal 2 7" xfId="2028" xr:uid="{FB196FA6-6E53-45C6-9CC3-D41171448524}"/>
    <cellStyle name="Normal 2 8" xfId="574" xr:uid="{00000000-0005-0000-0000-000036020000}"/>
    <cellStyle name="Normal 3" xfId="326" xr:uid="{00000000-0005-0000-0000-000037020000}"/>
    <cellStyle name="Normal 3 2" xfId="327" xr:uid="{00000000-0005-0000-0000-000038020000}"/>
    <cellStyle name="Normal 3 2 10" xfId="1650" xr:uid="{B5410CF3-290C-40B8-A5B8-8DFD9DD52073}"/>
    <cellStyle name="Normal 3 2 2" xfId="328" xr:uid="{00000000-0005-0000-0000-000039020000}"/>
    <cellStyle name="Normal 3 2 2 2" xfId="818" xr:uid="{00000000-0005-0000-0000-00003A020000}"/>
    <cellStyle name="Normal 3 2 3" xfId="329" xr:uid="{00000000-0005-0000-0000-00003B020000}"/>
    <cellStyle name="Normal 3 2 3 10" xfId="1651" xr:uid="{1B1DA5C0-330D-4CAA-85B6-FA429C0A7B90}"/>
    <cellStyle name="Normal 3 2 3 2" xfId="330" xr:uid="{00000000-0005-0000-0000-00003C020000}"/>
    <cellStyle name="Normal 3 2 3 2 2" xfId="331" xr:uid="{00000000-0005-0000-0000-00003D020000}"/>
    <cellStyle name="Normal 3 2 3 2 2 2" xfId="821" xr:uid="{00000000-0005-0000-0000-00003E020000}"/>
    <cellStyle name="Normal 3 2 3 2 2 2 2" xfId="4298" xr:uid="{956050C6-EB86-4CA9-AC71-8FCC6DA1F042}"/>
    <cellStyle name="Normal 3 2 3 2 2 2 2 2" xfId="8516" xr:uid="{06ED1BCE-67D5-46C6-8994-93E2186D8053}"/>
    <cellStyle name="Normal 3 2 3 2 2 2 3" xfId="6371" xr:uid="{2C7ACC88-13A0-4E3E-BD16-6657FFA1EB32}"/>
    <cellStyle name="Normal 3 2 3 2 2 2 4" xfId="2069" xr:uid="{889B5F2B-0204-45AC-89DC-0877FAB66420}"/>
    <cellStyle name="Normal 3 2 3 2 2 3" xfId="1240" xr:uid="{A6B2DDD7-C07D-41B3-90F2-99BFAA2516BC}"/>
    <cellStyle name="Normal 3 2 3 2 2 3 2" xfId="4711" xr:uid="{06317638-F1BB-4CFD-BEEE-8B7F709AE623}"/>
    <cellStyle name="Normal 3 2 3 2 2 3 2 2" xfId="8929" xr:uid="{A2F5687F-D952-4B5B-9D00-527843ABD41E}"/>
    <cellStyle name="Normal 3 2 3 2 2 3 3" xfId="6784" xr:uid="{474164E3-E1DA-458A-9C70-B1094C8CB400}"/>
    <cellStyle name="Normal 3 2 3 2 2 3 4" xfId="2482" xr:uid="{09D0772F-0802-40E4-8F7A-5E158A426392}"/>
    <cellStyle name="Normal 3 2 3 2 2 4" xfId="2895" xr:uid="{44ED7EEB-1B7E-4AE5-ABE3-E0DB46E75C1C}"/>
    <cellStyle name="Normal 3 2 3 2 2 4 2" xfId="5124" xr:uid="{E471A117-1ECE-4D23-BB86-6F355903C691}"/>
    <cellStyle name="Normal 3 2 3 2 2 4 2 2" xfId="9342" xr:uid="{5115F22C-91D0-4F8B-9881-1288BEF0EFA0}"/>
    <cellStyle name="Normal 3 2 3 2 2 4 3" xfId="7197" xr:uid="{25372AA1-E614-476A-8DE1-68B5EEF6351E}"/>
    <cellStyle name="Normal 3 2 3 2 2 5" xfId="3308" xr:uid="{0E8A4403-0D32-4E64-AE26-47E89BB67B38}"/>
    <cellStyle name="Normal 3 2 3 2 2 5 2" xfId="5537" xr:uid="{32442555-4F2F-4311-A479-EEBC16950094}"/>
    <cellStyle name="Normal 3 2 3 2 2 5 2 2" xfId="9755" xr:uid="{49D54790-3CDE-451E-8D56-56AA6CFC3230}"/>
    <cellStyle name="Normal 3 2 3 2 2 5 3" xfId="7610" xr:uid="{3F6D5CF7-EC81-4449-82E0-4A6286EEFFD1}"/>
    <cellStyle name="Normal 3 2 3 2 2 6" xfId="3744" xr:uid="{7A886015-17FE-4287-A5C8-687E9C8A52B4}"/>
    <cellStyle name="Normal 3 2 3 2 2 6 2" xfId="8023" xr:uid="{679F0831-8B91-4C03-99FC-644F57495E83}"/>
    <cellStyle name="Normal 3 2 3 2 2 7" xfId="5957" xr:uid="{42587305-9C73-40AA-914D-FF149037DA64}"/>
    <cellStyle name="Normal 3 2 3 2 2 8" xfId="1653" xr:uid="{AB016056-F22E-4058-AAB4-12363FCE21AB}"/>
    <cellStyle name="Normal 3 2 3 2 3" xfId="820" xr:uid="{00000000-0005-0000-0000-00003F020000}"/>
    <cellStyle name="Normal 3 2 3 2 3 2" xfId="4297" xr:uid="{37EC2E62-ADF8-439A-8024-0FCE31BD57F8}"/>
    <cellStyle name="Normal 3 2 3 2 3 2 2" xfId="8515" xr:uid="{3FF6FC40-27C4-46D6-A984-1F858F11356F}"/>
    <cellStyle name="Normal 3 2 3 2 3 3" xfId="6370" xr:uid="{777292B2-A5D4-4992-A0D3-EED97B3C2262}"/>
    <cellStyle name="Normal 3 2 3 2 3 4" xfId="2068" xr:uid="{1F282050-D4CA-44F2-A1EC-B034B1770CCB}"/>
    <cellStyle name="Normal 3 2 3 2 4" xfId="1239" xr:uid="{6D74689A-A111-4306-9D08-356775FD6569}"/>
    <cellStyle name="Normal 3 2 3 2 4 2" xfId="4710" xr:uid="{4806A7A9-10AB-4F2A-ACFE-992D844CCEC4}"/>
    <cellStyle name="Normal 3 2 3 2 4 2 2" xfId="8928" xr:uid="{AC94A275-3EA3-4A7A-AD4D-A271F6F063FC}"/>
    <cellStyle name="Normal 3 2 3 2 4 3" xfId="6783" xr:uid="{FDACFE77-C87B-4BB8-9153-136438F6B70C}"/>
    <cellStyle name="Normal 3 2 3 2 4 4" xfId="2481" xr:uid="{18942072-791D-4ECF-A474-95E49BC63212}"/>
    <cellStyle name="Normal 3 2 3 2 5" xfId="2894" xr:uid="{1A6798A0-004E-4BA4-92CA-0157DF068549}"/>
    <cellStyle name="Normal 3 2 3 2 5 2" xfId="5123" xr:uid="{603F137D-B0E1-49FF-9E12-C31C542447B3}"/>
    <cellStyle name="Normal 3 2 3 2 5 2 2" xfId="9341" xr:uid="{B491FAF8-5BB3-48A5-AE45-CCD5473115E8}"/>
    <cellStyle name="Normal 3 2 3 2 5 3" xfId="7196" xr:uid="{87F949A9-4964-4AC7-A91D-9C31BB0E73E4}"/>
    <cellStyle name="Normal 3 2 3 2 6" xfId="3307" xr:uid="{05B84ECF-B55F-4AF1-B33C-7E6E691D86AC}"/>
    <cellStyle name="Normal 3 2 3 2 6 2" xfId="5536" xr:uid="{81547824-A21A-49F7-9EFD-6543AA992846}"/>
    <cellStyle name="Normal 3 2 3 2 6 2 2" xfId="9754" xr:uid="{C48A4101-FA98-46B2-B328-D02536B27EF6}"/>
    <cellStyle name="Normal 3 2 3 2 6 3" xfId="7609" xr:uid="{176AB2AC-D955-4061-8592-33A2A0A241AA}"/>
    <cellStyle name="Normal 3 2 3 2 7" xfId="3743" xr:uid="{53B09D46-15BF-4DB2-AEA2-4796208E4C17}"/>
    <cellStyle name="Normal 3 2 3 2 7 2" xfId="8022" xr:uid="{54A5D008-F862-4AB1-8592-36C23C946B22}"/>
    <cellStyle name="Normal 3 2 3 2 8" xfId="5956" xr:uid="{87A125BA-CA75-4157-AC6D-B2819B221AA0}"/>
    <cellStyle name="Normal 3 2 3 2 9" xfId="1652" xr:uid="{EACBD622-C1AB-43CC-85E4-713B27ACC113}"/>
    <cellStyle name="Normal 3 2 3 3" xfId="332" xr:uid="{00000000-0005-0000-0000-000040020000}"/>
    <cellStyle name="Normal 3 2 3 3 2" xfId="822" xr:uid="{00000000-0005-0000-0000-000041020000}"/>
    <cellStyle name="Normal 3 2 3 3 2 2" xfId="4299" xr:uid="{17CC28C6-9EA3-4887-A6CF-497A58CE27CC}"/>
    <cellStyle name="Normal 3 2 3 3 2 2 2" xfId="8517" xr:uid="{577D2EF2-E1E0-4FC3-A439-EFAF24A90A64}"/>
    <cellStyle name="Normal 3 2 3 3 2 3" xfId="6372" xr:uid="{F5C402ED-C249-4110-9759-5E7444DA4173}"/>
    <cellStyle name="Normal 3 2 3 3 2 4" xfId="2070" xr:uid="{395426DE-A0C9-46EC-A253-D02297651147}"/>
    <cellStyle name="Normal 3 2 3 3 3" xfId="1241" xr:uid="{134502CA-D1EF-4F37-92A2-9B60442B5296}"/>
    <cellStyle name="Normal 3 2 3 3 3 2" xfId="4712" xr:uid="{46053F6F-ED82-4144-B601-466B502A3C63}"/>
    <cellStyle name="Normal 3 2 3 3 3 2 2" xfId="8930" xr:uid="{9515AB8A-3B4E-4446-94A2-9D8732721E93}"/>
    <cellStyle name="Normal 3 2 3 3 3 3" xfId="6785" xr:uid="{3FBB7E13-AC09-4522-89BB-B0E506D972ED}"/>
    <cellStyle name="Normal 3 2 3 3 3 4" xfId="2483" xr:uid="{CFE2958A-E5E9-44E0-88BD-4560EA84536D}"/>
    <cellStyle name="Normal 3 2 3 3 4" xfId="2896" xr:uid="{9C6CCFA3-1526-4726-B70D-F55961021BC1}"/>
    <cellStyle name="Normal 3 2 3 3 4 2" xfId="5125" xr:uid="{45BD6242-FBD1-4A6C-B4B5-9D4E69E790BF}"/>
    <cellStyle name="Normal 3 2 3 3 4 2 2" xfId="9343" xr:uid="{D876C93D-E588-4BA2-9C0A-1F8A581AA8C9}"/>
    <cellStyle name="Normal 3 2 3 3 4 3" xfId="7198" xr:uid="{2FEA7E64-9BD4-49FC-8278-6D5295B30025}"/>
    <cellStyle name="Normal 3 2 3 3 5" xfId="3309" xr:uid="{067AFE90-90FC-48AE-9F5A-07DF53F0881D}"/>
    <cellStyle name="Normal 3 2 3 3 5 2" xfId="5538" xr:uid="{B043F3BA-DEC1-4138-8072-01588151BA4B}"/>
    <cellStyle name="Normal 3 2 3 3 5 2 2" xfId="9756" xr:uid="{99250FF1-B12A-486A-BCC7-024394D8A3F7}"/>
    <cellStyle name="Normal 3 2 3 3 5 3" xfId="7611" xr:uid="{6316D05C-F51C-44CB-8A13-DC20265C5BC4}"/>
    <cellStyle name="Normal 3 2 3 3 6" xfId="3745" xr:uid="{899377F3-C532-4422-9615-95266232A9EE}"/>
    <cellStyle name="Normal 3 2 3 3 6 2" xfId="8024" xr:uid="{A9FF0791-0717-4F56-90B6-C0B433CBF6FE}"/>
    <cellStyle name="Normal 3 2 3 3 7" xfId="5958" xr:uid="{C6E38DE6-087C-48FB-A391-E8B450588B74}"/>
    <cellStyle name="Normal 3 2 3 3 8" xfId="1654" xr:uid="{7F99061F-0956-4BE2-8250-2B95C0302126}"/>
    <cellStyle name="Normal 3 2 3 4" xfId="819" xr:uid="{00000000-0005-0000-0000-000042020000}"/>
    <cellStyle name="Normal 3 2 3 4 2" xfId="4296" xr:uid="{3B1CB4EA-5D96-47F4-889C-FC2717C4D9A4}"/>
    <cellStyle name="Normal 3 2 3 4 2 2" xfId="8514" xr:uid="{1247E2D3-9CBE-4E92-96F5-A19359DA7540}"/>
    <cellStyle name="Normal 3 2 3 4 3" xfId="6369" xr:uid="{90DB05B0-73CB-4F3A-81E2-0546E8F10453}"/>
    <cellStyle name="Normal 3 2 3 4 4" xfId="2067" xr:uid="{61E944B1-25D1-4EC0-B0BA-D59BDF47906E}"/>
    <cellStyle name="Normal 3 2 3 5" xfId="1238" xr:uid="{28956902-4A16-41B5-9111-D5D655BF33FA}"/>
    <cellStyle name="Normal 3 2 3 5 2" xfId="4709" xr:uid="{AB43782D-AE01-4848-9914-56203003E857}"/>
    <cellStyle name="Normal 3 2 3 5 2 2" xfId="8927" xr:uid="{FAF1C973-518F-4A7B-AD11-55C6DA6F3792}"/>
    <cellStyle name="Normal 3 2 3 5 3" xfId="6782" xr:uid="{843F898E-B0D8-4D32-9F39-9BD786AEADFE}"/>
    <cellStyle name="Normal 3 2 3 5 4" xfId="2480" xr:uid="{69B50766-1540-4E67-8EF3-9215F203E3C4}"/>
    <cellStyle name="Normal 3 2 3 6" xfId="2893" xr:uid="{D4F8ED57-0117-49C1-9406-64FBDC910D33}"/>
    <cellStyle name="Normal 3 2 3 6 2" xfId="5122" xr:uid="{08D288F7-7F1E-4A08-B7CD-0ED72677B3E1}"/>
    <cellStyle name="Normal 3 2 3 6 2 2" xfId="9340" xr:uid="{B021759B-BA42-4177-850E-CBCE1B4EC421}"/>
    <cellStyle name="Normal 3 2 3 6 3" xfId="7195" xr:uid="{C0FC3D67-B3D2-4DCE-BBCE-80B90D1F3C5B}"/>
    <cellStyle name="Normal 3 2 3 7" xfId="3306" xr:uid="{C02D8F17-8316-4240-8376-6E3F7C031B2A}"/>
    <cellStyle name="Normal 3 2 3 7 2" xfId="5535" xr:uid="{5EBDFFCC-7619-466B-8AEC-B2BCF7F0B4B0}"/>
    <cellStyle name="Normal 3 2 3 7 2 2" xfId="9753" xr:uid="{8337847E-EB20-41F0-A521-E8AD0F7D3C29}"/>
    <cellStyle name="Normal 3 2 3 7 3" xfId="7608" xr:uid="{3BBF6A39-55E2-46AA-BB05-3CDE4D9E020E}"/>
    <cellStyle name="Normal 3 2 3 8" xfId="3742" xr:uid="{5F5DA25F-2C60-4EC4-BF81-EC768ADEAAEE}"/>
    <cellStyle name="Normal 3 2 3 8 2" xfId="8021" xr:uid="{10750B31-F7BC-4F8A-99EA-7A1FA0491C08}"/>
    <cellStyle name="Normal 3 2 3 9" xfId="5955" xr:uid="{EFAB8282-0393-4DDB-85CD-5D280E029848}"/>
    <cellStyle name="Normal 3 2 4" xfId="817" xr:uid="{00000000-0005-0000-0000-000043020000}"/>
    <cellStyle name="Normal 3 2 4 2" xfId="4295" xr:uid="{7B33AE6E-0BB5-4242-9416-871A29049529}"/>
    <cellStyle name="Normal 3 2 4 2 2" xfId="8513" xr:uid="{0F28B92D-97DB-483B-9953-1BC7A7CBF411}"/>
    <cellStyle name="Normal 3 2 4 3" xfId="6368" xr:uid="{11E32F87-F8FC-4972-8CE4-A9BC5430ACF6}"/>
    <cellStyle name="Normal 3 2 4 4" xfId="2066" xr:uid="{EAAE8E8D-789E-4916-84B0-CF96DF3FFC1F}"/>
    <cellStyle name="Normal 3 2 5" xfId="1237" xr:uid="{B32D9043-753F-419A-9906-315668BE4476}"/>
    <cellStyle name="Normal 3 2 5 2" xfId="4708" xr:uid="{96D89532-8DCA-4BB0-8D46-07FEA164AF38}"/>
    <cellStyle name="Normal 3 2 5 2 2" xfId="8926" xr:uid="{4B93B9C0-DBC8-4526-89F0-1207F6A960E9}"/>
    <cellStyle name="Normal 3 2 5 3" xfId="6781" xr:uid="{793D67CC-A3F7-4670-928E-852B43441AB6}"/>
    <cellStyle name="Normal 3 2 5 4" xfId="2479" xr:uid="{C648F706-04CD-456E-84D4-9314489E74B1}"/>
    <cellStyle name="Normal 3 2 6" xfId="2892" xr:uid="{49295325-3371-4A90-98CB-32A75B6F7796}"/>
    <cellStyle name="Normal 3 2 6 2" xfId="5121" xr:uid="{A09ED1BF-53E9-4616-AE84-092E175CFF3B}"/>
    <cellStyle name="Normal 3 2 6 2 2" xfId="9339" xr:uid="{659218D8-0F68-4579-B9A8-A2EBBB93EF6E}"/>
    <cellStyle name="Normal 3 2 6 3" xfId="7194" xr:uid="{5EC51BE0-E279-40EE-B9E1-49B13B067AD7}"/>
    <cellStyle name="Normal 3 2 7" xfId="3305" xr:uid="{C4EDF621-7EFA-4B16-BD3A-0B3EE4DE54B4}"/>
    <cellStyle name="Normal 3 2 7 2" xfId="5534" xr:uid="{FCCAB051-7EF0-4FCE-BE6C-97EE4FF45313}"/>
    <cellStyle name="Normal 3 2 7 2 2" xfId="9752" xr:uid="{3DAFB987-EF3A-4822-9E81-5F0176EE74FD}"/>
    <cellStyle name="Normal 3 2 7 3" xfId="7607" xr:uid="{2A3836B7-7C1B-4D01-BE57-0E10A4A36951}"/>
    <cellStyle name="Normal 3 2 8" xfId="3741" xr:uid="{197A2B91-44E3-47FB-BD01-D2F8AE37A37C}"/>
    <cellStyle name="Normal 3 2 8 2" xfId="8020" xr:uid="{6F30871D-DEFC-4212-8EDC-0F389D6B020C}"/>
    <cellStyle name="Normal 3 2 9" xfId="5954" xr:uid="{8A79C0D2-1BC8-45C7-8550-D09B2B7E4D47}"/>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10" xfId="1655" xr:uid="{79AEC947-FF6F-4F88-8B61-7A38B283358B}"/>
    <cellStyle name="Normal 4 2" xfId="339" xr:uid="{00000000-0005-0000-0000-00004B020000}"/>
    <cellStyle name="Normal 4 2 2" xfId="340" xr:uid="{00000000-0005-0000-0000-00004C020000}"/>
    <cellStyle name="Normal 4 2 2 10" xfId="3310" xr:uid="{94A3CD2A-464B-4DF0-A617-8A368AFAE164}"/>
    <cellStyle name="Normal 4 2 2 10 2" xfId="5539" xr:uid="{375DA011-FCDE-4461-9E07-149B52BA3133}"/>
    <cellStyle name="Normal 4 2 2 10 2 2" xfId="9757" xr:uid="{0C14AE75-BC07-4BA2-9093-4D0861FDDF16}"/>
    <cellStyle name="Normal 4 2 2 10 3" xfId="7612" xr:uid="{68947EA3-4FA2-404B-B9AB-EA444853EE4B}"/>
    <cellStyle name="Normal 4 2 2 11" xfId="3746" xr:uid="{00ED29A7-D905-4F18-978C-F666A699FB2D}"/>
    <cellStyle name="Normal 4 2 2 11 2" xfId="8025" xr:uid="{24379318-C060-40A7-A44B-E1FD5A32C063}"/>
    <cellStyle name="Normal 4 2 2 12" xfId="5960" xr:uid="{896BFBC9-C283-4348-A41D-0FA36E004778}"/>
    <cellStyle name="Normal 4 2 2 13" xfId="1656" xr:uid="{C5544E77-C371-441C-8CD5-DCEE8C8E5E4A}"/>
    <cellStyle name="Normal 4 2 2 2" xfId="341" xr:uid="{00000000-0005-0000-0000-00004D020000}"/>
    <cellStyle name="Normal 4 2 2 3" xfId="342" xr:uid="{00000000-0005-0000-0000-00004E020000}"/>
    <cellStyle name="Normal 4 2 2 3 10" xfId="5961" xr:uid="{FEF5A8C3-BB3A-401D-A4F9-D362BC7744AC}"/>
    <cellStyle name="Normal 4 2 2 3 11" xfId="1657" xr:uid="{BCB14C6D-083A-43F5-AC04-94F6F340214A}"/>
    <cellStyle name="Normal 4 2 2 3 2" xfId="343" xr:uid="{00000000-0005-0000-0000-00004F020000}"/>
    <cellStyle name="Normal 4 2 2 3 2 10" xfId="1658" xr:uid="{A40353B2-3F5A-442A-84BE-D70A8DACBE82}"/>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4304" xr:uid="{4986FCA3-30FD-4CE0-BFB0-760C81D41586}"/>
    <cellStyle name="Normal 4 2 2 3 2 2 2 2 2 2" xfId="8522" xr:uid="{6DD290A7-44CB-4DB2-8BC7-5CD28123399C}"/>
    <cellStyle name="Normal 4 2 2 3 2 2 2 2 3" xfId="6377" xr:uid="{810F2755-46A2-441A-9577-FFBDEABC410B}"/>
    <cellStyle name="Normal 4 2 2 3 2 2 2 2 4" xfId="2075" xr:uid="{72D3F2EF-F987-4A37-9230-E09647BC41A4}"/>
    <cellStyle name="Normal 4 2 2 3 2 2 2 3" xfId="1246" xr:uid="{19EDECEB-DB4A-48B9-B06F-6F1F152CBD98}"/>
    <cellStyle name="Normal 4 2 2 3 2 2 2 3 2" xfId="4717" xr:uid="{E5B5FA64-587E-4813-86BE-870D39ABFC85}"/>
    <cellStyle name="Normal 4 2 2 3 2 2 2 3 2 2" xfId="8935" xr:uid="{05832BCD-8E55-47B6-B299-10EED4C0BD01}"/>
    <cellStyle name="Normal 4 2 2 3 2 2 2 3 3" xfId="6790" xr:uid="{43485C91-4F89-4B0A-B73E-094DB49F6422}"/>
    <cellStyle name="Normal 4 2 2 3 2 2 2 3 4" xfId="2488" xr:uid="{8FF547A4-6F34-47C6-96BF-9CDD4891876B}"/>
    <cellStyle name="Normal 4 2 2 3 2 2 2 4" xfId="2901" xr:uid="{0BF8EB2E-52ED-4433-A3E1-952969D259F2}"/>
    <cellStyle name="Normal 4 2 2 3 2 2 2 4 2" xfId="5130" xr:uid="{889BCA31-1353-444A-9C58-AD815A2DED8E}"/>
    <cellStyle name="Normal 4 2 2 3 2 2 2 4 2 2" xfId="9348" xr:uid="{5107987A-F78E-4741-BCC0-E164F79195D5}"/>
    <cellStyle name="Normal 4 2 2 3 2 2 2 4 3" xfId="7203" xr:uid="{DB069E92-49E1-4E39-89F7-DEF7828E0954}"/>
    <cellStyle name="Normal 4 2 2 3 2 2 2 5" xfId="3314" xr:uid="{91B2E459-5432-46D0-A742-5C7BF6829515}"/>
    <cellStyle name="Normal 4 2 2 3 2 2 2 5 2" xfId="5543" xr:uid="{B69E9297-D302-478A-AD39-C4519003C377}"/>
    <cellStyle name="Normal 4 2 2 3 2 2 2 5 2 2" xfId="9761" xr:uid="{0D56CEC7-8DCA-4D2C-8952-2E5F0E3C686D}"/>
    <cellStyle name="Normal 4 2 2 3 2 2 2 5 3" xfId="7616" xr:uid="{869A7F84-DBB8-4C29-AB03-447E984213A5}"/>
    <cellStyle name="Normal 4 2 2 3 2 2 2 6" xfId="3750" xr:uid="{363F79DE-1954-4C9A-A5E5-F920696B0BAC}"/>
    <cellStyle name="Normal 4 2 2 3 2 2 2 6 2" xfId="8029" xr:uid="{34487BA7-0456-4D20-854B-E8F3D43523D2}"/>
    <cellStyle name="Normal 4 2 2 3 2 2 2 7" xfId="5964" xr:uid="{7205723E-6875-422C-85C3-D0A4074F62F6}"/>
    <cellStyle name="Normal 4 2 2 3 2 2 2 8" xfId="1660" xr:uid="{9BD2412A-ACA3-4388-9262-72310FFC0973}"/>
    <cellStyle name="Normal 4 2 2 3 2 2 3" xfId="826" xr:uid="{00000000-0005-0000-0000-000053020000}"/>
    <cellStyle name="Normal 4 2 2 3 2 2 3 2" xfId="4303" xr:uid="{7C93FEB7-600C-4EFF-8ADD-5ECBC4854E4E}"/>
    <cellStyle name="Normal 4 2 2 3 2 2 3 2 2" xfId="8521" xr:uid="{AF4B70EB-47D4-4EF0-970A-821F4CBD9716}"/>
    <cellStyle name="Normal 4 2 2 3 2 2 3 3" xfId="6376" xr:uid="{0A785DB1-91A9-44AA-97A5-C81A5BD1504D}"/>
    <cellStyle name="Normal 4 2 2 3 2 2 3 4" xfId="2074" xr:uid="{8697AB64-9489-4936-AF97-B2BC14242402}"/>
    <cellStyle name="Normal 4 2 2 3 2 2 4" xfId="1245" xr:uid="{75597C29-362B-4F01-8A38-0F8AE2A47E55}"/>
    <cellStyle name="Normal 4 2 2 3 2 2 4 2" xfId="4716" xr:uid="{D87D0BFE-FCD8-488E-AF98-9CC7F2F895EA}"/>
    <cellStyle name="Normal 4 2 2 3 2 2 4 2 2" xfId="8934" xr:uid="{D4C0EA61-46D4-45BC-8C79-256CE15E4AB6}"/>
    <cellStyle name="Normal 4 2 2 3 2 2 4 3" xfId="6789" xr:uid="{3920E2F6-5AAB-4CA2-B4A9-D7F6365733D1}"/>
    <cellStyle name="Normal 4 2 2 3 2 2 4 4" xfId="2487" xr:uid="{3ED2704F-4B83-474B-A6B6-6CD5C0C4E9BA}"/>
    <cellStyle name="Normal 4 2 2 3 2 2 5" xfId="2900" xr:uid="{45DC5221-BFEF-4380-9B16-F7267B14B7C2}"/>
    <cellStyle name="Normal 4 2 2 3 2 2 5 2" xfId="5129" xr:uid="{A17B5ABA-1B95-4A7E-AA98-08691A0AF24C}"/>
    <cellStyle name="Normal 4 2 2 3 2 2 5 2 2" xfId="9347" xr:uid="{ECB4D577-C87D-4C18-AC88-BB982397174E}"/>
    <cellStyle name="Normal 4 2 2 3 2 2 5 3" xfId="7202" xr:uid="{CA688580-7D64-4D3C-8B21-D041A50E8936}"/>
    <cellStyle name="Normal 4 2 2 3 2 2 6" xfId="3313" xr:uid="{C861FA85-CAA5-4E57-A691-99FB794FBFE0}"/>
    <cellStyle name="Normal 4 2 2 3 2 2 6 2" xfId="5542" xr:uid="{6C56F786-6783-4371-8D08-BDA14494A783}"/>
    <cellStyle name="Normal 4 2 2 3 2 2 6 2 2" xfId="9760" xr:uid="{BCD28BC8-C75C-4776-BE59-E258FF572D1F}"/>
    <cellStyle name="Normal 4 2 2 3 2 2 6 3" xfId="7615" xr:uid="{B79A2A5E-90B5-4A92-912B-7BAC9AD1D60D}"/>
    <cellStyle name="Normal 4 2 2 3 2 2 7" xfId="3749" xr:uid="{E6E3F3CD-3918-4C0A-8FE1-F98AF3065AB7}"/>
    <cellStyle name="Normal 4 2 2 3 2 2 7 2" xfId="8028" xr:uid="{9E25BB21-C60B-4D62-940A-2B5DBF1374F3}"/>
    <cellStyle name="Normal 4 2 2 3 2 2 8" xfId="5963" xr:uid="{EEE37F73-53C2-4B78-B06A-26996FCB3F02}"/>
    <cellStyle name="Normal 4 2 2 3 2 2 9" xfId="1659" xr:uid="{11834D52-E61E-4EAF-B480-42F7653DE51D}"/>
    <cellStyle name="Normal 4 2 2 3 2 3" xfId="346" xr:uid="{00000000-0005-0000-0000-000054020000}"/>
    <cellStyle name="Normal 4 2 2 3 2 3 2" xfId="828" xr:uid="{00000000-0005-0000-0000-000055020000}"/>
    <cellStyle name="Normal 4 2 2 3 2 3 2 2" xfId="4305" xr:uid="{C94BF8C6-A1EF-422E-A8DB-B7400076A6CB}"/>
    <cellStyle name="Normal 4 2 2 3 2 3 2 2 2" xfId="8523" xr:uid="{FC7AECCB-E58D-40C9-A02B-8A2B205D2622}"/>
    <cellStyle name="Normal 4 2 2 3 2 3 2 3" xfId="6378" xr:uid="{DE97E60D-E13E-45C5-8CD8-01C646B4238E}"/>
    <cellStyle name="Normal 4 2 2 3 2 3 2 4" xfId="2076" xr:uid="{D4BD22EC-FFFB-4C92-93A1-2764893628AA}"/>
    <cellStyle name="Normal 4 2 2 3 2 3 3" xfId="1247" xr:uid="{8B0FC5AE-6485-4F9A-811C-9F2655C67BDC}"/>
    <cellStyle name="Normal 4 2 2 3 2 3 3 2" xfId="4718" xr:uid="{7EE52A9C-B84F-4E27-93EC-6A2F383EC128}"/>
    <cellStyle name="Normal 4 2 2 3 2 3 3 2 2" xfId="8936" xr:uid="{E5D70FC8-D9D2-4F20-9010-C05177B501C8}"/>
    <cellStyle name="Normal 4 2 2 3 2 3 3 3" xfId="6791" xr:uid="{C1A2DC14-D2D9-4ACC-B039-447EDC44E36A}"/>
    <cellStyle name="Normal 4 2 2 3 2 3 3 4" xfId="2489" xr:uid="{8DC6636F-FAE4-4C92-A82F-5CA9DA75DAAA}"/>
    <cellStyle name="Normal 4 2 2 3 2 3 4" xfId="2902" xr:uid="{8B10B8CF-4FDC-433D-B401-4C337BA7C59A}"/>
    <cellStyle name="Normal 4 2 2 3 2 3 4 2" xfId="5131" xr:uid="{8F84A743-060B-4C21-974B-183600942242}"/>
    <cellStyle name="Normal 4 2 2 3 2 3 4 2 2" xfId="9349" xr:uid="{3DAE7650-E7E5-448E-A309-B5C1CD3E6F11}"/>
    <cellStyle name="Normal 4 2 2 3 2 3 4 3" xfId="7204" xr:uid="{3C8FE444-AE31-4B48-88D6-0F393FCFFC15}"/>
    <cellStyle name="Normal 4 2 2 3 2 3 5" xfId="3315" xr:uid="{CC7E71A4-E9FC-447D-8D5E-A777A79A6AEE}"/>
    <cellStyle name="Normal 4 2 2 3 2 3 5 2" xfId="5544" xr:uid="{6C5F7E81-8FB4-4571-8B66-30C2D9CB4718}"/>
    <cellStyle name="Normal 4 2 2 3 2 3 5 2 2" xfId="9762" xr:uid="{123E9C1F-6ABE-4C1C-94E3-3B00311F4D7F}"/>
    <cellStyle name="Normal 4 2 2 3 2 3 5 3" xfId="7617" xr:uid="{A7CF7AA2-75F8-4CD0-867A-671788C09F2E}"/>
    <cellStyle name="Normal 4 2 2 3 2 3 6" xfId="3751" xr:uid="{5F424670-4F09-4175-8933-9FC781E7ED61}"/>
    <cellStyle name="Normal 4 2 2 3 2 3 6 2" xfId="8030" xr:uid="{2D188955-24CD-4CE2-824D-815A30FF4895}"/>
    <cellStyle name="Normal 4 2 2 3 2 3 7" xfId="5965" xr:uid="{515888DC-B47C-416D-9C2C-0B95201C6806}"/>
    <cellStyle name="Normal 4 2 2 3 2 3 8" xfId="1661" xr:uid="{1E8F6C3F-94CD-4EE3-804D-DB5AA85952CC}"/>
    <cellStyle name="Normal 4 2 2 3 2 4" xfId="825" xr:uid="{00000000-0005-0000-0000-000056020000}"/>
    <cellStyle name="Normal 4 2 2 3 2 4 2" xfId="4302" xr:uid="{965125AC-9EEF-4824-B85E-5502F5CD5C6F}"/>
    <cellStyle name="Normal 4 2 2 3 2 4 2 2" xfId="8520" xr:uid="{2A1FBDA2-10C7-4A63-BA95-75131F44E528}"/>
    <cellStyle name="Normal 4 2 2 3 2 4 3" xfId="6375" xr:uid="{31770DF1-E460-4F3A-9F90-189808530DB3}"/>
    <cellStyle name="Normal 4 2 2 3 2 4 4" xfId="2073" xr:uid="{F3A95EA5-F953-46E3-B32E-B6095106E79A}"/>
    <cellStyle name="Normal 4 2 2 3 2 5" xfId="1244" xr:uid="{D05961BC-4D0D-43C1-987B-74228120A7BF}"/>
    <cellStyle name="Normal 4 2 2 3 2 5 2" xfId="4715" xr:uid="{4DCA4135-AF87-4A61-A9DD-DA2BAC5073AE}"/>
    <cellStyle name="Normal 4 2 2 3 2 5 2 2" xfId="8933" xr:uid="{86D487DC-0462-4159-AF3A-F768F6FF9E58}"/>
    <cellStyle name="Normal 4 2 2 3 2 5 3" xfId="6788" xr:uid="{E7348A3F-56E8-49DE-B726-052075469C1A}"/>
    <cellStyle name="Normal 4 2 2 3 2 5 4" xfId="2486" xr:uid="{03706BFF-FEC2-4CFE-A086-F7EE8F6C2C21}"/>
    <cellStyle name="Normal 4 2 2 3 2 6" xfId="2899" xr:uid="{FCD3AEF4-0885-443E-8A23-E5F766A7E8F5}"/>
    <cellStyle name="Normal 4 2 2 3 2 6 2" xfId="5128" xr:uid="{4EBA0B09-719A-4BC9-A0E9-67498048C385}"/>
    <cellStyle name="Normal 4 2 2 3 2 6 2 2" xfId="9346" xr:uid="{AD554C80-FF4C-455F-B1EB-FE5C8FCF5E8E}"/>
    <cellStyle name="Normal 4 2 2 3 2 6 3" xfId="7201" xr:uid="{0BEF8C06-B137-40EF-8501-0030A2BA6114}"/>
    <cellStyle name="Normal 4 2 2 3 2 7" xfId="3312" xr:uid="{C4D3347B-BDB1-4F28-A4F0-5932D1E18D5F}"/>
    <cellStyle name="Normal 4 2 2 3 2 7 2" xfId="5541" xr:uid="{3FE118D7-8663-46A6-8CCD-996E2DD3A507}"/>
    <cellStyle name="Normal 4 2 2 3 2 7 2 2" xfId="9759" xr:uid="{DF510365-5A52-49F4-B7EC-5117ADD68221}"/>
    <cellStyle name="Normal 4 2 2 3 2 7 3" xfId="7614" xr:uid="{A1FEC3BB-B99E-4C3C-9900-CD79A52E209A}"/>
    <cellStyle name="Normal 4 2 2 3 2 8" xfId="3748" xr:uid="{9FB17AE2-A621-4C4F-8F08-5F7F07D36F9B}"/>
    <cellStyle name="Normal 4 2 2 3 2 8 2" xfId="8027" xr:uid="{E43BECF4-E203-49E2-B870-86EC9D39A072}"/>
    <cellStyle name="Normal 4 2 2 3 2 9" xfId="5962" xr:uid="{D5F4752B-DBED-4572-94EE-A9C87B74EB47}"/>
    <cellStyle name="Normal 4 2 2 3 3" xfId="347" xr:uid="{00000000-0005-0000-0000-000057020000}"/>
    <cellStyle name="Normal 4 2 2 3 3 2" xfId="348" xr:uid="{00000000-0005-0000-0000-000058020000}"/>
    <cellStyle name="Normal 4 2 2 3 3 2 2" xfId="830" xr:uid="{00000000-0005-0000-0000-000059020000}"/>
    <cellStyle name="Normal 4 2 2 3 3 2 2 2" xfId="4307" xr:uid="{16F67D64-2603-4EB1-8F0C-B1A5BD39DA90}"/>
    <cellStyle name="Normal 4 2 2 3 3 2 2 2 2" xfId="8525" xr:uid="{F9DDB921-82CC-43DF-A060-B6CFBCCEA0E2}"/>
    <cellStyle name="Normal 4 2 2 3 3 2 2 3" xfId="6380" xr:uid="{F34F22E0-DBDD-4E26-9D1F-B9F49A363730}"/>
    <cellStyle name="Normal 4 2 2 3 3 2 2 4" xfId="2078" xr:uid="{45C690BB-A1B9-47EF-8835-2DC08D20FD3E}"/>
    <cellStyle name="Normal 4 2 2 3 3 2 3" xfId="1249" xr:uid="{8E3988A8-A495-4BB1-AB60-473C6173C4A0}"/>
    <cellStyle name="Normal 4 2 2 3 3 2 3 2" xfId="4720" xr:uid="{5CBB17C6-D199-453F-86B8-93067B9F8342}"/>
    <cellStyle name="Normal 4 2 2 3 3 2 3 2 2" xfId="8938" xr:uid="{FB1A2F00-23DD-4023-987D-36B1A1CDC4BC}"/>
    <cellStyle name="Normal 4 2 2 3 3 2 3 3" xfId="6793" xr:uid="{DB45FC59-BD55-4716-9C66-5D8F8F1560FA}"/>
    <cellStyle name="Normal 4 2 2 3 3 2 3 4" xfId="2491" xr:uid="{C846C954-6DD1-4EB1-809B-3CB51E6A7738}"/>
    <cellStyle name="Normal 4 2 2 3 3 2 4" xfId="2904" xr:uid="{A991C74D-15EF-4AAD-88ED-6F33DCF3B5A7}"/>
    <cellStyle name="Normal 4 2 2 3 3 2 4 2" xfId="5133" xr:uid="{CCCFFA00-D9F3-407A-8945-6A0E26B821DC}"/>
    <cellStyle name="Normal 4 2 2 3 3 2 4 2 2" xfId="9351" xr:uid="{2D2E87EA-F0D5-4192-B052-0108079786FA}"/>
    <cellStyle name="Normal 4 2 2 3 3 2 4 3" xfId="7206" xr:uid="{7330608E-3616-4719-8B06-1C5126A6472B}"/>
    <cellStyle name="Normal 4 2 2 3 3 2 5" xfId="3317" xr:uid="{312A2303-BFB8-4EE6-9EFE-7E39DB34E264}"/>
    <cellStyle name="Normal 4 2 2 3 3 2 5 2" xfId="5546" xr:uid="{EEA99C66-1916-4420-8DE0-F78B3ECB634D}"/>
    <cellStyle name="Normal 4 2 2 3 3 2 5 2 2" xfId="9764" xr:uid="{1E1320BC-FE9A-47C4-8200-AFB2D3A299D6}"/>
    <cellStyle name="Normal 4 2 2 3 3 2 5 3" xfId="7619" xr:uid="{AD00DD6E-C88D-4D2C-9184-4B5647C76658}"/>
    <cellStyle name="Normal 4 2 2 3 3 2 6" xfId="3753" xr:uid="{979045C8-10B1-4626-81DF-4320B792DB82}"/>
    <cellStyle name="Normal 4 2 2 3 3 2 6 2" xfId="8032" xr:uid="{B1629FF9-CDE6-4355-B960-3631A3AFDDCE}"/>
    <cellStyle name="Normal 4 2 2 3 3 2 7" xfId="5967" xr:uid="{AEBB1FEE-FBCD-4B97-8875-2A0F45A4E848}"/>
    <cellStyle name="Normal 4 2 2 3 3 2 8" xfId="1663" xr:uid="{9E504C96-9B75-48C3-B93D-C993DB51F76C}"/>
    <cellStyle name="Normal 4 2 2 3 3 3" xfId="829" xr:uid="{00000000-0005-0000-0000-00005A020000}"/>
    <cellStyle name="Normal 4 2 2 3 3 3 2" xfId="4306" xr:uid="{85A8D485-57FF-4823-840D-235FEB004949}"/>
    <cellStyle name="Normal 4 2 2 3 3 3 2 2" xfId="8524" xr:uid="{9EC13832-7E89-405C-81D7-B74BCE081AD5}"/>
    <cellStyle name="Normal 4 2 2 3 3 3 3" xfId="6379" xr:uid="{47B544F0-3185-45E3-BA62-3C395AB29225}"/>
    <cellStyle name="Normal 4 2 2 3 3 3 4" xfId="2077" xr:uid="{A3FBDCFE-ACC3-4A84-A77A-DFC5FA76620E}"/>
    <cellStyle name="Normal 4 2 2 3 3 4" xfId="1248" xr:uid="{24FD3766-42F7-4950-9A5F-970B4D7A9775}"/>
    <cellStyle name="Normal 4 2 2 3 3 4 2" xfId="4719" xr:uid="{BB10364E-0343-4BE8-998F-507BE5DA1093}"/>
    <cellStyle name="Normal 4 2 2 3 3 4 2 2" xfId="8937" xr:uid="{9C416099-55F3-4C2E-86A6-F19F249C3139}"/>
    <cellStyle name="Normal 4 2 2 3 3 4 3" xfId="6792" xr:uid="{81CD5D80-F963-4C3F-932D-501EDE81C81E}"/>
    <cellStyle name="Normal 4 2 2 3 3 4 4" xfId="2490" xr:uid="{4D3E85E4-10DB-436D-B134-EAB17FFD5184}"/>
    <cellStyle name="Normal 4 2 2 3 3 5" xfId="2903" xr:uid="{6DB76F12-C625-4CB4-AAA8-2ABB5E8A0C4A}"/>
    <cellStyle name="Normal 4 2 2 3 3 5 2" xfId="5132" xr:uid="{918D8393-00D0-43F0-A93B-84C43D08E70A}"/>
    <cellStyle name="Normal 4 2 2 3 3 5 2 2" xfId="9350" xr:uid="{66ACAC55-B50C-4D76-AB9C-EF2E8DB46EA1}"/>
    <cellStyle name="Normal 4 2 2 3 3 5 3" xfId="7205" xr:uid="{FEB404C2-148E-46C3-9683-6CA05D566DE8}"/>
    <cellStyle name="Normal 4 2 2 3 3 6" xfId="3316" xr:uid="{D3EFF34B-0391-4CEA-8605-D428BA533579}"/>
    <cellStyle name="Normal 4 2 2 3 3 6 2" xfId="5545" xr:uid="{D6823212-EA47-4E6A-BA2D-3FCD1876160F}"/>
    <cellStyle name="Normal 4 2 2 3 3 6 2 2" xfId="9763" xr:uid="{46649586-4DCC-4660-AD09-F1A0B1439E30}"/>
    <cellStyle name="Normal 4 2 2 3 3 6 3" xfId="7618" xr:uid="{D2720555-3D34-439C-BF28-6562D7EF0E88}"/>
    <cellStyle name="Normal 4 2 2 3 3 7" xfId="3752" xr:uid="{9D763219-345C-49CB-9EDC-979870E8531C}"/>
    <cellStyle name="Normal 4 2 2 3 3 7 2" xfId="8031" xr:uid="{B905CD8D-01BA-4D08-A948-CC95002D2C8C}"/>
    <cellStyle name="Normal 4 2 2 3 3 8" xfId="5966" xr:uid="{38AE8CD3-3759-431B-ABB2-4F503E1BCA4F}"/>
    <cellStyle name="Normal 4 2 2 3 3 9" xfId="1662" xr:uid="{2B0BAACB-52CA-4171-B0C6-5CCE271B71F2}"/>
    <cellStyle name="Normal 4 2 2 3 4" xfId="349" xr:uid="{00000000-0005-0000-0000-00005B020000}"/>
    <cellStyle name="Normal 4 2 2 3 4 2" xfId="831" xr:uid="{00000000-0005-0000-0000-00005C020000}"/>
    <cellStyle name="Normal 4 2 2 3 4 2 2" xfId="4308" xr:uid="{E2C23E8E-9A67-484F-8472-A7B189F259FF}"/>
    <cellStyle name="Normal 4 2 2 3 4 2 2 2" xfId="8526" xr:uid="{AC0D368A-3D94-44B4-86D2-04462A2EF652}"/>
    <cellStyle name="Normal 4 2 2 3 4 2 3" xfId="6381" xr:uid="{99B35854-0EF7-484D-9657-CB84EA292797}"/>
    <cellStyle name="Normal 4 2 2 3 4 2 4" xfId="2079" xr:uid="{E6BBAC74-0CC4-4DF4-81FB-B7EF7E2572D7}"/>
    <cellStyle name="Normal 4 2 2 3 4 3" xfId="1250" xr:uid="{5F3F752B-ECDC-4D18-A5E2-F54D0F1E5BB7}"/>
    <cellStyle name="Normal 4 2 2 3 4 3 2" xfId="4721" xr:uid="{C1F39838-26B0-40B8-B933-C65D130C327C}"/>
    <cellStyle name="Normal 4 2 2 3 4 3 2 2" xfId="8939" xr:uid="{8E1BD466-0A5B-4FA5-AF8F-E2B90B648030}"/>
    <cellStyle name="Normal 4 2 2 3 4 3 3" xfId="6794" xr:uid="{F205C654-0FA6-42DC-9317-A13AA59ECE1D}"/>
    <cellStyle name="Normal 4 2 2 3 4 3 4" xfId="2492" xr:uid="{3846899A-8271-4242-BA54-D8012E1DD60F}"/>
    <cellStyle name="Normal 4 2 2 3 4 4" xfId="2905" xr:uid="{075A061F-1AEF-4F91-AE7A-785C5F7753D1}"/>
    <cellStyle name="Normal 4 2 2 3 4 4 2" xfId="5134" xr:uid="{DE402A3F-F6DE-4348-B46F-95B9AA5291AF}"/>
    <cellStyle name="Normal 4 2 2 3 4 4 2 2" xfId="9352" xr:uid="{7AB71E97-8C51-4AD4-8BE1-764E50E41429}"/>
    <cellStyle name="Normal 4 2 2 3 4 4 3" xfId="7207" xr:uid="{4776C2E4-F467-4203-A5BE-DA5D5465622E}"/>
    <cellStyle name="Normal 4 2 2 3 4 5" xfId="3318" xr:uid="{0A24B295-D293-421B-9F0C-F6F6708D1103}"/>
    <cellStyle name="Normal 4 2 2 3 4 5 2" xfId="5547" xr:uid="{07AB747E-FBAB-4E7D-8E87-06320613B3B0}"/>
    <cellStyle name="Normal 4 2 2 3 4 5 2 2" xfId="9765" xr:uid="{6C27D4F8-73B6-4569-9801-07FBE72EB144}"/>
    <cellStyle name="Normal 4 2 2 3 4 5 3" xfId="7620" xr:uid="{488658D5-4AB5-4F83-A011-447D494DC1D9}"/>
    <cellStyle name="Normal 4 2 2 3 4 6" xfId="3754" xr:uid="{772462ED-2597-4362-AE20-3AD2826672BF}"/>
    <cellStyle name="Normal 4 2 2 3 4 6 2" xfId="8033" xr:uid="{96BB2F00-A97B-4AD2-B255-7D64D8529384}"/>
    <cellStyle name="Normal 4 2 2 3 4 7" xfId="5968" xr:uid="{B3BDAB58-AC3D-4853-BE71-CE073CEEA554}"/>
    <cellStyle name="Normal 4 2 2 3 4 8" xfId="1664" xr:uid="{26263696-CAFC-41CB-AA65-771E13CB71C0}"/>
    <cellStyle name="Normal 4 2 2 3 5" xfId="824" xr:uid="{00000000-0005-0000-0000-00005D020000}"/>
    <cellStyle name="Normal 4 2 2 3 5 2" xfId="4301" xr:uid="{0413FDBF-5954-40A8-8316-E76CC4F72201}"/>
    <cellStyle name="Normal 4 2 2 3 5 2 2" xfId="8519" xr:uid="{87914FB7-665F-4207-B921-2ACA6EE30BC0}"/>
    <cellStyle name="Normal 4 2 2 3 5 3" xfId="6374" xr:uid="{ABF5C45E-8581-41FD-85B1-8A0913DB1132}"/>
    <cellStyle name="Normal 4 2 2 3 5 4" xfId="2072" xr:uid="{75CD1C6B-873A-47A0-BF4D-90CA40BDCFCE}"/>
    <cellStyle name="Normal 4 2 2 3 6" xfId="1243" xr:uid="{700FA46F-39E8-4D6A-A8AD-3F69D90106DB}"/>
    <cellStyle name="Normal 4 2 2 3 6 2" xfId="4714" xr:uid="{F394AF2F-A568-4A8A-8198-305AA73D7709}"/>
    <cellStyle name="Normal 4 2 2 3 6 2 2" xfId="8932" xr:uid="{31BF6D0E-3D6C-4A38-8913-3987A7EFC231}"/>
    <cellStyle name="Normal 4 2 2 3 6 3" xfId="6787" xr:uid="{F34D4326-F42F-4E3A-AF8D-60C98CF61DC5}"/>
    <cellStyle name="Normal 4 2 2 3 6 4" xfId="2485" xr:uid="{B2ECE302-1C1F-4F0B-8C68-5F829200C26D}"/>
    <cellStyle name="Normal 4 2 2 3 7" xfId="2898" xr:uid="{5259DD61-4874-4D82-B610-A9A1DE7E0395}"/>
    <cellStyle name="Normal 4 2 2 3 7 2" xfId="5127" xr:uid="{7D7A8F21-E6AB-4F38-ABAA-F2F45A41CB16}"/>
    <cellStyle name="Normal 4 2 2 3 7 2 2" xfId="9345" xr:uid="{8AB78C63-3EA9-4E78-8567-182768CD1D54}"/>
    <cellStyle name="Normal 4 2 2 3 7 3" xfId="7200" xr:uid="{74843118-B61A-4ED6-B3F2-1D34E646338B}"/>
    <cellStyle name="Normal 4 2 2 3 8" xfId="3311" xr:uid="{DBA73E4C-93AE-44B9-82BA-CC2A26DAE828}"/>
    <cellStyle name="Normal 4 2 2 3 8 2" xfId="5540" xr:uid="{3D11A82B-E610-4DB5-9850-F4965C594A9E}"/>
    <cellStyle name="Normal 4 2 2 3 8 2 2" xfId="9758" xr:uid="{B4CB73A7-64D9-49A7-8219-F5B0DD3C8629}"/>
    <cellStyle name="Normal 4 2 2 3 8 3" xfId="7613" xr:uid="{C5A97B0A-4C29-455C-A6C9-B060646DD907}"/>
    <cellStyle name="Normal 4 2 2 3 9" xfId="3747" xr:uid="{4AC61CF5-387B-45B4-95D7-2914FBC6AFB3}"/>
    <cellStyle name="Normal 4 2 2 3 9 2" xfId="8026" xr:uid="{F84C25F4-9F31-4E3B-A7B9-B636F45D28F5}"/>
    <cellStyle name="Normal 4 2 2 4" xfId="350" xr:uid="{00000000-0005-0000-0000-00005E020000}"/>
    <cellStyle name="Normal 4 2 2 4 10" xfId="1665" xr:uid="{3166E5F4-65C2-4A78-A96D-ED5FB4F8A3B8}"/>
    <cellStyle name="Normal 4 2 2 4 2" xfId="351" xr:uid="{00000000-0005-0000-0000-00005F020000}"/>
    <cellStyle name="Normal 4 2 2 4 2 2" xfId="352" xr:uid="{00000000-0005-0000-0000-000060020000}"/>
    <cellStyle name="Normal 4 2 2 4 2 2 2" xfId="834" xr:uid="{00000000-0005-0000-0000-000061020000}"/>
    <cellStyle name="Normal 4 2 2 4 2 2 2 2" xfId="4311" xr:uid="{91BCA7AE-DE22-4449-B9D4-85AC72E843BD}"/>
    <cellStyle name="Normal 4 2 2 4 2 2 2 2 2" xfId="8529" xr:uid="{D546ECC5-8D4B-4343-A0E2-77CEF478B780}"/>
    <cellStyle name="Normal 4 2 2 4 2 2 2 3" xfId="6384" xr:uid="{F371AED8-56E0-4270-A4C8-0F886B64BB90}"/>
    <cellStyle name="Normal 4 2 2 4 2 2 2 4" xfId="2082" xr:uid="{39840E66-C1CD-4607-8EBD-54B1F1A1868D}"/>
    <cellStyle name="Normal 4 2 2 4 2 2 3" xfId="1253" xr:uid="{C1CF1837-7EEC-4E5B-96F2-784DBB264848}"/>
    <cellStyle name="Normal 4 2 2 4 2 2 3 2" xfId="4724" xr:uid="{E4F5C6AC-5B5E-419D-AA9E-FE1EE4F6B5F6}"/>
    <cellStyle name="Normal 4 2 2 4 2 2 3 2 2" xfId="8942" xr:uid="{F6782D22-5641-4ED6-85A8-75C9C58990FE}"/>
    <cellStyle name="Normal 4 2 2 4 2 2 3 3" xfId="6797" xr:uid="{CB2B82E2-4001-417F-9B34-26D07B1D67CA}"/>
    <cellStyle name="Normal 4 2 2 4 2 2 3 4" xfId="2495" xr:uid="{D022B3DC-36A7-4A8F-B61B-D96F0D0C23EE}"/>
    <cellStyle name="Normal 4 2 2 4 2 2 4" xfId="2908" xr:uid="{EF0D5BCA-3099-4954-A666-A577FD5E64FC}"/>
    <cellStyle name="Normal 4 2 2 4 2 2 4 2" xfId="5137" xr:uid="{89510AB1-A646-4620-9B8C-79A15CFBA6D2}"/>
    <cellStyle name="Normal 4 2 2 4 2 2 4 2 2" xfId="9355" xr:uid="{E26FF826-3A8B-4FA2-95D3-0F8BF537D97D}"/>
    <cellStyle name="Normal 4 2 2 4 2 2 4 3" xfId="7210" xr:uid="{DFF28238-8125-43A6-A31C-D49A1C39FC40}"/>
    <cellStyle name="Normal 4 2 2 4 2 2 5" xfId="3321" xr:uid="{5C7826B8-8D89-48AB-9710-804FB7F1C025}"/>
    <cellStyle name="Normal 4 2 2 4 2 2 5 2" xfId="5550" xr:uid="{A9930358-EFE3-4956-A3E7-CFDE2A613DCE}"/>
    <cellStyle name="Normal 4 2 2 4 2 2 5 2 2" xfId="9768" xr:uid="{76BEBE0B-E9B1-497E-AA5B-75CF49945A5B}"/>
    <cellStyle name="Normal 4 2 2 4 2 2 5 3" xfId="7623" xr:uid="{66285E3F-1590-45EB-8CF5-FF6D9EB9BB2F}"/>
    <cellStyle name="Normal 4 2 2 4 2 2 6" xfId="3757" xr:uid="{2AD60A90-B4DF-4A31-8FCE-17EBFC77E004}"/>
    <cellStyle name="Normal 4 2 2 4 2 2 6 2" xfId="8036" xr:uid="{936949E2-E837-4D40-99CE-FECEC847C754}"/>
    <cellStyle name="Normal 4 2 2 4 2 2 7" xfId="5971" xr:uid="{B06C02E9-C207-4679-B1E8-D86BF08FE129}"/>
    <cellStyle name="Normal 4 2 2 4 2 2 8" xfId="1667" xr:uid="{DF1155BF-FECA-4E83-AFB2-7F99B241D273}"/>
    <cellStyle name="Normal 4 2 2 4 2 3" xfId="833" xr:uid="{00000000-0005-0000-0000-000062020000}"/>
    <cellStyle name="Normal 4 2 2 4 2 3 2" xfId="4310" xr:uid="{C26CB909-E7C7-4F0C-95BE-CCA8DE94FA23}"/>
    <cellStyle name="Normal 4 2 2 4 2 3 2 2" xfId="8528" xr:uid="{77204312-DA43-4E30-8B5E-3C66A4A72E1D}"/>
    <cellStyle name="Normal 4 2 2 4 2 3 3" xfId="6383" xr:uid="{4693DF23-91FB-4406-9DAF-023B818EF4F0}"/>
    <cellStyle name="Normal 4 2 2 4 2 3 4" xfId="2081" xr:uid="{942076DD-AD6D-4A5E-94D4-FF0970BFCF1F}"/>
    <cellStyle name="Normal 4 2 2 4 2 4" xfId="1252" xr:uid="{78ECABB8-E883-455D-8314-AC4FFEC95C68}"/>
    <cellStyle name="Normal 4 2 2 4 2 4 2" xfId="4723" xr:uid="{287B5B13-D12E-4BFE-B7AC-D8E66AFD837D}"/>
    <cellStyle name="Normal 4 2 2 4 2 4 2 2" xfId="8941" xr:uid="{68381169-9D20-46C6-A728-8732E948AD80}"/>
    <cellStyle name="Normal 4 2 2 4 2 4 3" xfId="6796" xr:uid="{EA9FAB7C-F199-4ABF-8EB3-42B979AD5238}"/>
    <cellStyle name="Normal 4 2 2 4 2 4 4" xfId="2494" xr:uid="{06844DEA-735D-4C8C-80EF-916F80CC9E0D}"/>
    <cellStyle name="Normal 4 2 2 4 2 5" xfId="2907" xr:uid="{39C19DBC-0CAA-4DCA-952F-A60929252300}"/>
    <cellStyle name="Normal 4 2 2 4 2 5 2" xfId="5136" xr:uid="{E519D9D0-E906-487E-927B-A7C4275D89DC}"/>
    <cellStyle name="Normal 4 2 2 4 2 5 2 2" xfId="9354" xr:uid="{C4D54554-D7E2-4F20-A730-0ADAEF454D75}"/>
    <cellStyle name="Normal 4 2 2 4 2 5 3" xfId="7209" xr:uid="{B226394B-D99F-49F9-AE78-D2F0FE304339}"/>
    <cellStyle name="Normal 4 2 2 4 2 6" xfId="3320" xr:uid="{AD46CC8A-D9DA-4CA3-8B20-E65A477FF47B}"/>
    <cellStyle name="Normal 4 2 2 4 2 6 2" xfId="5549" xr:uid="{7B9A1CE0-D60E-4A45-90D4-522BF15470E8}"/>
    <cellStyle name="Normal 4 2 2 4 2 6 2 2" xfId="9767" xr:uid="{D4F8766B-8D5E-4B25-B7C1-15C3D9E68356}"/>
    <cellStyle name="Normal 4 2 2 4 2 6 3" xfId="7622" xr:uid="{6C197AAE-1631-4F66-9AD3-6C98C2A9FEDE}"/>
    <cellStyle name="Normal 4 2 2 4 2 7" xfId="3756" xr:uid="{72DAEC7D-D983-4D63-A7F2-04BC493A520A}"/>
    <cellStyle name="Normal 4 2 2 4 2 7 2" xfId="8035" xr:uid="{53F1D511-A266-45EF-AC32-7EB224B528F2}"/>
    <cellStyle name="Normal 4 2 2 4 2 8" xfId="5970" xr:uid="{2F4DD054-2D7F-4C60-A842-3AE06A8DF402}"/>
    <cellStyle name="Normal 4 2 2 4 2 9" xfId="1666" xr:uid="{70DC561A-BE6E-4B14-9EE6-C15AE44217F6}"/>
    <cellStyle name="Normal 4 2 2 4 3" xfId="353" xr:uid="{00000000-0005-0000-0000-000063020000}"/>
    <cellStyle name="Normal 4 2 2 4 3 2" xfId="835" xr:uid="{00000000-0005-0000-0000-000064020000}"/>
    <cellStyle name="Normal 4 2 2 4 3 2 2" xfId="4312" xr:uid="{324B5441-E6CF-4F85-BE20-26F2AD88E75F}"/>
    <cellStyle name="Normal 4 2 2 4 3 2 2 2" xfId="8530" xr:uid="{140763F8-5041-41F3-8C8D-1C4C0A7A95BB}"/>
    <cellStyle name="Normal 4 2 2 4 3 2 3" xfId="6385" xr:uid="{4B7D33F9-11DE-4910-BF0B-4C97A9B3BD83}"/>
    <cellStyle name="Normal 4 2 2 4 3 2 4" xfId="2083" xr:uid="{E98BDB38-274E-418D-8815-ED55674AEB96}"/>
    <cellStyle name="Normal 4 2 2 4 3 3" xfId="1254" xr:uid="{A7BEF2D6-606F-41C6-9F0B-E5E67F2C14B6}"/>
    <cellStyle name="Normal 4 2 2 4 3 3 2" xfId="4725" xr:uid="{51FB6226-E579-460A-8E9E-3850411605A0}"/>
    <cellStyle name="Normal 4 2 2 4 3 3 2 2" xfId="8943" xr:uid="{9EBA1056-7DE5-4880-B4B5-AB20FA4FF8E4}"/>
    <cellStyle name="Normal 4 2 2 4 3 3 3" xfId="6798" xr:uid="{67A85621-E50A-4E60-AFBC-30D03B8588FC}"/>
    <cellStyle name="Normal 4 2 2 4 3 3 4" xfId="2496" xr:uid="{A49AF9F3-7347-4D07-B9B9-A7D351FB4A1B}"/>
    <cellStyle name="Normal 4 2 2 4 3 4" xfId="2909" xr:uid="{09A6283A-4A04-4C95-A0E0-009257EAB8D2}"/>
    <cellStyle name="Normal 4 2 2 4 3 4 2" xfId="5138" xr:uid="{D6C6B96F-2CDB-4358-8653-24DB797013E8}"/>
    <cellStyle name="Normal 4 2 2 4 3 4 2 2" xfId="9356" xr:uid="{D980309F-933C-4427-A115-A02BA75CFBD6}"/>
    <cellStyle name="Normal 4 2 2 4 3 4 3" xfId="7211" xr:uid="{BEA0738E-103D-4DE5-ADEB-67F8BF78F1AC}"/>
    <cellStyle name="Normal 4 2 2 4 3 5" xfId="3322" xr:uid="{97DEB4CA-56AE-4C2D-8274-41DFFDE2C2B6}"/>
    <cellStyle name="Normal 4 2 2 4 3 5 2" xfId="5551" xr:uid="{FED3EA48-2370-44ED-8E5E-54DE2050F614}"/>
    <cellStyle name="Normal 4 2 2 4 3 5 2 2" xfId="9769" xr:uid="{E1601A99-50A1-4513-A1B4-651DB793A978}"/>
    <cellStyle name="Normal 4 2 2 4 3 5 3" xfId="7624" xr:uid="{E8C7BE7E-41F4-4F6A-A2DA-C894476D8065}"/>
    <cellStyle name="Normal 4 2 2 4 3 6" xfId="3758" xr:uid="{24B8246A-F348-4BD3-BFC6-93F9CF020A5F}"/>
    <cellStyle name="Normal 4 2 2 4 3 6 2" xfId="8037" xr:uid="{3ADCD924-EFEA-48E3-B32C-F9A3F9E8395C}"/>
    <cellStyle name="Normal 4 2 2 4 3 7" xfId="5972" xr:uid="{72DAC04C-D576-4591-9FC5-D41B840CABC1}"/>
    <cellStyle name="Normal 4 2 2 4 3 8" xfId="1668" xr:uid="{2422BDF3-4FE5-4C46-A36F-8730B7AAE900}"/>
    <cellStyle name="Normal 4 2 2 4 4" xfId="832" xr:uid="{00000000-0005-0000-0000-000065020000}"/>
    <cellStyle name="Normal 4 2 2 4 4 2" xfId="4309" xr:uid="{C18ABADF-331B-45D0-AF84-C90F083BFEBD}"/>
    <cellStyle name="Normal 4 2 2 4 4 2 2" xfId="8527" xr:uid="{559FEC56-60F7-4928-BC92-1EC22B577A11}"/>
    <cellStyle name="Normal 4 2 2 4 4 3" xfId="6382" xr:uid="{E0AB8951-EB9C-4005-B817-ADDB9D3A6DC2}"/>
    <cellStyle name="Normal 4 2 2 4 4 4" xfId="2080" xr:uid="{F5AF36E4-4BE2-4666-B8DD-7E1CA1466D5E}"/>
    <cellStyle name="Normal 4 2 2 4 5" xfId="1251" xr:uid="{299F0513-8045-419A-8F52-03101CDECF7C}"/>
    <cellStyle name="Normal 4 2 2 4 5 2" xfId="4722" xr:uid="{D39F0BF0-D418-4C73-86D1-BA25513BFD18}"/>
    <cellStyle name="Normal 4 2 2 4 5 2 2" xfId="8940" xr:uid="{F9502035-D5E4-4117-996C-313A61C9D52C}"/>
    <cellStyle name="Normal 4 2 2 4 5 3" xfId="6795" xr:uid="{D04C5448-212E-4F91-B9E7-A2273D2F0C78}"/>
    <cellStyle name="Normal 4 2 2 4 5 4" xfId="2493" xr:uid="{DBB66E45-C6A1-4D83-B908-3CE8ADF4DC4C}"/>
    <cellStyle name="Normal 4 2 2 4 6" xfId="2906" xr:uid="{F86AE1A8-7721-49B7-9411-4971EBE47026}"/>
    <cellStyle name="Normal 4 2 2 4 6 2" xfId="5135" xr:uid="{D6048F5D-0D24-4E6D-ACFE-F3BEEF1F8210}"/>
    <cellStyle name="Normal 4 2 2 4 6 2 2" xfId="9353" xr:uid="{96463080-E170-4B62-8301-53EC7A5B9DDB}"/>
    <cellStyle name="Normal 4 2 2 4 6 3" xfId="7208" xr:uid="{676B363A-CAC2-496F-A503-5B1D551C8AC0}"/>
    <cellStyle name="Normal 4 2 2 4 7" xfId="3319" xr:uid="{37D57B2C-7432-4FDE-97EF-6CFAB3658A02}"/>
    <cellStyle name="Normal 4 2 2 4 7 2" xfId="5548" xr:uid="{15E5A5D5-E852-4F08-8EE3-D8F513D1DAE7}"/>
    <cellStyle name="Normal 4 2 2 4 7 2 2" xfId="9766" xr:uid="{DFDA79A1-E42C-4D28-9B79-1AB4BF794D36}"/>
    <cellStyle name="Normal 4 2 2 4 7 3" xfId="7621" xr:uid="{74AAAB8B-083F-443B-8EC0-1E430A30FE21}"/>
    <cellStyle name="Normal 4 2 2 4 8" xfId="3755" xr:uid="{C701EB8D-DFEA-4722-8780-972DC8C382A1}"/>
    <cellStyle name="Normal 4 2 2 4 8 2" xfId="8034" xr:uid="{004800B7-6948-4352-AFC9-F016E83C0A6A}"/>
    <cellStyle name="Normal 4 2 2 4 9" xfId="5969" xr:uid="{57E21B99-E030-4876-9990-26DF0922AE85}"/>
    <cellStyle name="Normal 4 2 2 5" xfId="354" xr:uid="{00000000-0005-0000-0000-000066020000}"/>
    <cellStyle name="Normal 4 2 2 5 2" xfId="355" xr:uid="{00000000-0005-0000-0000-000067020000}"/>
    <cellStyle name="Normal 4 2 2 5 2 2" xfId="837" xr:uid="{00000000-0005-0000-0000-000068020000}"/>
    <cellStyle name="Normal 4 2 2 5 2 2 2" xfId="4314" xr:uid="{90DAF773-4753-4BAA-8916-1528A7013D0D}"/>
    <cellStyle name="Normal 4 2 2 5 2 2 2 2" xfId="8532" xr:uid="{30182C03-1E44-4A81-A22E-3727C79F0EE7}"/>
    <cellStyle name="Normal 4 2 2 5 2 2 3" xfId="6387" xr:uid="{8BCDF51B-CD92-420D-A4E5-61BEC0AEA653}"/>
    <cellStyle name="Normal 4 2 2 5 2 2 4" xfId="2085" xr:uid="{459284C7-66CF-4C9B-839C-4E64B6DC8FC8}"/>
    <cellStyle name="Normal 4 2 2 5 2 3" xfId="1256" xr:uid="{179523CD-7C13-423D-B356-9333ECB5DA95}"/>
    <cellStyle name="Normal 4 2 2 5 2 3 2" xfId="4727" xr:uid="{AAA338F8-1180-4166-8D58-6F805A71B2D9}"/>
    <cellStyle name="Normal 4 2 2 5 2 3 2 2" xfId="8945" xr:uid="{C34B8E0A-02C8-4099-A557-1C4917D344A8}"/>
    <cellStyle name="Normal 4 2 2 5 2 3 3" xfId="6800" xr:uid="{DF410F8D-CD8B-44D9-9198-03ED796D6DEE}"/>
    <cellStyle name="Normal 4 2 2 5 2 3 4" xfId="2498" xr:uid="{903300A4-AD7B-48E4-9EB1-8023CBC9798F}"/>
    <cellStyle name="Normal 4 2 2 5 2 4" xfId="2911" xr:uid="{C02D55B5-15F1-42A0-8D9C-0A81BFEC8AB5}"/>
    <cellStyle name="Normal 4 2 2 5 2 4 2" xfId="5140" xr:uid="{E1AC0E3E-C664-448B-89C2-0C1F5C803686}"/>
    <cellStyle name="Normal 4 2 2 5 2 4 2 2" xfId="9358" xr:uid="{28EB5657-CAA5-48D4-844D-1700B1BB9D85}"/>
    <cellStyle name="Normal 4 2 2 5 2 4 3" xfId="7213" xr:uid="{A94CCB39-2E96-415C-84B5-1D22EB13147D}"/>
    <cellStyle name="Normal 4 2 2 5 2 5" xfId="3324" xr:uid="{2381290D-534C-439A-8F1F-DB668036E0FB}"/>
    <cellStyle name="Normal 4 2 2 5 2 5 2" xfId="5553" xr:uid="{112639EC-B02B-49DF-8DCA-05C63B86EEB5}"/>
    <cellStyle name="Normal 4 2 2 5 2 5 2 2" xfId="9771" xr:uid="{5676999D-957F-4D0F-A67C-5D8DB568DB1C}"/>
    <cellStyle name="Normal 4 2 2 5 2 5 3" xfId="7626" xr:uid="{92A2F066-AE82-4420-BDAD-19B6D017B11E}"/>
    <cellStyle name="Normal 4 2 2 5 2 6" xfId="3760" xr:uid="{45EA11AA-46B1-4AB6-B71E-E46836F923A4}"/>
    <cellStyle name="Normal 4 2 2 5 2 6 2" xfId="8039" xr:uid="{C50D65D5-2864-4296-898F-A7889E352B0A}"/>
    <cellStyle name="Normal 4 2 2 5 2 7" xfId="5974" xr:uid="{89A7CB4B-8EE4-4272-BAB1-568CD2AA7B8A}"/>
    <cellStyle name="Normal 4 2 2 5 2 8" xfId="1670" xr:uid="{44E3D800-D286-4B00-A5DA-7F6535125E2E}"/>
    <cellStyle name="Normal 4 2 2 5 3" xfId="836" xr:uid="{00000000-0005-0000-0000-000069020000}"/>
    <cellStyle name="Normal 4 2 2 5 3 2" xfId="4313" xr:uid="{B039AF45-B10E-4C70-8434-2B36AD7F20BE}"/>
    <cellStyle name="Normal 4 2 2 5 3 2 2" xfId="8531" xr:uid="{5C0B528D-0EA5-4DF1-B1EE-FAB0A7080BEC}"/>
    <cellStyle name="Normal 4 2 2 5 3 3" xfId="6386" xr:uid="{7570CE97-F25A-4E22-BAB2-508FF0C8EFD0}"/>
    <cellStyle name="Normal 4 2 2 5 3 4" xfId="2084" xr:uid="{7D52BAB0-94EE-4C32-B110-5DE1FEBD36DF}"/>
    <cellStyle name="Normal 4 2 2 5 4" xfId="1255" xr:uid="{2D4496CE-DE00-4448-B0F5-19DEB4B64836}"/>
    <cellStyle name="Normal 4 2 2 5 4 2" xfId="4726" xr:uid="{6573F607-C92D-4197-9BFA-65E00986FEE6}"/>
    <cellStyle name="Normal 4 2 2 5 4 2 2" xfId="8944" xr:uid="{E098C022-C484-4FCD-B750-4D8529021B8B}"/>
    <cellStyle name="Normal 4 2 2 5 4 3" xfId="6799" xr:uid="{6909B721-529A-4847-AC03-B0A18A3FFA5B}"/>
    <cellStyle name="Normal 4 2 2 5 4 4" xfId="2497" xr:uid="{1C226004-7AB1-4B5B-BBA9-EF7DC6F69EF5}"/>
    <cellStyle name="Normal 4 2 2 5 5" xfId="2910" xr:uid="{CF612DC5-E189-48EB-9C14-92551C4533DF}"/>
    <cellStyle name="Normal 4 2 2 5 5 2" xfId="5139" xr:uid="{6EA60A36-3F44-4863-860F-CD77ADAE269C}"/>
    <cellStyle name="Normal 4 2 2 5 5 2 2" xfId="9357" xr:uid="{2E464650-4B6B-4D18-9311-64ABC0BFE7D9}"/>
    <cellStyle name="Normal 4 2 2 5 5 3" xfId="7212" xr:uid="{CEB39E7C-82AE-40D2-B2C4-0C399A024558}"/>
    <cellStyle name="Normal 4 2 2 5 6" xfId="3323" xr:uid="{0AA92D84-6AA2-4565-B304-59250FC4B4B8}"/>
    <cellStyle name="Normal 4 2 2 5 6 2" xfId="5552" xr:uid="{9567F803-756D-4A58-B158-243978EDA689}"/>
    <cellStyle name="Normal 4 2 2 5 6 2 2" xfId="9770" xr:uid="{F54351C5-B2E4-43B7-9BE8-BAA583B5CEA5}"/>
    <cellStyle name="Normal 4 2 2 5 6 3" xfId="7625" xr:uid="{50E7B220-E6AD-48D6-95B5-A2667BF4F386}"/>
    <cellStyle name="Normal 4 2 2 5 7" xfId="3759" xr:uid="{4BF1239F-DB55-44D4-930E-1A12B5741BE4}"/>
    <cellStyle name="Normal 4 2 2 5 7 2" xfId="8038" xr:uid="{92D1880A-784A-4D2A-B2BE-7A470B081AC2}"/>
    <cellStyle name="Normal 4 2 2 5 8" xfId="5973" xr:uid="{80666C7D-FE75-4F91-8FEC-C4405B2D28FD}"/>
    <cellStyle name="Normal 4 2 2 5 9" xfId="1669" xr:uid="{63ADB339-8412-4A60-9BCF-EBB210B1C453}"/>
    <cellStyle name="Normal 4 2 2 6" xfId="356" xr:uid="{00000000-0005-0000-0000-00006A020000}"/>
    <cellStyle name="Normal 4 2 2 6 2" xfId="838" xr:uid="{00000000-0005-0000-0000-00006B020000}"/>
    <cellStyle name="Normal 4 2 2 6 2 2" xfId="4315" xr:uid="{1176C794-5A9A-4629-9B73-4EA1754924A3}"/>
    <cellStyle name="Normal 4 2 2 6 2 2 2" xfId="8533" xr:uid="{7E5E6D11-A42A-461E-81B5-2C6200871F26}"/>
    <cellStyle name="Normal 4 2 2 6 2 3" xfId="6388" xr:uid="{7D6B733F-68E3-4470-9D2D-AA1C6E6B3938}"/>
    <cellStyle name="Normal 4 2 2 6 2 4" xfId="2086" xr:uid="{F53D4631-1532-4A5F-935F-521437A6BDF5}"/>
    <cellStyle name="Normal 4 2 2 6 3" xfId="1257" xr:uid="{9681C366-7A41-4F53-9BBC-F04E2B723863}"/>
    <cellStyle name="Normal 4 2 2 6 3 2" xfId="4728" xr:uid="{1FEDDF68-BC25-430F-AC72-0FBE10D02C56}"/>
    <cellStyle name="Normal 4 2 2 6 3 2 2" xfId="8946" xr:uid="{059BDF7B-10ED-4345-88BD-80348EAAB378}"/>
    <cellStyle name="Normal 4 2 2 6 3 3" xfId="6801" xr:uid="{6DE27F35-AEB5-4018-A29A-FC441F28310B}"/>
    <cellStyle name="Normal 4 2 2 6 3 4" xfId="2499" xr:uid="{D2E82E53-9B99-436E-93FD-07EEE5B7B490}"/>
    <cellStyle name="Normal 4 2 2 6 4" xfId="2912" xr:uid="{744D9AE0-7999-4224-9729-E6759AABA963}"/>
    <cellStyle name="Normal 4 2 2 6 4 2" xfId="5141" xr:uid="{A540768F-1E39-4D18-814B-CA776AF1451A}"/>
    <cellStyle name="Normal 4 2 2 6 4 2 2" xfId="9359" xr:uid="{98E88605-8599-4166-89EE-B93E55A2A701}"/>
    <cellStyle name="Normal 4 2 2 6 4 3" xfId="7214" xr:uid="{E2306F84-922A-4A8B-A666-2739B7404778}"/>
    <cellStyle name="Normal 4 2 2 6 5" xfId="3325" xr:uid="{A333453F-726D-4237-BC89-8B2F472F1026}"/>
    <cellStyle name="Normal 4 2 2 6 5 2" xfId="5554" xr:uid="{31646240-D275-4C16-8EA4-EC5ED6FE9F93}"/>
    <cellStyle name="Normal 4 2 2 6 5 2 2" xfId="9772" xr:uid="{DAA575EE-252F-4330-80D1-38FC7922A3E0}"/>
    <cellStyle name="Normal 4 2 2 6 5 3" xfId="7627" xr:uid="{B5DEBE4D-247E-4D42-8408-502FA651CA94}"/>
    <cellStyle name="Normal 4 2 2 6 6" xfId="3761" xr:uid="{BF2F272A-CC4D-4ED4-B3ED-652AF1B8DA74}"/>
    <cellStyle name="Normal 4 2 2 6 6 2" xfId="8040" xr:uid="{6AB59476-F445-46EE-9A89-46C700C4A8DC}"/>
    <cellStyle name="Normal 4 2 2 6 7" xfId="5975" xr:uid="{09EF25A1-4A53-4295-B079-446CC893991D}"/>
    <cellStyle name="Normal 4 2 2 6 8" xfId="1671" xr:uid="{D9E2A16A-9050-4909-9DC9-FD1BB6D649DF}"/>
    <cellStyle name="Normal 4 2 2 7" xfId="823" xr:uid="{00000000-0005-0000-0000-00006C020000}"/>
    <cellStyle name="Normal 4 2 2 7 2" xfId="4300" xr:uid="{42816667-E395-4980-9486-F71028BEAE32}"/>
    <cellStyle name="Normal 4 2 2 7 2 2" xfId="8518" xr:uid="{C2C53AA0-8C67-4EC5-9776-EF98E0AF15BF}"/>
    <cellStyle name="Normal 4 2 2 7 3" xfId="6373" xr:uid="{106F71A8-7A01-43A9-947A-BEC94CB445C6}"/>
    <cellStyle name="Normal 4 2 2 7 4" xfId="2071" xr:uid="{18C76249-EC3C-4486-A074-8F155A87032B}"/>
    <cellStyle name="Normal 4 2 2 8" xfId="1242" xr:uid="{19F257CC-8C92-40C4-820F-F258E57005C6}"/>
    <cellStyle name="Normal 4 2 2 8 2" xfId="4713" xr:uid="{5CCD976F-D63D-43A6-B323-753A8E291628}"/>
    <cellStyle name="Normal 4 2 2 8 2 2" xfId="8931" xr:uid="{28F44FAA-66F5-4396-AA48-B34E2D12A3C3}"/>
    <cellStyle name="Normal 4 2 2 8 3" xfId="6786" xr:uid="{7C328441-8AFF-43B4-88EF-97A8B448110C}"/>
    <cellStyle name="Normal 4 2 2 8 4" xfId="2484" xr:uid="{B7446907-B18F-49FC-A278-2F016A07E8E2}"/>
    <cellStyle name="Normal 4 2 2 9" xfId="2897" xr:uid="{4EFD9197-336E-4B19-9536-00CEB3B27B83}"/>
    <cellStyle name="Normal 4 2 2 9 2" xfId="5126" xr:uid="{CA1A13CA-AF8F-49F8-809D-A6A58594D463}"/>
    <cellStyle name="Normal 4 2 2 9 2 2" xfId="9344" xr:uid="{E8984BA6-2C5B-4BAE-8E2D-FF352A97A0BD}"/>
    <cellStyle name="Normal 4 2 2 9 3" xfId="7199" xr:uid="{11265F25-000F-4061-B08B-34EC2EA66423}"/>
    <cellStyle name="Normal 4 2 3" xfId="357" xr:uid="{00000000-0005-0000-0000-00006D020000}"/>
    <cellStyle name="Normal 4 2 4" xfId="358" xr:uid="{00000000-0005-0000-0000-00006E020000}"/>
    <cellStyle name="Normal 4 2 4 10" xfId="5976" xr:uid="{D233CDC9-D97E-484D-97D2-111DA4241A70}"/>
    <cellStyle name="Normal 4 2 4 11" xfId="1672" xr:uid="{67180253-4587-494F-845B-E4255B42435D}"/>
    <cellStyle name="Normal 4 2 4 2" xfId="359" xr:uid="{00000000-0005-0000-0000-00006F020000}"/>
    <cellStyle name="Normal 4 2 4 2 10" xfId="1673" xr:uid="{AFE98D1E-99FB-456F-B957-615F65E3AA97}"/>
    <cellStyle name="Normal 4 2 4 2 2" xfId="360" xr:uid="{00000000-0005-0000-0000-000070020000}"/>
    <cellStyle name="Normal 4 2 4 2 2 2" xfId="361" xr:uid="{00000000-0005-0000-0000-000071020000}"/>
    <cellStyle name="Normal 4 2 4 2 2 2 2" xfId="842" xr:uid="{00000000-0005-0000-0000-000072020000}"/>
    <cellStyle name="Normal 4 2 4 2 2 2 2 2" xfId="4319" xr:uid="{DF4872E4-15F7-4A96-9DB3-F2ED58A16E4C}"/>
    <cellStyle name="Normal 4 2 4 2 2 2 2 2 2" xfId="8537" xr:uid="{C9E6C481-11A1-4D48-9011-FA3707CD4FFB}"/>
    <cellStyle name="Normal 4 2 4 2 2 2 2 3" xfId="6392" xr:uid="{F5128AA8-CD73-4510-92A8-472ABF82378A}"/>
    <cellStyle name="Normal 4 2 4 2 2 2 2 4" xfId="2090" xr:uid="{44ED02B7-CFA1-42E6-BF90-99C337481992}"/>
    <cellStyle name="Normal 4 2 4 2 2 2 3" xfId="1261" xr:uid="{0A71C508-C21F-45F9-A3F2-CB9FC920B5CC}"/>
    <cellStyle name="Normal 4 2 4 2 2 2 3 2" xfId="4732" xr:uid="{F88724BC-4EDB-48A0-BFED-5D88E1D16EE4}"/>
    <cellStyle name="Normal 4 2 4 2 2 2 3 2 2" xfId="8950" xr:uid="{8979828C-1C06-4A1B-9E64-6EACDD98DF9E}"/>
    <cellStyle name="Normal 4 2 4 2 2 2 3 3" xfId="6805" xr:uid="{F216F0ED-6862-49D0-943A-AABCC4B73AD5}"/>
    <cellStyle name="Normal 4 2 4 2 2 2 3 4" xfId="2503" xr:uid="{6544DD87-3F22-4FC3-8C04-A4903841110D}"/>
    <cellStyle name="Normal 4 2 4 2 2 2 4" xfId="2916" xr:uid="{643C9E9C-17F7-4BDF-A504-E436126E1E3F}"/>
    <cellStyle name="Normal 4 2 4 2 2 2 4 2" xfId="5145" xr:uid="{4A1C6024-0EB0-4BB0-83AE-7E66BEA81A79}"/>
    <cellStyle name="Normal 4 2 4 2 2 2 4 2 2" xfId="9363" xr:uid="{180D7980-0B47-4899-B797-71C15D33B016}"/>
    <cellStyle name="Normal 4 2 4 2 2 2 4 3" xfId="7218" xr:uid="{91D6C455-BFB6-4916-B963-1B81A5591EE3}"/>
    <cellStyle name="Normal 4 2 4 2 2 2 5" xfId="3329" xr:uid="{FB453650-2CB2-4BB0-BD3D-CAFD7174054A}"/>
    <cellStyle name="Normal 4 2 4 2 2 2 5 2" xfId="5558" xr:uid="{95D8D176-C5D3-4699-89E6-F16F379CF6B1}"/>
    <cellStyle name="Normal 4 2 4 2 2 2 5 2 2" xfId="9776" xr:uid="{515BDD30-6B2D-4672-B6D1-27ECAA9589E4}"/>
    <cellStyle name="Normal 4 2 4 2 2 2 5 3" xfId="7631" xr:uid="{2571AC48-DAF3-46A5-8250-1CCC2D63F858}"/>
    <cellStyle name="Normal 4 2 4 2 2 2 6" xfId="3765" xr:uid="{F534F925-3E58-4266-809F-910E66FBDC84}"/>
    <cellStyle name="Normal 4 2 4 2 2 2 6 2" xfId="8044" xr:uid="{C66BE9D8-A823-4280-BF91-2C8E30AD1DEB}"/>
    <cellStyle name="Normal 4 2 4 2 2 2 7" xfId="5979" xr:uid="{35A1DCF8-62B1-4C7E-A4D0-95B5E3460322}"/>
    <cellStyle name="Normal 4 2 4 2 2 2 8" xfId="1675" xr:uid="{95C29098-37FF-47C7-99AA-72C2114379E9}"/>
    <cellStyle name="Normal 4 2 4 2 2 3" xfId="841" xr:uid="{00000000-0005-0000-0000-000073020000}"/>
    <cellStyle name="Normal 4 2 4 2 2 3 2" xfId="4318" xr:uid="{8DC2A5E0-D369-4B18-8359-D40D18585CCB}"/>
    <cellStyle name="Normal 4 2 4 2 2 3 2 2" xfId="8536" xr:uid="{1F633225-53CE-45A1-914A-ABB92991C4CE}"/>
    <cellStyle name="Normal 4 2 4 2 2 3 3" xfId="6391" xr:uid="{B3DACA98-A23A-493A-A3B4-0D6BBB62472F}"/>
    <cellStyle name="Normal 4 2 4 2 2 3 4" xfId="2089" xr:uid="{E7AE9851-22A3-492E-935C-E5BE0E6D960E}"/>
    <cellStyle name="Normal 4 2 4 2 2 4" xfId="1260" xr:uid="{CC7E86B0-DB8D-4B79-891D-208E20FBAE73}"/>
    <cellStyle name="Normal 4 2 4 2 2 4 2" xfId="4731" xr:uid="{9EC983B5-CD95-47F9-A8A5-C1DAF5787586}"/>
    <cellStyle name="Normal 4 2 4 2 2 4 2 2" xfId="8949" xr:uid="{BADDEA27-BEAF-4AAB-9CC7-9F5460F28100}"/>
    <cellStyle name="Normal 4 2 4 2 2 4 3" xfId="6804" xr:uid="{8F19F892-BD43-43BD-AF82-2FF87F74EF92}"/>
    <cellStyle name="Normal 4 2 4 2 2 4 4" xfId="2502" xr:uid="{1230CF67-5B2F-4D18-BCA3-81D7BD70F0DB}"/>
    <cellStyle name="Normal 4 2 4 2 2 5" xfId="2915" xr:uid="{EE0ADF01-3B11-4610-8B7F-42BA49DA5218}"/>
    <cellStyle name="Normal 4 2 4 2 2 5 2" xfId="5144" xr:uid="{0196274C-5A1D-4573-802E-1672FCF6E8B1}"/>
    <cellStyle name="Normal 4 2 4 2 2 5 2 2" xfId="9362" xr:uid="{2760FD68-BFB0-4437-9B9B-AF2B956E5A29}"/>
    <cellStyle name="Normal 4 2 4 2 2 5 3" xfId="7217" xr:uid="{1789156F-C1D9-45AF-9584-B923154DFFD5}"/>
    <cellStyle name="Normal 4 2 4 2 2 6" xfId="3328" xr:uid="{4E2F2083-9592-4E65-8F0E-1D5FDBFB18E8}"/>
    <cellStyle name="Normal 4 2 4 2 2 6 2" xfId="5557" xr:uid="{A143B829-B77B-4D13-8937-CD94987EA7BB}"/>
    <cellStyle name="Normal 4 2 4 2 2 6 2 2" xfId="9775" xr:uid="{AAB57988-C181-44BE-98CE-45C584D6A42B}"/>
    <cellStyle name="Normal 4 2 4 2 2 6 3" xfId="7630" xr:uid="{6814221A-0F44-44DB-BCD5-4F9FA4E7AE75}"/>
    <cellStyle name="Normal 4 2 4 2 2 7" xfId="3764" xr:uid="{32B1E0E5-CA00-40EC-BD08-660E3ABF12BF}"/>
    <cellStyle name="Normal 4 2 4 2 2 7 2" xfId="8043" xr:uid="{82A88818-F71B-47D2-B396-F432C30C5FF8}"/>
    <cellStyle name="Normal 4 2 4 2 2 8" xfId="5978" xr:uid="{9C271EE7-5DFB-4060-B724-9EE0DF1B5D07}"/>
    <cellStyle name="Normal 4 2 4 2 2 9" xfId="1674" xr:uid="{C6661777-7075-48E8-AED8-302DE8418CAE}"/>
    <cellStyle name="Normal 4 2 4 2 3" xfId="362" xr:uid="{00000000-0005-0000-0000-000074020000}"/>
    <cellStyle name="Normal 4 2 4 2 3 2" xfId="843" xr:uid="{00000000-0005-0000-0000-000075020000}"/>
    <cellStyle name="Normal 4 2 4 2 3 2 2" xfId="4320" xr:uid="{309DC09F-9A6B-45C3-9BCC-26179BEA40F7}"/>
    <cellStyle name="Normal 4 2 4 2 3 2 2 2" xfId="8538" xr:uid="{C33E435C-98B7-48D3-B99F-18004742BB0B}"/>
    <cellStyle name="Normal 4 2 4 2 3 2 3" xfId="6393" xr:uid="{7AF29169-9E3E-45CB-9E5A-340EAAF83563}"/>
    <cellStyle name="Normal 4 2 4 2 3 2 4" xfId="2091" xr:uid="{89E62958-6B65-4799-BB06-7843E1B47329}"/>
    <cellStyle name="Normal 4 2 4 2 3 3" xfId="1262" xr:uid="{A3A55EC1-8532-4D4D-91EE-A3C85D992F54}"/>
    <cellStyle name="Normal 4 2 4 2 3 3 2" xfId="4733" xr:uid="{6D0062BA-7BC0-4007-BC83-4A25970B179A}"/>
    <cellStyle name="Normal 4 2 4 2 3 3 2 2" xfId="8951" xr:uid="{46F1E275-DCA6-4A45-887F-B4348769BD41}"/>
    <cellStyle name="Normal 4 2 4 2 3 3 3" xfId="6806" xr:uid="{10916A26-CE0A-42FD-9E56-4B757B9F065D}"/>
    <cellStyle name="Normal 4 2 4 2 3 3 4" xfId="2504" xr:uid="{44BE8179-E1F1-4A6E-99E3-0BDC6946A292}"/>
    <cellStyle name="Normal 4 2 4 2 3 4" xfId="2917" xr:uid="{6D874640-23D0-469C-AFCC-D2A26E66B781}"/>
    <cellStyle name="Normal 4 2 4 2 3 4 2" xfId="5146" xr:uid="{419D64A2-0196-4646-91ED-7FA9515C7C5D}"/>
    <cellStyle name="Normal 4 2 4 2 3 4 2 2" xfId="9364" xr:uid="{AF8EFF1D-384A-4054-8D2E-45DCD020659D}"/>
    <cellStyle name="Normal 4 2 4 2 3 4 3" xfId="7219" xr:uid="{17462EA9-C8D3-4F5B-98D4-A24C60541ED0}"/>
    <cellStyle name="Normal 4 2 4 2 3 5" xfId="3330" xr:uid="{C67B9E62-C136-47F2-8812-E7EDEA175F9D}"/>
    <cellStyle name="Normal 4 2 4 2 3 5 2" xfId="5559" xr:uid="{8678BA8C-3EE6-42AD-98AF-EA135BD002C2}"/>
    <cellStyle name="Normal 4 2 4 2 3 5 2 2" xfId="9777" xr:uid="{BB1C88CE-265E-448F-898A-1168A2D10C59}"/>
    <cellStyle name="Normal 4 2 4 2 3 5 3" xfId="7632" xr:uid="{0162B23B-D4C6-4149-8D78-9DDBFB1CB81C}"/>
    <cellStyle name="Normal 4 2 4 2 3 6" xfId="3766" xr:uid="{D07F3849-C900-44E2-9711-78B67C68D866}"/>
    <cellStyle name="Normal 4 2 4 2 3 6 2" xfId="8045" xr:uid="{31777256-1794-43CA-8EE9-B9006E49D899}"/>
    <cellStyle name="Normal 4 2 4 2 3 7" xfId="5980" xr:uid="{E969CA52-43D5-4B8D-BC4B-1B2171E25C78}"/>
    <cellStyle name="Normal 4 2 4 2 3 8" xfId="1676" xr:uid="{45250DEC-8A5F-4B12-A28A-600592155420}"/>
    <cellStyle name="Normal 4 2 4 2 4" xfId="840" xr:uid="{00000000-0005-0000-0000-000076020000}"/>
    <cellStyle name="Normal 4 2 4 2 4 2" xfId="4317" xr:uid="{A65A8756-22F9-46EE-BF56-C877F8042A5D}"/>
    <cellStyle name="Normal 4 2 4 2 4 2 2" xfId="8535" xr:uid="{18CFCF97-BDDA-4D16-B2D4-26CFE639D893}"/>
    <cellStyle name="Normal 4 2 4 2 4 3" xfId="6390" xr:uid="{0854EFD9-D7C8-4D09-84FD-66B8969A0A22}"/>
    <cellStyle name="Normal 4 2 4 2 4 4" xfId="2088" xr:uid="{74E44C91-3760-4EFB-98D1-A8C755DAD6D9}"/>
    <cellStyle name="Normal 4 2 4 2 5" xfId="1259" xr:uid="{A5D4EFDC-9402-432E-A542-61924AFA8E86}"/>
    <cellStyle name="Normal 4 2 4 2 5 2" xfId="4730" xr:uid="{EF69DBDF-695B-4D7F-B434-B7366868D69B}"/>
    <cellStyle name="Normal 4 2 4 2 5 2 2" xfId="8948" xr:uid="{B7292E09-9153-4ACB-83C9-3E1661E51241}"/>
    <cellStyle name="Normal 4 2 4 2 5 3" xfId="6803" xr:uid="{9684C4AD-0832-410B-B386-0B347EF39C1A}"/>
    <cellStyle name="Normal 4 2 4 2 5 4" xfId="2501" xr:uid="{472DFFD6-7C29-4A3B-81FB-B0F58F1906E7}"/>
    <cellStyle name="Normal 4 2 4 2 6" xfId="2914" xr:uid="{70A5BB0C-92D1-44A6-926E-D7D5F50BF939}"/>
    <cellStyle name="Normal 4 2 4 2 6 2" xfId="5143" xr:uid="{51EA4D91-E281-43D8-803A-97CB48DE65C9}"/>
    <cellStyle name="Normal 4 2 4 2 6 2 2" xfId="9361" xr:uid="{F136E329-BBCD-446E-A1FE-9B01E1621013}"/>
    <cellStyle name="Normal 4 2 4 2 6 3" xfId="7216" xr:uid="{F75C1A65-474B-4252-9DFD-CE183EA7D10F}"/>
    <cellStyle name="Normal 4 2 4 2 7" xfId="3327" xr:uid="{58655365-2406-40D4-859F-2890C313EF4B}"/>
    <cellStyle name="Normal 4 2 4 2 7 2" xfId="5556" xr:uid="{CCCD657C-8F57-4873-B085-BC96DCDD157D}"/>
    <cellStyle name="Normal 4 2 4 2 7 2 2" xfId="9774" xr:uid="{D66133CD-99DC-44FA-927B-2BDEA777C832}"/>
    <cellStyle name="Normal 4 2 4 2 7 3" xfId="7629" xr:uid="{5F251B89-F637-4816-9D70-FAD164EEE1FD}"/>
    <cellStyle name="Normal 4 2 4 2 8" xfId="3763" xr:uid="{6F3B8D57-7552-47FC-9E82-ECF7E39D5504}"/>
    <cellStyle name="Normal 4 2 4 2 8 2" xfId="8042" xr:uid="{6F517578-E5A5-4864-BB41-30B870121363}"/>
    <cellStyle name="Normal 4 2 4 2 9" xfId="5977" xr:uid="{95545263-2BC2-4F96-B675-1C851441B6BB}"/>
    <cellStyle name="Normal 4 2 4 3" xfId="363" xr:uid="{00000000-0005-0000-0000-000077020000}"/>
    <cellStyle name="Normal 4 2 4 3 2" xfId="364" xr:uid="{00000000-0005-0000-0000-000078020000}"/>
    <cellStyle name="Normal 4 2 4 3 2 2" xfId="845" xr:uid="{00000000-0005-0000-0000-000079020000}"/>
    <cellStyle name="Normal 4 2 4 3 2 2 2" xfId="4322" xr:uid="{8815F499-8F4D-40E7-BC54-ABDAF1DE3C31}"/>
    <cellStyle name="Normal 4 2 4 3 2 2 2 2" xfId="8540" xr:uid="{BAEBC659-3878-4AF9-A4B4-FC729134CABD}"/>
    <cellStyle name="Normal 4 2 4 3 2 2 3" xfId="6395" xr:uid="{68D8AEEF-CB74-4BEA-B1EF-CC1705F6A7AC}"/>
    <cellStyle name="Normal 4 2 4 3 2 2 4" xfId="2093" xr:uid="{79314062-B183-456E-B8AB-6C1B88125209}"/>
    <cellStyle name="Normal 4 2 4 3 2 3" xfId="1264" xr:uid="{DF962E72-376E-40FA-A6B8-411316A80AE1}"/>
    <cellStyle name="Normal 4 2 4 3 2 3 2" xfId="4735" xr:uid="{35C5EC03-FBF4-48A5-B5BE-134D1B5F7A04}"/>
    <cellStyle name="Normal 4 2 4 3 2 3 2 2" xfId="8953" xr:uid="{74431507-E744-4B9C-8426-0F7356BE9EDB}"/>
    <cellStyle name="Normal 4 2 4 3 2 3 3" xfId="6808" xr:uid="{E67FBE87-AB84-4BD9-B3C4-9FA56DCDB7A9}"/>
    <cellStyle name="Normal 4 2 4 3 2 3 4" xfId="2506" xr:uid="{7B6DFF3B-403F-42AA-B173-DF18E8794693}"/>
    <cellStyle name="Normal 4 2 4 3 2 4" xfId="2919" xr:uid="{0C1BD067-0FFD-4EE5-A0BA-114891D5E892}"/>
    <cellStyle name="Normal 4 2 4 3 2 4 2" xfId="5148" xr:uid="{3CF36325-F99F-4D32-B0BB-B8DBBB33C6BD}"/>
    <cellStyle name="Normal 4 2 4 3 2 4 2 2" xfId="9366" xr:uid="{6488B513-498F-4B4B-9763-99A8582801A9}"/>
    <cellStyle name="Normal 4 2 4 3 2 4 3" xfId="7221" xr:uid="{A154B3A3-16F5-4BB8-9BDF-1BD9F62A438E}"/>
    <cellStyle name="Normal 4 2 4 3 2 5" xfId="3332" xr:uid="{E3220C41-84BC-4985-9A7F-C1E6BAFC3272}"/>
    <cellStyle name="Normal 4 2 4 3 2 5 2" xfId="5561" xr:uid="{2FC78450-F431-47FA-8F83-8E36523C3A72}"/>
    <cellStyle name="Normal 4 2 4 3 2 5 2 2" xfId="9779" xr:uid="{B6061090-B144-43EF-80B4-89B4864EB75E}"/>
    <cellStyle name="Normal 4 2 4 3 2 5 3" xfId="7634" xr:uid="{47665DD4-A220-490D-9AB9-0C748B99B084}"/>
    <cellStyle name="Normal 4 2 4 3 2 6" xfId="3768" xr:uid="{555FB2FD-9941-48F2-877E-0084FCB4FF0C}"/>
    <cellStyle name="Normal 4 2 4 3 2 6 2" xfId="8047" xr:uid="{39DD2846-9E32-4652-89E5-D0F2CFE8A448}"/>
    <cellStyle name="Normal 4 2 4 3 2 7" xfId="5982" xr:uid="{8AFACB9D-698F-454F-B458-7B93CD907095}"/>
    <cellStyle name="Normal 4 2 4 3 2 8" xfId="1678" xr:uid="{58BB4135-3ADC-48F3-B57E-97495E7F3401}"/>
    <cellStyle name="Normal 4 2 4 3 3" xfId="844" xr:uid="{00000000-0005-0000-0000-00007A020000}"/>
    <cellStyle name="Normal 4 2 4 3 3 2" xfId="4321" xr:uid="{70A62B19-9D44-4F0E-A349-0026D45F2F8B}"/>
    <cellStyle name="Normal 4 2 4 3 3 2 2" xfId="8539" xr:uid="{2CF707F8-9B07-487F-ABC0-0F910830B6A7}"/>
    <cellStyle name="Normal 4 2 4 3 3 3" xfId="6394" xr:uid="{73FCB3F9-9D6D-4025-977A-61C2072F5D5B}"/>
    <cellStyle name="Normal 4 2 4 3 3 4" xfId="2092" xr:uid="{9016EB37-9180-4E34-BAE6-CAD9E05B739F}"/>
    <cellStyle name="Normal 4 2 4 3 4" xfId="1263" xr:uid="{F520B0E4-8128-4938-BBF8-754693A72C86}"/>
    <cellStyle name="Normal 4 2 4 3 4 2" xfId="4734" xr:uid="{F08606C7-D399-4B1A-8FA6-9C3725D5C16A}"/>
    <cellStyle name="Normal 4 2 4 3 4 2 2" xfId="8952" xr:uid="{322C8E8C-F843-49DB-A270-E7C549B353A4}"/>
    <cellStyle name="Normal 4 2 4 3 4 3" xfId="6807" xr:uid="{A27A856F-8A7A-4CA7-A735-A2096427253A}"/>
    <cellStyle name="Normal 4 2 4 3 4 4" xfId="2505" xr:uid="{024C3024-4B00-4A78-85FC-BFC5CEB26393}"/>
    <cellStyle name="Normal 4 2 4 3 5" xfId="2918" xr:uid="{888B7802-9248-4137-9D5A-78C62D749F20}"/>
    <cellStyle name="Normal 4 2 4 3 5 2" xfId="5147" xr:uid="{C2D39BC6-1993-4AE7-AEB2-1FA7C6D1EE78}"/>
    <cellStyle name="Normal 4 2 4 3 5 2 2" xfId="9365" xr:uid="{B539D37B-BD67-41CC-8C9D-10493110EDEB}"/>
    <cellStyle name="Normal 4 2 4 3 5 3" xfId="7220" xr:uid="{271C292E-7F8A-479D-8EB9-2F5ECA765871}"/>
    <cellStyle name="Normal 4 2 4 3 6" xfId="3331" xr:uid="{302843D1-523E-48EA-9259-637124190D12}"/>
    <cellStyle name="Normal 4 2 4 3 6 2" xfId="5560" xr:uid="{F899BDC3-817B-43B1-8C5A-F0802322F3E0}"/>
    <cellStyle name="Normal 4 2 4 3 6 2 2" xfId="9778" xr:uid="{FB2AEF04-E4BD-4C7C-B6D3-50002359E4A1}"/>
    <cellStyle name="Normal 4 2 4 3 6 3" xfId="7633" xr:uid="{CCEF6AF7-83F3-4928-AEE9-85E4BE43ED38}"/>
    <cellStyle name="Normal 4 2 4 3 7" xfId="3767" xr:uid="{AC545621-BE32-422C-A835-E1B2041BD12C}"/>
    <cellStyle name="Normal 4 2 4 3 7 2" xfId="8046" xr:uid="{1A02A7E4-B69E-4496-AED8-F71DEA97824D}"/>
    <cellStyle name="Normal 4 2 4 3 8" xfId="5981" xr:uid="{81D97B33-A2B6-4116-9F81-76026D6D49E4}"/>
    <cellStyle name="Normal 4 2 4 3 9" xfId="1677" xr:uid="{F787D319-FE69-4E7E-9DC8-8F1E05A86AB0}"/>
    <cellStyle name="Normal 4 2 4 4" xfId="365" xr:uid="{00000000-0005-0000-0000-00007B020000}"/>
    <cellStyle name="Normal 4 2 4 4 2" xfId="846" xr:uid="{00000000-0005-0000-0000-00007C020000}"/>
    <cellStyle name="Normal 4 2 4 4 2 2" xfId="4323" xr:uid="{BB201795-679C-4F91-8938-F674CB78AF63}"/>
    <cellStyle name="Normal 4 2 4 4 2 2 2" xfId="8541" xr:uid="{4B50A39B-0184-4990-AC69-C8A8135FF65C}"/>
    <cellStyle name="Normal 4 2 4 4 2 3" xfId="6396" xr:uid="{FDA57F23-4E9E-41F5-95F5-07451C39081F}"/>
    <cellStyle name="Normal 4 2 4 4 2 4" xfId="2094" xr:uid="{2483C1DB-4169-4575-BF96-4F6BDE161BD6}"/>
    <cellStyle name="Normal 4 2 4 4 3" xfId="1265" xr:uid="{E2E1ED09-C82D-4726-8887-EB3ED150539F}"/>
    <cellStyle name="Normal 4 2 4 4 3 2" xfId="4736" xr:uid="{EE82EB03-8B50-437D-943A-5F7B65CF628C}"/>
    <cellStyle name="Normal 4 2 4 4 3 2 2" xfId="8954" xr:uid="{5E666AE4-71F9-4B02-8263-3DE44448EA20}"/>
    <cellStyle name="Normal 4 2 4 4 3 3" xfId="6809" xr:uid="{A5FB79DC-4980-4F24-9190-2B13956A4919}"/>
    <cellStyle name="Normal 4 2 4 4 3 4" xfId="2507" xr:uid="{1CCB3AD0-4DAA-45B2-A683-327DE998A033}"/>
    <cellStyle name="Normal 4 2 4 4 4" xfId="2920" xr:uid="{D46DB90D-91ED-4242-BE05-F03E4E280AE4}"/>
    <cellStyle name="Normal 4 2 4 4 4 2" xfId="5149" xr:uid="{53DBAF03-AD98-4834-A020-2B227A589C3C}"/>
    <cellStyle name="Normal 4 2 4 4 4 2 2" xfId="9367" xr:uid="{A3495D6B-A796-4EF6-AA7A-BD2585A3F9BA}"/>
    <cellStyle name="Normal 4 2 4 4 4 3" xfId="7222" xr:uid="{6B4EF921-967B-4A99-B76F-FB85DA146097}"/>
    <cellStyle name="Normal 4 2 4 4 5" xfId="3333" xr:uid="{68FA1621-B9D7-460A-AB08-3CBE16AFB688}"/>
    <cellStyle name="Normal 4 2 4 4 5 2" xfId="5562" xr:uid="{92F7E9EC-0387-45B9-A775-72AE9AA7F9C3}"/>
    <cellStyle name="Normal 4 2 4 4 5 2 2" xfId="9780" xr:uid="{9EDBCE1A-45C6-4356-B124-80A7F7054BD6}"/>
    <cellStyle name="Normal 4 2 4 4 5 3" xfId="7635" xr:uid="{9432571A-55DA-4273-BCFB-E74140F34D80}"/>
    <cellStyle name="Normal 4 2 4 4 6" xfId="3769" xr:uid="{6ACF2292-F9AB-4DBB-91FC-58BBF0F5F7DD}"/>
    <cellStyle name="Normal 4 2 4 4 6 2" xfId="8048" xr:uid="{B9A9656D-F804-4D75-BB31-E9AA0557B394}"/>
    <cellStyle name="Normal 4 2 4 4 7" xfId="5983" xr:uid="{5D8E7089-47F7-4677-B117-AED560E58813}"/>
    <cellStyle name="Normal 4 2 4 4 8" xfId="1679" xr:uid="{EEA09E94-2C49-4D11-A982-855D3ECB0314}"/>
    <cellStyle name="Normal 4 2 4 5" xfId="839" xr:uid="{00000000-0005-0000-0000-00007D020000}"/>
    <cellStyle name="Normal 4 2 4 5 2" xfId="4316" xr:uid="{AEB61277-C94A-4C31-87EF-27ED09AAFBA8}"/>
    <cellStyle name="Normal 4 2 4 5 2 2" xfId="8534" xr:uid="{E74760DA-B42E-4962-8D47-7EEE102FFC6A}"/>
    <cellStyle name="Normal 4 2 4 5 3" xfId="6389" xr:uid="{00043F6B-DEC4-4D89-8B56-560016407CCA}"/>
    <cellStyle name="Normal 4 2 4 5 4" xfId="2087" xr:uid="{00FE8F73-DA80-4B53-B3FC-64E09F25C8C1}"/>
    <cellStyle name="Normal 4 2 4 6" xfId="1258" xr:uid="{30CC1DD7-7ED1-452A-8576-D91689A90AF3}"/>
    <cellStyle name="Normal 4 2 4 6 2" xfId="4729" xr:uid="{8CA29450-779F-436C-B1BD-E749B6B64FCA}"/>
    <cellStyle name="Normal 4 2 4 6 2 2" xfId="8947" xr:uid="{B6290A43-808D-460A-A654-C63DFD9CE79B}"/>
    <cellStyle name="Normal 4 2 4 6 3" xfId="6802" xr:uid="{8A6B1AE9-22C7-4CD4-8B8B-CC263E7426B3}"/>
    <cellStyle name="Normal 4 2 4 6 4" xfId="2500" xr:uid="{DF0853FC-8953-41C0-AA73-D7BF8904BAC6}"/>
    <cellStyle name="Normal 4 2 4 7" xfId="2913" xr:uid="{E6E091D3-A393-4EBD-BEB4-11C14197D744}"/>
    <cellStyle name="Normal 4 2 4 7 2" xfId="5142" xr:uid="{89C13AF2-D0D0-4C6A-9A63-57CCF2188936}"/>
    <cellStyle name="Normal 4 2 4 7 2 2" xfId="9360" xr:uid="{E3B6E670-F304-41B6-A9A4-C828E66E349E}"/>
    <cellStyle name="Normal 4 2 4 7 3" xfId="7215" xr:uid="{6AAEA98B-4BFE-413E-AA79-F2EAC1E988DF}"/>
    <cellStyle name="Normal 4 2 4 8" xfId="3326" xr:uid="{90A047D8-08C6-4BAC-809C-3790B3BC710E}"/>
    <cellStyle name="Normal 4 2 4 8 2" xfId="5555" xr:uid="{E0A43365-E45E-42BB-8902-B3B332A1E204}"/>
    <cellStyle name="Normal 4 2 4 8 2 2" xfId="9773" xr:uid="{273410EF-1EA9-49A6-B410-189BACE89A47}"/>
    <cellStyle name="Normal 4 2 4 8 3" xfId="7628" xr:uid="{445AC93D-112F-45DC-8A84-F9C7A3DD8592}"/>
    <cellStyle name="Normal 4 2 4 9" xfId="3762" xr:uid="{BDEC0954-7C78-4C95-B0AF-BF0A7D086C71}"/>
    <cellStyle name="Normal 4 2 4 9 2" xfId="8041" xr:uid="{8843AF35-CA38-4725-81F0-C71156B4F51C}"/>
    <cellStyle name="Normal 4 2 5" xfId="366" xr:uid="{00000000-0005-0000-0000-00007E020000}"/>
    <cellStyle name="Normal 4 2 5 2" xfId="367" xr:uid="{00000000-0005-0000-0000-00007F020000}"/>
    <cellStyle name="Normal 4 2 5 2 2" xfId="848" xr:uid="{00000000-0005-0000-0000-000080020000}"/>
    <cellStyle name="Normal 4 2 5 2 2 2" xfId="4325" xr:uid="{CFDAE94B-FE16-48F2-AA7F-6F3A11447048}"/>
    <cellStyle name="Normal 4 2 5 2 2 2 2" xfId="8543" xr:uid="{C87FA7F5-527C-4C13-8EDD-2B3C5B5408A0}"/>
    <cellStyle name="Normal 4 2 5 2 2 3" xfId="6398" xr:uid="{EE6FE33F-7003-4F2E-9BFE-01FA36064997}"/>
    <cellStyle name="Normal 4 2 5 2 2 4" xfId="2096" xr:uid="{7FA3FE57-346D-47A3-BD75-38EDAF4F78F6}"/>
    <cellStyle name="Normal 4 2 5 2 3" xfId="1267" xr:uid="{48185055-3994-4FE4-A530-565366A4A55C}"/>
    <cellStyle name="Normal 4 2 5 2 3 2" xfId="4738" xr:uid="{6731C34F-CECC-4055-96E1-97B791AC8B75}"/>
    <cellStyle name="Normal 4 2 5 2 3 2 2" xfId="8956" xr:uid="{C45195C3-B296-445B-B6E0-4339F6ABB83D}"/>
    <cellStyle name="Normal 4 2 5 2 3 3" xfId="6811" xr:uid="{88FD5D2E-BC59-4940-92D6-FD0F85D9FD41}"/>
    <cellStyle name="Normal 4 2 5 2 3 4" xfId="2509" xr:uid="{FF6A44B4-FA9C-47F0-B423-C22FA17F8A00}"/>
    <cellStyle name="Normal 4 2 5 2 4" xfId="2922" xr:uid="{D9DFCCEE-0366-4A6C-9D7F-D845DE63C2C5}"/>
    <cellStyle name="Normal 4 2 5 2 4 2" xfId="5151" xr:uid="{45F30226-4E44-41D7-A678-38B3FF150797}"/>
    <cellStyle name="Normal 4 2 5 2 4 2 2" xfId="9369" xr:uid="{328D5A26-520D-4A1D-8F65-C30C384C0895}"/>
    <cellStyle name="Normal 4 2 5 2 4 3" xfId="7224" xr:uid="{5801AEC4-CE48-45E5-84DD-CEB87C2E2639}"/>
    <cellStyle name="Normal 4 2 5 2 5" xfId="3335" xr:uid="{21BEBADC-5025-4A63-A188-5E416557F39B}"/>
    <cellStyle name="Normal 4 2 5 2 5 2" xfId="5564" xr:uid="{D8F820E8-E628-46DC-9DA3-2F9CA3299BB0}"/>
    <cellStyle name="Normal 4 2 5 2 5 2 2" xfId="9782" xr:uid="{A2297A31-22C3-45B6-8D6C-0AD2A8A047BA}"/>
    <cellStyle name="Normal 4 2 5 2 5 3" xfId="7637" xr:uid="{47266871-45BE-4FC4-A253-F5529717EDC2}"/>
    <cellStyle name="Normal 4 2 5 2 6" xfId="3771" xr:uid="{9B2C2C64-CE0E-452B-90B7-CD52364A24FF}"/>
    <cellStyle name="Normal 4 2 5 2 6 2" xfId="8050" xr:uid="{6C3BCC78-7D89-41BA-9D03-339705A73F4F}"/>
    <cellStyle name="Normal 4 2 5 2 7" xfId="5985" xr:uid="{EB57148E-A08B-46F7-8DB0-BC43E1453B65}"/>
    <cellStyle name="Normal 4 2 5 2 8" xfId="1681" xr:uid="{37989EFD-E21D-4A9C-ACCA-181B08785D02}"/>
    <cellStyle name="Normal 4 2 5 3" xfId="847" xr:uid="{00000000-0005-0000-0000-000081020000}"/>
    <cellStyle name="Normal 4 2 5 3 2" xfId="4324" xr:uid="{38949C02-F1B6-4A40-AD5F-0E26241423B3}"/>
    <cellStyle name="Normal 4 2 5 3 2 2" xfId="8542" xr:uid="{DF685D23-F137-4639-BF8A-59611D5BDAC6}"/>
    <cellStyle name="Normal 4 2 5 3 3" xfId="6397" xr:uid="{967072DE-34BA-49BA-B005-EC915C1AC008}"/>
    <cellStyle name="Normal 4 2 5 3 4" xfId="2095" xr:uid="{1DB137C2-44DE-4B4F-A6EE-4F82C853A06A}"/>
    <cellStyle name="Normal 4 2 5 4" xfId="1266" xr:uid="{D5E01417-0EC2-4594-81A4-22A4A3FA53A9}"/>
    <cellStyle name="Normal 4 2 5 4 2" xfId="4737" xr:uid="{D9A62EA0-C4A8-426C-914C-D8CD9DA9AE23}"/>
    <cellStyle name="Normal 4 2 5 4 2 2" xfId="8955" xr:uid="{A4A7E00A-1CB0-4F7E-8D48-A11E1D3483FA}"/>
    <cellStyle name="Normal 4 2 5 4 3" xfId="6810" xr:uid="{9328BD3E-ED6D-4D55-B803-A7E11DE5E86A}"/>
    <cellStyle name="Normal 4 2 5 4 4" xfId="2508" xr:uid="{E93B5285-850B-4F2B-92CB-F3595BEF89C3}"/>
    <cellStyle name="Normal 4 2 5 5" xfId="2921" xr:uid="{B23CD415-C452-4032-A1F9-F90430215E8E}"/>
    <cellStyle name="Normal 4 2 5 5 2" xfId="5150" xr:uid="{DC2E6FF7-7A7B-454E-AC73-E4D3F8A65109}"/>
    <cellStyle name="Normal 4 2 5 5 2 2" xfId="9368" xr:uid="{BB4DDD2C-32DB-44C8-8F40-B6B3DBE60264}"/>
    <cellStyle name="Normal 4 2 5 5 3" xfId="7223" xr:uid="{9E64A1C3-4053-4F84-A7F9-72BCE3F71A95}"/>
    <cellStyle name="Normal 4 2 5 6" xfId="3334" xr:uid="{5128F4CF-DB18-449C-9D94-911E68DB24B7}"/>
    <cellStyle name="Normal 4 2 5 6 2" xfId="5563" xr:uid="{6F9054EE-35CF-49B7-9BDE-92093BA50EC2}"/>
    <cellStyle name="Normal 4 2 5 6 2 2" xfId="9781" xr:uid="{57288AC3-B477-446C-ADBE-5FF09BF9DFA8}"/>
    <cellStyle name="Normal 4 2 5 6 3" xfId="7636" xr:uid="{CC16397D-16F1-46E1-B98F-F5A73DB0271D}"/>
    <cellStyle name="Normal 4 2 5 7" xfId="3770" xr:uid="{50D54189-5AAB-495C-BB19-AB0198C81510}"/>
    <cellStyle name="Normal 4 2 5 7 2" xfId="8049" xr:uid="{554024D5-0636-425F-8DCA-1953225EDBA5}"/>
    <cellStyle name="Normal 4 2 5 8" xfId="5984" xr:uid="{B63D275F-A927-41B3-B999-EA943747BEFD}"/>
    <cellStyle name="Normal 4 2 5 9" xfId="1680" xr:uid="{A7032A2E-16AE-41DD-941F-A00A30E89E60}"/>
    <cellStyle name="Normal 4 2 6" xfId="368" xr:uid="{00000000-0005-0000-0000-000082020000}"/>
    <cellStyle name="Normal 4 2 6 2" xfId="849" xr:uid="{00000000-0005-0000-0000-000083020000}"/>
    <cellStyle name="Normal 4 2 6 2 2" xfId="4326" xr:uid="{10848E1A-6383-4F21-AF0D-5D799353D8E7}"/>
    <cellStyle name="Normal 4 2 6 2 2 2" xfId="8544" xr:uid="{BD3B8C28-4120-46EB-BF3B-904E80A2EB79}"/>
    <cellStyle name="Normal 4 2 6 2 3" xfId="6399" xr:uid="{94CCFF45-AFB0-4D97-9545-6A12277302C2}"/>
    <cellStyle name="Normal 4 2 6 2 4" xfId="2097" xr:uid="{F743E799-24F8-472B-85FF-DA763301E2E6}"/>
    <cellStyle name="Normal 4 2 6 3" xfId="1268" xr:uid="{47A04834-C15A-48E7-9A06-AC9BD7F49400}"/>
    <cellStyle name="Normal 4 2 6 3 2" xfId="4739" xr:uid="{2C74070D-7568-4E4B-9E1D-CBB7CA766C7E}"/>
    <cellStyle name="Normal 4 2 6 3 2 2" xfId="8957" xr:uid="{FC8D9407-E7DE-47C6-A53C-24149AD90E7A}"/>
    <cellStyle name="Normal 4 2 6 3 3" xfId="6812" xr:uid="{F7438191-02F7-4AF9-8391-1F24D7B508B5}"/>
    <cellStyle name="Normal 4 2 6 3 4" xfId="2510" xr:uid="{9224F6CB-605E-4A55-9517-3399D23713B8}"/>
    <cellStyle name="Normal 4 2 6 4" xfId="2923" xr:uid="{D2AB0379-525A-429A-9712-542771CCEAF4}"/>
    <cellStyle name="Normal 4 2 6 4 2" xfId="5152" xr:uid="{7779B7A8-3D36-4FD7-9BEA-41C792155F06}"/>
    <cellStyle name="Normal 4 2 6 4 2 2" xfId="9370" xr:uid="{30519658-0147-431D-928A-9717C4F1ADF6}"/>
    <cellStyle name="Normal 4 2 6 4 3" xfId="7225" xr:uid="{1669E922-AA0B-4E4E-A751-7895CDCA7318}"/>
    <cellStyle name="Normal 4 2 6 5" xfId="3336" xr:uid="{FC218C8B-E442-465E-9CA2-C32E3A7C2DF4}"/>
    <cellStyle name="Normal 4 2 6 5 2" xfId="5565" xr:uid="{918895E0-D792-4C4E-9D63-C01F9776E8F0}"/>
    <cellStyle name="Normal 4 2 6 5 2 2" xfId="9783" xr:uid="{36AAB0DF-C23D-450E-B316-CC4B8D116F48}"/>
    <cellStyle name="Normal 4 2 6 5 3" xfId="7638" xr:uid="{F6D608C9-C66D-42A9-B20F-DC623B5F6423}"/>
    <cellStyle name="Normal 4 2 6 6" xfId="3772" xr:uid="{AD869931-B355-475A-80A4-ED254E9F208F}"/>
    <cellStyle name="Normal 4 2 6 6 2" xfId="8051" xr:uid="{3BEB2558-4E27-41DA-A95E-EF52D1D30069}"/>
    <cellStyle name="Normal 4 2 6 7" xfId="5986" xr:uid="{D3C6E69F-BE6A-43BC-904A-096231488683}"/>
    <cellStyle name="Normal 4 2 6 8" xfId="1682" xr:uid="{C75B2F80-3703-458B-B115-C6075C015482}"/>
    <cellStyle name="Normal 4 3" xfId="369" xr:uid="{00000000-0005-0000-0000-000084020000}"/>
    <cellStyle name="Normal 4 3 10" xfId="1683" xr:uid="{32C1CED3-9C2A-44DE-85D9-F0451F7F23D7}"/>
    <cellStyle name="Normal 4 3 2" xfId="370" xr:uid="{00000000-0005-0000-0000-000085020000}"/>
    <cellStyle name="Normal 4 3 2 2" xfId="371" xr:uid="{00000000-0005-0000-0000-000086020000}"/>
    <cellStyle name="Normal 4 3 2 2 2" xfId="372" xr:uid="{00000000-0005-0000-0000-000087020000}"/>
    <cellStyle name="Normal 4 3 2 2 2 10" xfId="1684" xr:uid="{0D6F78D4-DB71-4F65-A7AA-E32EB15224ED}"/>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4330" xr:uid="{68A83A6A-B5D3-4FF8-9929-FB58F14F6156}"/>
    <cellStyle name="Normal 4 3 2 2 2 2 2 2 2 2" xfId="8548" xr:uid="{65415E19-26D3-4F37-AEFE-D8BFC3384563}"/>
    <cellStyle name="Normal 4 3 2 2 2 2 2 2 3" xfId="6403" xr:uid="{0D1AE693-4437-4D1B-8816-65392A85F2B0}"/>
    <cellStyle name="Normal 4 3 2 2 2 2 2 2 4" xfId="2101" xr:uid="{640FE5E0-B82B-48F8-ACCC-DCAD5381E217}"/>
    <cellStyle name="Normal 4 3 2 2 2 2 2 3" xfId="1272" xr:uid="{530993FB-3B39-41FD-B0C0-D5654BAA3024}"/>
    <cellStyle name="Normal 4 3 2 2 2 2 2 3 2" xfId="4743" xr:uid="{C760EA18-5D13-46E9-963D-D5765CDB3A5B}"/>
    <cellStyle name="Normal 4 3 2 2 2 2 2 3 2 2" xfId="8961" xr:uid="{9617E08C-5ADE-46CC-B673-BA18F0F93F96}"/>
    <cellStyle name="Normal 4 3 2 2 2 2 2 3 3" xfId="6816" xr:uid="{874DD3BD-F090-41A0-987F-9E2C8C44BD44}"/>
    <cellStyle name="Normal 4 3 2 2 2 2 2 3 4" xfId="2514" xr:uid="{48DFDCDD-A0C6-4308-B916-4F37D1740E77}"/>
    <cellStyle name="Normal 4 3 2 2 2 2 2 4" xfId="2927" xr:uid="{143E8640-833F-4F95-BDE3-24117EDDBD94}"/>
    <cellStyle name="Normal 4 3 2 2 2 2 2 4 2" xfId="5156" xr:uid="{D70DA3F6-1F0A-424F-A115-3EFC8F21397A}"/>
    <cellStyle name="Normal 4 3 2 2 2 2 2 4 2 2" xfId="9374" xr:uid="{7AB935A0-BC0C-4067-A709-816890710339}"/>
    <cellStyle name="Normal 4 3 2 2 2 2 2 4 3" xfId="7229" xr:uid="{D5F961FB-EF35-4BAB-8557-0F0F7E8D8783}"/>
    <cellStyle name="Normal 4 3 2 2 2 2 2 5" xfId="3340" xr:uid="{2E6533CE-19A3-4CFA-86F8-B0778C21E18E}"/>
    <cellStyle name="Normal 4 3 2 2 2 2 2 5 2" xfId="5569" xr:uid="{0219DAD1-8D38-4742-8140-91164BC8063C}"/>
    <cellStyle name="Normal 4 3 2 2 2 2 2 5 2 2" xfId="9787" xr:uid="{93BCC0D7-5EAB-4C69-BA5E-CB23299083C0}"/>
    <cellStyle name="Normal 4 3 2 2 2 2 2 5 3" xfId="7642" xr:uid="{B563EF85-DA80-4791-8D7D-ED2EAF11CF92}"/>
    <cellStyle name="Normal 4 3 2 2 2 2 2 6" xfId="3776" xr:uid="{5FCC6843-E716-4BAC-A3C8-FE0A0D739788}"/>
    <cellStyle name="Normal 4 3 2 2 2 2 2 6 2" xfId="8055" xr:uid="{A14E739F-5303-4D2D-9404-A2B1799BD840}"/>
    <cellStyle name="Normal 4 3 2 2 2 2 2 7" xfId="5990" xr:uid="{1635CA93-C366-4D92-845C-7D43F81004DB}"/>
    <cellStyle name="Normal 4 3 2 2 2 2 2 8" xfId="1686" xr:uid="{20E2180C-1C85-4FBE-AAF3-F65CCD06585C}"/>
    <cellStyle name="Normal 4 3 2 2 2 2 3" xfId="853" xr:uid="{00000000-0005-0000-0000-00008B020000}"/>
    <cellStyle name="Normal 4 3 2 2 2 2 3 2" xfId="4329" xr:uid="{4E0DC0DD-41D0-4573-A08E-86260DECAB81}"/>
    <cellStyle name="Normal 4 3 2 2 2 2 3 2 2" xfId="8547" xr:uid="{16246E21-27EB-4251-81FF-6CA789742AED}"/>
    <cellStyle name="Normal 4 3 2 2 2 2 3 3" xfId="6402" xr:uid="{A52FDABE-8702-4B6B-822A-D8DC9735DC78}"/>
    <cellStyle name="Normal 4 3 2 2 2 2 3 4" xfId="2100" xr:uid="{54F8974D-4EF3-4DBD-8CA3-E313E306BAF5}"/>
    <cellStyle name="Normal 4 3 2 2 2 2 4" xfId="1271" xr:uid="{1BE7BCB6-2DE9-4242-BAED-7EDD9E4746BF}"/>
    <cellStyle name="Normal 4 3 2 2 2 2 4 2" xfId="4742" xr:uid="{6EB61A3D-65E1-4C29-A7A5-885943E13E2C}"/>
    <cellStyle name="Normal 4 3 2 2 2 2 4 2 2" xfId="8960" xr:uid="{C264B910-B2D4-4471-BBE3-7E942B442384}"/>
    <cellStyle name="Normal 4 3 2 2 2 2 4 3" xfId="6815" xr:uid="{5D20EE3E-71F8-47B3-B08D-0F962C1FAECD}"/>
    <cellStyle name="Normal 4 3 2 2 2 2 4 4" xfId="2513" xr:uid="{9388FF46-5564-4AB4-8928-4C4809600801}"/>
    <cellStyle name="Normal 4 3 2 2 2 2 5" xfId="2926" xr:uid="{9C9B9B44-0FA2-44B8-BF52-3E66715709B9}"/>
    <cellStyle name="Normal 4 3 2 2 2 2 5 2" xfId="5155" xr:uid="{F4541532-8AF2-4405-AB8D-F1391381419F}"/>
    <cellStyle name="Normal 4 3 2 2 2 2 5 2 2" xfId="9373" xr:uid="{9F8A157E-95EE-45BA-A68B-FE8AABBA7C8C}"/>
    <cellStyle name="Normal 4 3 2 2 2 2 5 3" xfId="7228" xr:uid="{876A583A-78A2-443D-800F-34DA2D53B8E1}"/>
    <cellStyle name="Normal 4 3 2 2 2 2 6" xfId="3339" xr:uid="{8F605F19-B30A-4772-ABAA-435BC6C02F1C}"/>
    <cellStyle name="Normal 4 3 2 2 2 2 6 2" xfId="5568" xr:uid="{529F6BEB-C47B-4A2B-B967-48E93960332C}"/>
    <cellStyle name="Normal 4 3 2 2 2 2 6 2 2" xfId="9786" xr:uid="{1FC793C7-8FDC-44C7-8295-3F102D7C0C0D}"/>
    <cellStyle name="Normal 4 3 2 2 2 2 6 3" xfId="7641" xr:uid="{4623F19E-5B3E-449A-83E2-09582F840C46}"/>
    <cellStyle name="Normal 4 3 2 2 2 2 7" xfId="3775" xr:uid="{F777D0B4-64DE-48CD-85DB-6AEBBF04647B}"/>
    <cellStyle name="Normal 4 3 2 2 2 2 7 2" xfId="8054" xr:uid="{78DB64B1-AADC-4EC1-9553-3C7E24C44EA1}"/>
    <cellStyle name="Normal 4 3 2 2 2 2 8" xfId="5989" xr:uid="{6A763A52-56A9-416B-B67B-38126C22347B}"/>
    <cellStyle name="Normal 4 3 2 2 2 2 9" xfId="1685" xr:uid="{0739DEE2-36A0-4037-9BB5-B03ACAB6624C}"/>
    <cellStyle name="Normal 4 3 2 2 2 3" xfId="375" xr:uid="{00000000-0005-0000-0000-00008C020000}"/>
    <cellStyle name="Normal 4 3 2 2 2 3 2" xfId="855" xr:uid="{00000000-0005-0000-0000-00008D020000}"/>
    <cellStyle name="Normal 4 3 2 2 2 3 2 2" xfId="4331" xr:uid="{EE16C2FC-7FBB-4F97-855D-4E0145AB3D1A}"/>
    <cellStyle name="Normal 4 3 2 2 2 3 2 2 2" xfId="8549" xr:uid="{273EC00D-D8B9-4B56-AF5C-1F0F1DA4988A}"/>
    <cellStyle name="Normal 4 3 2 2 2 3 2 3" xfId="6404" xr:uid="{4AA983E4-A58C-40D9-B525-BE3B087ADE87}"/>
    <cellStyle name="Normal 4 3 2 2 2 3 2 4" xfId="2102" xr:uid="{DA7A8741-8CD3-47FD-8C17-9CC83FAD8964}"/>
    <cellStyle name="Normal 4 3 2 2 2 3 3" xfId="1273" xr:uid="{9222AC7F-15A4-4390-9E29-A841B57D67A1}"/>
    <cellStyle name="Normal 4 3 2 2 2 3 3 2" xfId="4744" xr:uid="{9EE1187D-9736-4DC9-97E5-89092AB42E5B}"/>
    <cellStyle name="Normal 4 3 2 2 2 3 3 2 2" xfId="8962" xr:uid="{6D7C1B1B-7CA2-4128-84BB-D4EE4DBD54BE}"/>
    <cellStyle name="Normal 4 3 2 2 2 3 3 3" xfId="6817" xr:uid="{1FA81DB9-3637-4B21-84A6-65014CEFA83E}"/>
    <cellStyle name="Normal 4 3 2 2 2 3 3 4" xfId="2515" xr:uid="{BCD88F38-6CDC-4888-AFF1-8B0DE419AB31}"/>
    <cellStyle name="Normal 4 3 2 2 2 3 4" xfId="2928" xr:uid="{75C416DD-10DF-42FE-AD70-A56251B52EF8}"/>
    <cellStyle name="Normal 4 3 2 2 2 3 4 2" xfId="5157" xr:uid="{BAF6A13F-8198-4974-82BF-4668A788E200}"/>
    <cellStyle name="Normal 4 3 2 2 2 3 4 2 2" xfId="9375" xr:uid="{710AB616-3250-4849-BF69-4C92ADAF6924}"/>
    <cellStyle name="Normal 4 3 2 2 2 3 4 3" xfId="7230" xr:uid="{0756A21F-DAB7-4635-ADEB-BBA8ECB9FFD7}"/>
    <cellStyle name="Normal 4 3 2 2 2 3 5" xfId="3341" xr:uid="{8716CE27-4109-4EF6-B33D-55D201A3275E}"/>
    <cellStyle name="Normal 4 3 2 2 2 3 5 2" xfId="5570" xr:uid="{E21D9FB9-D553-470A-A020-ACA58AD1EE0F}"/>
    <cellStyle name="Normal 4 3 2 2 2 3 5 2 2" xfId="9788" xr:uid="{89A6E04D-81E9-4EAE-BDC8-F2E7D02779E9}"/>
    <cellStyle name="Normal 4 3 2 2 2 3 5 3" xfId="7643" xr:uid="{2D921A23-EEB1-499A-B9B0-467971200596}"/>
    <cellStyle name="Normal 4 3 2 2 2 3 6" xfId="3777" xr:uid="{D4101B23-9CDA-4311-9378-B5A66425688F}"/>
    <cellStyle name="Normal 4 3 2 2 2 3 6 2" xfId="8056" xr:uid="{70369BC3-5CB7-4B13-91EA-FA14402418B0}"/>
    <cellStyle name="Normal 4 3 2 2 2 3 7" xfId="5991" xr:uid="{8A38D395-1F31-4D98-9F74-1D0C29FA80A8}"/>
    <cellStyle name="Normal 4 3 2 2 2 3 8" xfId="1687" xr:uid="{7D839D79-0C01-4246-A9B5-1743B2A5A3E1}"/>
    <cellStyle name="Normal 4 3 2 2 2 4" xfId="852" xr:uid="{00000000-0005-0000-0000-00008E020000}"/>
    <cellStyle name="Normal 4 3 2 2 2 4 2" xfId="4328" xr:uid="{1B0BA236-EADE-432F-B4D5-FF0AF1FDD140}"/>
    <cellStyle name="Normal 4 3 2 2 2 4 2 2" xfId="8546" xr:uid="{22D77361-9493-4F1D-B7DF-95BCFEE1709A}"/>
    <cellStyle name="Normal 4 3 2 2 2 4 3" xfId="6401" xr:uid="{CCF9F6EC-BFF5-4276-B8DF-0F4FBD047DA5}"/>
    <cellStyle name="Normal 4 3 2 2 2 4 4" xfId="2099" xr:uid="{73629EE5-C209-4FAA-A6D3-0E6A7E57E071}"/>
    <cellStyle name="Normal 4 3 2 2 2 5" xfId="1270" xr:uid="{650B2874-8C02-4886-BE95-FE2BAAE97AE4}"/>
    <cellStyle name="Normal 4 3 2 2 2 5 2" xfId="4741" xr:uid="{0E41312B-0805-4D05-A0EB-5B2FECE1C686}"/>
    <cellStyle name="Normal 4 3 2 2 2 5 2 2" xfId="8959" xr:uid="{B6E94FE5-896A-4FF0-B9C5-5CBB43263C62}"/>
    <cellStyle name="Normal 4 3 2 2 2 5 3" xfId="6814" xr:uid="{8507BE47-77E8-4B10-B5A0-DE3EC39AF227}"/>
    <cellStyle name="Normal 4 3 2 2 2 5 4" xfId="2512" xr:uid="{9C4B107D-3C44-41A6-9571-AA45E839BEDB}"/>
    <cellStyle name="Normal 4 3 2 2 2 6" xfId="2925" xr:uid="{CB64E72A-015F-4210-8D81-87B4E8D57A37}"/>
    <cellStyle name="Normal 4 3 2 2 2 6 2" xfId="5154" xr:uid="{B4195D97-3AFE-4F16-9F1B-CB025AB48866}"/>
    <cellStyle name="Normal 4 3 2 2 2 6 2 2" xfId="9372" xr:uid="{F802B746-53CB-429A-AEC8-5C4D2D365396}"/>
    <cellStyle name="Normal 4 3 2 2 2 6 3" xfId="7227" xr:uid="{A0DC3CF1-D6A2-486D-B154-22AA2CC9A995}"/>
    <cellStyle name="Normal 4 3 2 2 2 7" xfId="3338" xr:uid="{F2002E19-1C60-4FA0-BB2D-B436F752D1F5}"/>
    <cellStyle name="Normal 4 3 2 2 2 7 2" xfId="5567" xr:uid="{D9D722CD-9F45-475E-9966-23043987694A}"/>
    <cellStyle name="Normal 4 3 2 2 2 7 2 2" xfId="9785" xr:uid="{1FE86559-8703-421D-BABA-22230E40E7D2}"/>
    <cellStyle name="Normal 4 3 2 2 2 7 3" xfId="7640" xr:uid="{2ADCB085-1AD4-4052-B073-BFE43D983181}"/>
    <cellStyle name="Normal 4 3 2 2 2 8" xfId="3774" xr:uid="{4B5E774B-8833-4DDA-8D82-4462688DF0E5}"/>
    <cellStyle name="Normal 4 3 2 2 2 8 2" xfId="8053" xr:uid="{9CD5DDC8-56F3-4B1D-A604-EA1D0FED5E92}"/>
    <cellStyle name="Normal 4 3 2 2 2 9" xfId="5988" xr:uid="{53F3A98B-2892-47B1-A582-8AA6A39D8716}"/>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1688" xr:uid="{436D9BA0-5562-4BCF-BE57-F459E780CBA4}"/>
    <cellStyle name="Normal 4 3 3 2" xfId="378" xr:uid="{00000000-0005-0000-0000-000093020000}"/>
    <cellStyle name="Normal 4 3 3 2 2" xfId="379" xr:uid="{00000000-0005-0000-0000-000094020000}"/>
    <cellStyle name="Normal 4 3 3 2 2 2" xfId="859" xr:uid="{00000000-0005-0000-0000-000095020000}"/>
    <cellStyle name="Normal 4 3 3 2 2 2 2" xfId="4334" xr:uid="{411A1F21-5919-4535-9D28-DF3B0BC2D1B5}"/>
    <cellStyle name="Normal 4 3 3 2 2 2 2 2" xfId="8552" xr:uid="{C1B8B4BE-8B24-40A9-A245-2112E0C4275E}"/>
    <cellStyle name="Normal 4 3 3 2 2 2 3" xfId="6407" xr:uid="{7DF485F3-1368-4C61-B35F-10198D7F783A}"/>
    <cellStyle name="Normal 4 3 3 2 2 2 4" xfId="2105" xr:uid="{B852B99F-D44C-4B27-9D2D-7533E8D3FB73}"/>
    <cellStyle name="Normal 4 3 3 2 2 3" xfId="1276" xr:uid="{67FE0F88-9B70-4363-A30C-DF646765AE79}"/>
    <cellStyle name="Normal 4 3 3 2 2 3 2" xfId="4747" xr:uid="{70BAD4DE-5347-4353-AEED-656E668F7DB9}"/>
    <cellStyle name="Normal 4 3 3 2 2 3 2 2" xfId="8965" xr:uid="{806B8FDE-575E-4761-A84E-6D322734CE42}"/>
    <cellStyle name="Normal 4 3 3 2 2 3 3" xfId="6820" xr:uid="{176390B3-F8CF-47F9-AF7A-5805D77269CB}"/>
    <cellStyle name="Normal 4 3 3 2 2 3 4" xfId="2518" xr:uid="{6F57A2E8-1BCC-48DE-81D9-27BB27278F5D}"/>
    <cellStyle name="Normal 4 3 3 2 2 4" xfId="2931" xr:uid="{71E41275-1C00-42BD-99E8-3382471DAFC1}"/>
    <cellStyle name="Normal 4 3 3 2 2 4 2" xfId="5160" xr:uid="{BE702B7C-1327-4045-A256-9CC5EE6AFBBD}"/>
    <cellStyle name="Normal 4 3 3 2 2 4 2 2" xfId="9378" xr:uid="{61279A16-9BDA-4CAF-A70C-5427EA2C0AA6}"/>
    <cellStyle name="Normal 4 3 3 2 2 4 3" xfId="7233" xr:uid="{00505EFD-BB2C-4DA0-A0FC-2017F762689D}"/>
    <cellStyle name="Normal 4 3 3 2 2 5" xfId="3344" xr:uid="{8D03A8E5-3EC9-4901-BF9B-E4F3C3EEA13D}"/>
    <cellStyle name="Normal 4 3 3 2 2 5 2" xfId="5573" xr:uid="{C3931394-D481-4205-8A1D-C8DC54EC4414}"/>
    <cellStyle name="Normal 4 3 3 2 2 5 2 2" xfId="9791" xr:uid="{CF6A91F4-EBB4-4838-81B4-5BABFFD241AC}"/>
    <cellStyle name="Normal 4 3 3 2 2 5 3" xfId="7646" xr:uid="{B4D49927-22DF-48BE-8801-10AF468EFB8B}"/>
    <cellStyle name="Normal 4 3 3 2 2 6" xfId="3780" xr:uid="{2DD47C27-8FBA-4A9E-9F90-8EDAC5F85B7D}"/>
    <cellStyle name="Normal 4 3 3 2 2 6 2" xfId="8059" xr:uid="{4309CE8A-0F8F-4AE4-9A35-C4BB7AA2AA76}"/>
    <cellStyle name="Normal 4 3 3 2 2 7" xfId="5994" xr:uid="{551EE04B-C66E-4DE2-9142-1A5EAD969DDD}"/>
    <cellStyle name="Normal 4 3 3 2 2 8" xfId="1690" xr:uid="{C1C4CFED-5585-4137-89E7-E318B4588B3E}"/>
    <cellStyle name="Normal 4 3 3 2 3" xfId="858" xr:uid="{00000000-0005-0000-0000-000096020000}"/>
    <cellStyle name="Normal 4 3 3 2 3 2" xfId="4333" xr:uid="{F3165983-8E82-4A13-9564-DCBCCB615079}"/>
    <cellStyle name="Normal 4 3 3 2 3 2 2" xfId="8551" xr:uid="{6AC55E99-A595-4483-9396-091AD94276C8}"/>
    <cellStyle name="Normal 4 3 3 2 3 3" xfId="6406" xr:uid="{194EC977-D763-498B-A20E-3D4AD8C29299}"/>
    <cellStyle name="Normal 4 3 3 2 3 4" xfId="2104" xr:uid="{49545B13-13DC-462E-887C-1F36E4E04D0C}"/>
    <cellStyle name="Normal 4 3 3 2 4" xfId="1275" xr:uid="{EE3C3FB6-8097-4C08-A2E3-8633032CC4A1}"/>
    <cellStyle name="Normal 4 3 3 2 4 2" xfId="4746" xr:uid="{64F0B019-06A5-4F68-AC90-F1E7CFFECE53}"/>
    <cellStyle name="Normal 4 3 3 2 4 2 2" xfId="8964" xr:uid="{680887C1-B5C4-4AA7-AA09-541A84C50F24}"/>
    <cellStyle name="Normal 4 3 3 2 4 3" xfId="6819" xr:uid="{0CBD944A-DBB4-4FF2-AB01-2009B873782D}"/>
    <cellStyle name="Normal 4 3 3 2 4 4" xfId="2517" xr:uid="{5813F840-FCB9-4BAB-894A-BFF0AD1B817C}"/>
    <cellStyle name="Normal 4 3 3 2 5" xfId="2930" xr:uid="{198FD07D-FA3C-4853-9965-C61F50A87EF1}"/>
    <cellStyle name="Normal 4 3 3 2 5 2" xfId="5159" xr:uid="{4902AFDA-1B9F-42B0-BC88-B60762881BB4}"/>
    <cellStyle name="Normal 4 3 3 2 5 2 2" xfId="9377" xr:uid="{FA2BF543-F4E3-49A6-9185-F0AF5AB943A6}"/>
    <cellStyle name="Normal 4 3 3 2 5 3" xfId="7232" xr:uid="{C8D26747-CDA9-4444-A131-3C64CDEAF139}"/>
    <cellStyle name="Normal 4 3 3 2 6" xfId="3343" xr:uid="{12D1898C-5C55-4DA7-B5A8-D319065F8811}"/>
    <cellStyle name="Normal 4 3 3 2 6 2" xfId="5572" xr:uid="{8CB40334-8B2D-4E70-ACB5-B057C9FF3A70}"/>
    <cellStyle name="Normal 4 3 3 2 6 2 2" xfId="9790" xr:uid="{EAB280B9-A5AA-4760-BA8C-948BA88CEEBA}"/>
    <cellStyle name="Normal 4 3 3 2 6 3" xfId="7645" xr:uid="{AB6E9933-B121-4A55-A606-45DAA5A66BAD}"/>
    <cellStyle name="Normal 4 3 3 2 7" xfId="3779" xr:uid="{D7603019-5726-44E5-B3DF-F823CF922DA3}"/>
    <cellStyle name="Normal 4 3 3 2 7 2" xfId="8058" xr:uid="{83E64928-E591-41C2-8487-D1D4F606BCD6}"/>
    <cellStyle name="Normal 4 3 3 2 8" xfId="5993" xr:uid="{D1633D8B-8382-4C23-8E9F-8DFC6583BFEC}"/>
    <cellStyle name="Normal 4 3 3 2 9" xfId="1689" xr:uid="{1B5B1397-79C0-4CDC-8100-6B93157A7E67}"/>
    <cellStyle name="Normal 4 3 3 3" xfId="380" xr:uid="{00000000-0005-0000-0000-000097020000}"/>
    <cellStyle name="Normal 4 3 3 3 2" xfId="860" xr:uid="{00000000-0005-0000-0000-000098020000}"/>
    <cellStyle name="Normal 4 3 3 3 2 2" xfId="4335" xr:uid="{20505611-B7EC-43C2-BF2C-D2AF31FE9267}"/>
    <cellStyle name="Normal 4 3 3 3 2 2 2" xfId="8553" xr:uid="{9CFC7541-E594-4630-B934-8EACDF7818D1}"/>
    <cellStyle name="Normal 4 3 3 3 2 3" xfId="6408" xr:uid="{9601B446-E305-48D0-9F60-2017267E01B5}"/>
    <cellStyle name="Normal 4 3 3 3 2 4" xfId="2106" xr:uid="{C73B62B6-55BD-4B1C-A9BA-EE643AF956D4}"/>
    <cellStyle name="Normal 4 3 3 3 3" xfId="1277" xr:uid="{724AD628-F027-4CEE-8030-1771C6760F77}"/>
    <cellStyle name="Normal 4 3 3 3 3 2" xfId="4748" xr:uid="{597FE7D5-94A6-4704-B9F4-C53900C4446F}"/>
    <cellStyle name="Normal 4 3 3 3 3 2 2" xfId="8966" xr:uid="{8AC3B00A-D756-49E0-AE48-62E320382B00}"/>
    <cellStyle name="Normal 4 3 3 3 3 3" xfId="6821" xr:uid="{BA7E3090-A6CA-4ED6-ABFB-47B027172B18}"/>
    <cellStyle name="Normal 4 3 3 3 3 4" xfId="2519" xr:uid="{D7485CC2-FD65-4568-AAD4-6C60EB020572}"/>
    <cellStyle name="Normal 4 3 3 3 4" xfId="2932" xr:uid="{AA4CCD29-9F03-4535-BC84-C8E80CF8E507}"/>
    <cellStyle name="Normal 4 3 3 3 4 2" xfId="5161" xr:uid="{E958955A-DD40-4E0E-88D9-5CE749922216}"/>
    <cellStyle name="Normal 4 3 3 3 4 2 2" xfId="9379" xr:uid="{E3FC03DB-5A5D-4EED-852D-F4331F3BC855}"/>
    <cellStyle name="Normal 4 3 3 3 4 3" xfId="7234" xr:uid="{23DEE464-5733-42A8-8977-D43392E5E8B1}"/>
    <cellStyle name="Normal 4 3 3 3 5" xfId="3345" xr:uid="{54208A6D-A993-44BF-B5BC-76036F1E0901}"/>
    <cellStyle name="Normal 4 3 3 3 5 2" xfId="5574" xr:uid="{7032E77B-1675-43BF-B3D3-DD89D4E0AE26}"/>
    <cellStyle name="Normal 4 3 3 3 5 2 2" xfId="9792" xr:uid="{EB9577F9-B134-4E91-8B8C-C947AFA49B62}"/>
    <cellStyle name="Normal 4 3 3 3 5 3" xfId="7647" xr:uid="{94123916-9564-40BB-99B2-718C7444C48C}"/>
    <cellStyle name="Normal 4 3 3 3 6" xfId="3781" xr:uid="{600072E5-7948-428D-BC9F-1BCF98084019}"/>
    <cellStyle name="Normal 4 3 3 3 6 2" xfId="8060" xr:uid="{47C36D94-6667-42F3-A0FD-06B42AA42155}"/>
    <cellStyle name="Normal 4 3 3 3 7" xfId="5995" xr:uid="{84AD1DDE-7D14-4E0C-BD65-19AB735F236D}"/>
    <cellStyle name="Normal 4 3 3 3 8" xfId="1691" xr:uid="{B767F4BC-95AC-4154-8878-F2314759BB98}"/>
    <cellStyle name="Normal 4 3 3 4" xfId="857" xr:uid="{00000000-0005-0000-0000-000099020000}"/>
    <cellStyle name="Normal 4 3 3 4 2" xfId="4332" xr:uid="{538726A3-75E1-4C73-B38E-42BE941D6115}"/>
    <cellStyle name="Normal 4 3 3 4 2 2" xfId="8550" xr:uid="{E5EA0BEF-21AF-4C28-BE79-C5F0584EFD45}"/>
    <cellStyle name="Normal 4 3 3 4 3" xfId="6405" xr:uid="{86147184-CB1F-42F4-9AB3-421A1AF28765}"/>
    <cellStyle name="Normal 4 3 3 4 4" xfId="2103" xr:uid="{FAA3E024-470E-4A92-86CF-D1BD2E45A903}"/>
    <cellStyle name="Normal 4 3 3 5" xfId="1274" xr:uid="{899964F9-AFC5-4C07-A034-F66B2D3A1F04}"/>
    <cellStyle name="Normal 4 3 3 5 2" xfId="4745" xr:uid="{C4E07BBD-F612-4808-A1C0-B0CDB563D2C3}"/>
    <cellStyle name="Normal 4 3 3 5 2 2" xfId="8963" xr:uid="{B0248A2F-3DF0-4B17-AEAA-59B3A03C28EF}"/>
    <cellStyle name="Normal 4 3 3 5 3" xfId="6818" xr:uid="{D5BDAB50-FE29-4803-B927-A470C180DDB8}"/>
    <cellStyle name="Normal 4 3 3 5 4" xfId="2516" xr:uid="{740C2614-8A70-46BC-AA0B-688D9E91F6B4}"/>
    <cellStyle name="Normal 4 3 3 6" xfId="2929" xr:uid="{A3302E52-1E7A-4C48-B8E8-823962CA709A}"/>
    <cellStyle name="Normal 4 3 3 6 2" xfId="5158" xr:uid="{25ACE8A0-B9BC-4CD6-B8E9-846B0CA416B1}"/>
    <cellStyle name="Normal 4 3 3 6 2 2" xfId="9376" xr:uid="{C20E5089-15A9-467F-B60E-9A6C6B5167DC}"/>
    <cellStyle name="Normal 4 3 3 6 3" xfId="7231" xr:uid="{AFD883F1-31DD-4997-810E-0B245F8EC2BD}"/>
    <cellStyle name="Normal 4 3 3 7" xfId="3342" xr:uid="{A3F81316-9BDB-4CEA-A191-0CCBAABB675D}"/>
    <cellStyle name="Normal 4 3 3 7 2" xfId="5571" xr:uid="{E994FBDE-B4B1-43C3-AC46-CC53E4E9AED8}"/>
    <cellStyle name="Normal 4 3 3 7 2 2" xfId="9789" xr:uid="{A2096079-FCCC-4EF9-B6E0-AD4AE7F56FB8}"/>
    <cellStyle name="Normal 4 3 3 7 3" xfId="7644" xr:uid="{CBECE45F-7171-4A5C-B23E-5AB093E94C1D}"/>
    <cellStyle name="Normal 4 3 3 8" xfId="3778" xr:uid="{2E284E6F-842F-4CD1-9EC6-9B9EAF223BDB}"/>
    <cellStyle name="Normal 4 3 3 8 2" xfId="8057" xr:uid="{B6322FF1-7FB8-49D0-8160-2E68CA334692}"/>
    <cellStyle name="Normal 4 3 3 9" xfId="5992" xr:uid="{B0D9EB56-C48C-4923-BE60-738CA6D21A83}"/>
    <cellStyle name="Normal 4 3 4" xfId="850" xr:uid="{00000000-0005-0000-0000-00009A020000}"/>
    <cellStyle name="Normal 4 3 4 2" xfId="4327" xr:uid="{002A3E18-4833-4D01-9117-1E2790FFECF8}"/>
    <cellStyle name="Normal 4 3 4 2 2" xfId="8545" xr:uid="{A0D18A61-B6C5-4B13-99B9-F67C11A5FB71}"/>
    <cellStyle name="Normal 4 3 4 3" xfId="6400" xr:uid="{92B91195-299C-46AE-B6E3-0D79EAF27D47}"/>
    <cellStyle name="Normal 4 3 4 4" xfId="2098" xr:uid="{0BC878FF-0636-4CBA-AA35-909AD1EFAB71}"/>
    <cellStyle name="Normal 4 3 5" xfId="1269" xr:uid="{B0A53D2A-3C62-4A2F-9401-71FE696B7C96}"/>
    <cellStyle name="Normal 4 3 5 2" xfId="4740" xr:uid="{57525F8B-BCC9-46FF-BF16-9FF7AAEB42E0}"/>
    <cellStyle name="Normal 4 3 5 2 2" xfId="8958" xr:uid="{292056FF-3D24-4A4D-B6CD-FB9B7AF23A07}"/>
    <cellStyle name="Normal 4 3 5 3" xfId="6813" xr:uid="{5A0D9FE3-34A7-4054-BBE1-8DDBC7F90F64}"/>
    <cellStyle name="Normal 4 3 5 4" xfId="2511" xr:uid="{A20068FA-15D1-40C1-8791-19BEEB34FBD6}"/>
    <cellStyle name="Normal 4 3 6" xfId="2924" xr:uid="{3A9E545B-056D-453F-8FBB-9B1176744A87}"/>
    <cellStyle name="Normal 4 3 6 2" xfId="5153" xr:uid="{EDC6BFA3-C572-4F08-A41E-382F0509A930}"/>
    <cellStyle name="Normal 4 3 6 2 2" xfId="9371" xr:uid="{3FC88FF2-C978-49C6-935C-CC5860B54E97}"/>
    <cellStyle name="Normal 4 3 6 3" xfId="7226" xr:uid="{0F30E11B-DDF2-4A9A-BA30-AA2856B35EFB}"/>
    <cellStyle name="Normal 4 3 7" xfId="3337" xr:uid="{CF74796D-5E8A-4810-B7B0-1766AF591352}"/>
    <cellStyle name="Normal 4 3 7 2" xfId="5566" xr:uid="{36B8492A-C479-4743-985A-EDE289E60A6B}"/>
    <cellStyle name="Normal 4 3 7 2 2" xfId="9784" xr:uid="{465582D5-5652-4545-8A69-9D57EFD1ABE2}"/>
    <cellStyle name="Normal 4 3 7 3" xfId="7639" xr:uid="{B601B13A-5415-4B40-A59F-1D24D725B687}"/>
    <cellStyle name="Normal 4 3 8" xfId="3773" xr:uid="{C27AF578-FBB5-4740-856D-A3B1AEF2D508}"/>
    <cellStyle name="Normal 4 3 8 2" xfId="8052" xr:uid="{52B8F3EE-FC2B-40C6-B2C7-20E629EB1F26}"/>
    <cellStyle name="Normal 4 3 9" xfId="5987" xr:uid="{FA57B4EB-C40D-4285-A46C-1A08EB718D2E}"/>
    <cellStyle name="Normal 4 4" xfId="381" xr:uid="{00000000-0005-0000-0000-00009B020000}"/>
    <cellStyle name="Normal 4 4 10" xfId="3782" xr:uid="{899C2579-43D8-4765-993F-6EABC2CA655D}"/>
    <cellStyle name="Normal 4 4 10 2" xfId="8061" xr:uid="{E0F7247F-5A4F-432C-A59A-CE8E87CFE52D}"/>
    <cellStyle name="Normal 4 4 11" xfId="5996" xr:uid="{BFD7C007-A0FD-4521-AD68-27D99518A054}"/>
    <cellStyle name="Normal 4 4 12" xfId="1692" xr:uid="{1551D28A-8D09-45E8-ABCB-30EDC7ECC254}"/>
    <cellStyle name="Normal 4 4 2" xfId="382" xr:uid="{00000000-0005-0000-0000-00009C020000}"/>
    <cellStyle name="Normal 4 4 2 10" xfId="5997" xr:uid="{8204C5B0-650E-431B-BEDC-7E83A40264A3}"/>
    <cellStyle name="Normal 4 4 2 11" xfId="1693" xr:uid="{E9544C30-D9A8-4FDC-AA62-A8736D60E072}"/>
    <cellStyle name="Normal 4 4 2 2" xfId="383" xr:uid="{00000000-0005-0000-0000-00009D020000}"/>
    <cellStyle name="Normal 4 4 2 2 10" xfId="1694" xr:uid="{9CA1AED8-B9FF-4C6D-AE65-0D926C4BFC17}"/>
    <cellStyle name="Normal 4 4 2 2 2" xfId="384" xr:uid="{00000000-0005-0000-0000-00009E020000}"/>
    <cellStyle name="Normal 4 4 2 2 2 2" xfId="385" xr:uid="{00000000-0005-0000-0000-00009F020000}"/>
    <cellStyle name="Normal 4 4 2 2 2 2 2" xfId="865" xr:uid="{00000000-0005-0000-0000-0000A0020000}"/>
    <cellStyle name="Normal 4 4 2 2 2 2 2 2" xfId="4340" xr:uid="{F217527B-0DA7-4BA5-B558-2A240EAE6ABF}"/>
    <cellStyle name="Normal 4 4 2 2 2 2 2 2 2" xfId="8558" xr:uid="{E58B24D8-9984-4261-AC44-289F7BB150D3}"/>
    <cellStyle name="Normal 4 4 2 2 2 2 2 3" xfId="6413" xr:uid="{67B87659-3A70-4A07-BE9F-FC294AF9F1DB}"/>
    <cellStyle name="Normal 4 4 2 2 2 2 2 4" xfId="2111" xr:uid="{FB9F7E96-FB29-4C55-8E55-9227AD96FC4C}"/>
    <cellStyle name="Normal 4 4 2 2 2 2 3" xfId="1282" xr:uid="{F9DB6909-2DA9-4239-893D-BB9068624457}"/>
    <cellStyle name="Normal 4 4 2 2 2 2 3 2" xfId="4753" xr:uid="{E36DAB18-FB2A-4F62-A80C-705D50C92756}"/>
    <cellStyle name="Normal 4 4 2 2 2 2 3 2 2" xfId="8971" xr:uid="{149E40CB-7536-46B2-BAEC-D765B686CCD4}"/>
    <cellStyle name="Normal 4 4 2 2 2 2 3 3" xfId="6826" xr:uid="{0DB9197C-F0B5-42B0-8DD0-2ECEFDD3C8AB}"/>
    <cellStyle name="Normal 4 4 2 2 2 2 3 4" xfId="2524" xr:uid="{6360AECA-29D9-4948-9D0B-74590BA9CF14}"/>
    <cellStyle name="Normal 4 4 2 2 2 2 4" xfId="2937" xr:uid="{459BDEF8-6013-4A41-8E9D-9AE07A3B28E3}"/>
    <cellStyle name="Normal 4 4 2 2 2 2 4 2" xfId="5166" xr:uid="{08BEB328-0F08-4076-BA8F-DCF7C99814F5}"/>
    <cellStyle name="Normal 4 4 2 2 2 2 4 2 2" xfId="9384" xr:uid="{74D3E291-8F88-46AE-9A3D-520BEC67A2DC}"/>
    <cellStyle name="Normal 4 4 2 2 2 2 4 3" xfId="7239" xr:uid="{E41D5AD3-C8D4-4862-8CE0-0B8A82452054}"/>
    <cellStyle name="Normal 4 4 2 2 2 2 5" xfId="3350" xr:uid="{AC397B7D-41C8-4CD4-A232-5AD74D97790A}"/>
    <cellStyle name="Normal 4 4 2 2 2 2 5 2" xfId="5579" xr:uid="{895B2C31-0F03-4F6A-BE7A-4BC925C91550}"/>
    <cellStyle name="Normal 4 4 2 2 2 2 5 2 2" xfId="9797" xr:uid="{E7C88FC1-1923-4436-BAF3-0A783EC0F426}"/>
    <cellStyle name="Normal 4 4 2 2 2 2 5 3" xfId="7652" xr:uid="{AF66AD32-9C3C-44AE-8665-D1C40BEF4950}"/>
    <cellStyle name="Normal 4 4 2 2 2 2 6" xfId="3786" xr:uid="{2FE9F7D4-9FBF-4FBE-B52B-7A9D79841233}"/>
    <cellStyle name="Normal 4 4 2 2 2 2 6 2" xfId="8065" xr:uid="{A00B647E-C646-46DE-B48F-E83D14B6503A}"/>
    <cellStyle name="Normal 4 4 2 2 2 2 7" xfId="6000" xr:uid="{76AB2D55-1324-49BE-8562-9EF716869DA6}"/>
    <cellStyle name="Normal 4 4 2 2 2 2 8" xfId="1696" xr:uid="{4AB73975-5033-4A61-9CAA-AF4DA4D5F8B4}"/>
    <cellStyle name="Normal 4 4 2 2 2 3" xfId="864" xr:uid="{00000000-0005-0000-0000-0000A1020000}"/>
    <cellStyle name="Normal 4 4 2 2 2 3 2" xfId="4339" xr:uid="{7AA0C47D-C714-466A-A684-EA86C1F2EB7A}"/>
    <cellStyle name="Normal 4 4 2 2 2 3 2 2" xfId="8557" xr:uid="{1DC82EE0-BA9A-4263-A649-D2436FF86614}"/>
    <cellStyle name="Normal 4 4 2 2 2 3 3" xfId="6412" xr:uid="{7FBEB3C2-0E29-48AC-8042-3546377D1F21}"/>
    <cellStyle name="Normal 4 4 2 2 2 3 4" xfId="2110" xr:uid="{DC23DD72-4D39-42B2-AA93-7EF93A10319F}"/>
    <cellStyle name="Normal 4 4 2 2 2 4" xfId="1281" xr:uid="{5D49764D-D679-4FBE-9A9A-63B95F345147}"/>
    <cellStyle name="Normal 4 4 2 2 2 4 2" xfId="4752" xr:uid="{093BEE3C-A490-4313-91EC-3A10191BDBA0}"/>
    <cellStyle name="Normal 4 4 2 2 2 4 2 2" xfId="8970" xr:uid="{E82BBF8A-34E4-40F8-BBBB-44975C80BD4E}"/>
    <cellStyle name="Normal 4 4 2 2 2 4 3" xfId="6825" xr:uid="{C1006141-52D5-496B-B36E-A696CF03B12B}"/>
    <cellStyle name="Normal 4 4 2 2 2 4 4" xfId="2523" xr:uid="{D83205B1-AE89-447E-B1C5-A913362D0E26}"/>
    <cellStyle name="Normal 4 4 2 2 2 5" xfId="2936" xr:uid="{0E4433E2-576C-482F-B57D-F8DB7DB47DC2}"/>
    <cellStyle name="Normal 4 4 2 2 2 5 2" xfId="5165" xr:uid="{46B51721-6FA9-42EE-990D-984DEF975844}"/>
    <cellStyle name="Normal 4 4 2 2 2 5 2 2" xfId="9383" xr:uid="{81BADE89-AF4F-4EBE-B547-ED3AC882858D}"/>
    <cellStyle name="Normal 4 4 2 2 2 5 3" xfId="7238" xr:uid="{C39BDD07-52E8-4834-8299-DCD2657C8761}"/>
    <cellStyle name="Normal 4 4 2 2 2 6" xfId="3349" xr:uid="{7C4B9DD6-07A8-47EB-993A-571BE9569FBD}"/>
    <cellStyle name="Normal 4 4 2 2 2 6 2" xfId="5578" xr:uid="{5281683F-E8BE-4F28-A4F9-658024157A82}"/>
    <cellStyle name="Normal 4 4 2 2 2 6 2 2" xfId="9796" xr:uid="{136C0F9F-EA3F-40BD-9B0F-F84C7A6E6BDB}"/>
    <cellStyle name="Normal 4 4 2 2 2 6 3" xfId="7651" xr:uid="{6842E46F-AB72-43A0-B2ED-03A0B64FED55}"/>
    <cellStyle name="Normal 4 4 2 2 2 7" xfId="3785" xr:uid="{F10C7B3D-24F4-4359-B7C1-33A560343558}"/>
    <cellStyle name="Normal 4 4 2 2 2 7 2" xfId="8064" xr:uid="{0F55FCD3-61E7-475E-840D-8CB911693A58}"/>
    <cellStyle name="Normal 4 4 2 2 2 8" xfId="5999" xr:uid="{613EEDE4-02AA-4D49-95AF-CEF1E07A3EA5}"/>
    <cellStyle name="Normal 4 4 2 2 2 9" xfId="1695" xr:uid="{E8366506-B27C-4BB4-9B44-81C7CDFEFE3C}"/>
    <cellStyle name="Normal 4 4 2 2 3" xfId="386" xr:uid="{00000000-0005-0000-0000-0000A2020000}"/>
    <cellStyle name="Normal 4 4 2 2 3 2" xfId="866" xr:uid="{00000000-0005-0000-0000-0000A3020000}"/>
    <cellStyle name="Normal 4 4 2 2 3 2 2" xfId="4341" xr:uid="{3C058A6E-04B9-470B-8A86-7B9C613AD5DA}"/>
    <cellStyle name="Normal 4 4 2 2 3 2 2 2" xfId="8559" xr:uid="{B07DDB92-8926-4324-A7B2-1A503B5B4DA6}"/>
    <cellStyle name="Normal 4 4 2 2 3 2 3" xfId="6414" xr:uid="{AF1F59DD-038D-45DF-A8CA-81AB5EB1741E}"/>
    <cellStyle name="Normal 4 4 2 2 3 2 4" xfId="2112" xr:uid="{A56B4721-79D8-4A98-9758-DE14AE44FF36}"/>
    <cellStyle name="Normal 4 4 2 2 3 3" xfId="1283" xr:uid="{0E3AB5DA-ED7C-433D-B233-21A80E792D9E}"/>
    <cellStyle name="Normal 4 4 2 2 3 3 2" xfId="4754" xr:uid="{1B4AD873-6BE4-4F6D-8524-3565E2F4E077}"/>
    <cellStyle name="Normal 4 4 2 2 3 3 2 2" xfId="8972" xr:uid="{0B74BAC6-E8D6-458D-BF19-E2F17630092D}"/>
    <cellStyle name="Normal 4 4 2 2 3 3 3" xfId="6827" xr:uid="{BDAD0286-CEF3-4C4C-88D1-87EA7E2978D8}"/>
    <cellStyle name="Normal 4 4 2 2 3 3 4" xfId="2525" xr:uid="{159E5291-DBF8-4719-889C-F058CCD584CE}"/>
    <cellStyle name="Normal 4 4 2 2 3 4" xfId="2938" xr:uid="{37C31601-7D71-4C93-9890-3FFCC4ACFFB4}"/>
    <cellStyle name="Normal 4 4 2 2 3 4 2" xfId="5167" xr:uid="{8CA80297-5A64-42EE-BE14-5ED7CAB70418}"/>
    <cellStyle name="Normal 4 4 2 2 3 4 2 2" xfId="9385" xr:uid="{27F949D4-0060-444A-B916-221EFE640537}"/>
    <cellStyle name="Normal 4 4 2 2 3 4 3" xfId="7240" xr:uid="{00F9A635-2BA2-44CE-A5D6-1008D877B7BC}"/>
    <cellStyle name="Normal 4 4 2 2 3 5" xfId="3351" xr:uid="{E42DF6F6-0385-4FBB-B084-60075A0012D8}"/>
    <cellStyle name="Normal 4 4 2 2 3 5 2" xfId="5580" xr:uid="{C2632AF1-8BC6-48ED-B9C9-CD8CFAF134C5}"/>
    <cellStyle name="Normal 4 4 2 2 3 5 2 2" xfId="9798" xr:uid="{782ADD60-10AB-4CB2-80D1-938406A3BCF6}"/>
    <cellStyle name="Normal 4 4 2 2 3 5 3" xfId="7653" xr:uid="{1CF99485-A064-4CED-91E2-2712D2972DEB}"/>
    <cellStyle name="Normal 4 4 2 2 3 6" xfId="3787" xr:uid="{1D486EE2-8DA8-436F-B460-8FE2E74659B9}"/>
    <cellStyle name="Normal 4 4 2 2 3 6 2" xfId="8066" xr:uid="{F50E90A2-F4A6-4E07-820F-4B8F15CC8E1C}"/>
    <cellStyle name="Normal 4 4 2 2 3 7" xfId="6001" xr:uid="{8A74F6A8-52D5-4D60-B4FA-B2FFEDA9FFBE}"/>
    <cellStyle name="Normal 4 4 2 2 3 8" xfId="1697" xr:uid="{5AA84822-D264-4B30-BDA7-6A435FD5CD3F}"/>
    <cellStyle name="Normal 4 4 2 2 4" xfId="863" xr:uid="{00000000-0005-0000-0000-0000A4020000}"/>
    <cellStyle name="Normal 4 4 2 2 4 2" xfId="4338" xr:uid="{4E61E0D3-AF6A-468C-A27C-15C6C053CB06}"/>
    <cellStyle name="Normal 4 4 2 2 4 2 2" xfId="8556" xr:uid="{2DF8A298-E148-4478-A9E2-1E1E1869A58F}"/>
    <cellStyle name="Normal 4 4 2 2 4 3" xfId="6411" xr:uid="{9BD60A3E-0447-442D-B1A8-0DBB516AF719}"/>
    <cellStyle name="Normal 4 4 2 2 4 4" xfId="2109" xr:uid="{D6C82F7A-07AE-4AE3-829B-9BEAD36F6711}"/>
    <cellStyle name="Normal 4 4 2 2 5" xfId="1280" xr:uid="{39E48B0B-17D2-4544-8E5A-354411E591F2}"/>
    <cellStyle name="Normal 4 4 2 2 5 2" xfId="4751" xr:uid="{DD05D9CC-2855-4E71-9471-194F97742AD5}"/>
    <cellStyle name="Normal 4 4 2 2 5 2 2" xfId="8969" xr:uid="{E1D68185-5B4D-47D2-A18E-42423526C60B}"/>
    <cellStyle name="Normal 4 4 2 2 5 3" xfId="6824" xr:uid="{07A9658E-923D-48DE-ABE0-1D714E203BB9}"/>
    <cellStyle name="Normal 4 4 2 2 5 4" xfId="2522" xr:uid="{D4B7209F-2998-4FFA-A78D-3D71FCE390F8}"/>
    <cellStyle name="Normal 4 4 2 2 6" xfId="2935" xr:uid="{B4DBAD62-638F-4377-BC9B-994E6C913FEE}"/>
    <cellStyle name="Normal 4 4 2 2 6 2" xfId="5164" xr:uid="{FFF20F25-9029-4C08-BEFB-28D858EBE1BE}"/>
    <cellStyle name="Normal 4 4 2 2 6 2 2" xfId="9382" xr:uid="{3EECAF74-9805-4510-8F12-D494A3BECEDD}"/>
    <cellStyle name="Normal 4 4 2 2 6 3" xfId="7237" xr:uid="{E0918EBE-B56E-4EF9-BFA6-BEA91BA5F97C}"/>
    <cellStyle name="Normal 4 4 2 2 7" xfId="3348" xr:uid="{4D1156C8-9745-468C-AACA-C94CE2576189}"/>
    <cellStyle name="Normal 4 4 2 2 7 2" xfId="5577" xr:uid="{0A0291C1-60DF-4F46-A6F5-461AB4F7C463}"/>
    <cellStyle name="Normal 4 4 2 2 7 2 2" xfId="9795" xr:uid="{2A453826-C29C-4FE2-A40B-7B94A2A998DF}"/>
    <cellStyle name="Normal 4 4 2 2 7 3" xfId="7650" xr:uid="{BA0414AA-27A8-44E9-94ED-53A4C6E5D358}"/>
    <cellStyle name="Normal 4 4 2 2 8" xfId="3784" xr:uid="{B6938B95-A499-401D-86D8-E14E4156E1EA}"/>
    <cellStyle name="Normal 4 4 2 2 8 2" xfId="8063" xr:uid="{89BA0DBE-4245-4D4B-8AC4-F33D0A0F8EB5}"/>
    <cellStyle name="Normal 4 4 2 2 9" xfId="5998" xr:uid="{0DFED7FA-97BC-4E65-948F-93ECCF779023}"/>
    <cellStyle name="Normal 4 4 2 3" xfId="387" xr:uid="{00000000-0005-0000-0000-0000A5020000}"/>
    <cellStyle name="Normal 4 4 2 3 2" xfId="388" xr:uid="{00000000-0005-0000-0000-0000A6020000}"/>
    <cellStyle name="Normal 4 4 2 3 2 2" xfId="868" xr:uid="{00000000-0005-0000-0000-0000A7020000}"/>
    <cellStyle name="Normal 4 4 2 3 2 2 2" xfId="4343" xr:uid="{134B96A0-4B1F-44AD-A015-CD7A97C79E4E}"/>
    <cellStyle name="Normal 4 4 2 3 2 2 2 2" xfId="8561" xr:uid="{9CF4B51B-AF2A-4A58-BDF6-522C046EFE19}"/>
    <cellStyle name="Normal 4 4 2 3 2 2 3" xfId="6416" xr:uid="{CE5A4AEB-DAB6-477B-BEF1-53AD69AB8623}"/>
    <cellStyle name="Normal 4 4 2 3 2 2 4" xfId="2114" xr:uid="{224306B2-ADFF-4B7F-89A9-5A39B31167F5}"/>
    <cellStyle name="Normal 4 4 2 3 2 3" xfId="1285" xr:uid="{0BBEB51D-574D-45BF-944B-57C51E3C5D5A}"/>
    <cellStyle name="Normal 4 4 2 3 2 3 2" xfId="4756" xr:uid="{80F37913-7BB2-4806-9B03-51C27DD7B8E5}"/>
    <cellStyle name="Normal 4 4 2 3 2 3 2 2" xfId="8974" xr:uid="{B46A1761-F3DF-4A08-8739-C2660A4F27D4}"/>
    <cellStyle name="Normal 4 4 2 3 2 3 3" xfId="6829" xr:uid="{4F88405F-C453-498A-84E1-4D3936B865D9}"/>
    <cellStyle name="Normal 4 4 2 3 2 3 4" xfId="2527" xr:uid="{69A1B86F-F9BC-4572-AC37-7CB5F193787D}"/>
    <cellStyle name="Normal 4 4 2 3 2 4" xfId="2940" xr:uid="{F44858CB-3FC1-472E-8B3C-49358A5264C6}"/>
    <cellStyle name="Normal 4 4 2 3 2 4 2" xfId="5169" xr:uid="{85CA8D9D-B6C2-481F-9720-08F4C4192C68}"/>
    <cellStyle name="Normal 4 4 2 3 2 4 2 2" xfId="9387" xr:uid="{059F87C6-C1BD-4590-AA15-CDEA144BAA9B}"/>
    <cellStyle name="Normal 4 4 2 3 2 4 3" xfId="7242" xr:uid="{CD074082-7950-4F83-9444-3188A1DA0A0C}"/>
    <cellStyle name="Normal 4 4 2 3 2 5" xfId="3353" xr:uid="{87E62F20-77A8-443A-8DE8-5F2FC2D72DE1}"/>
    <cellStyle name="Normal 4 4 2 3 2 5 2" xfId="5582" xr:uid="{DF485AB0-5FC4-4897-9952-33B6774A893F}"/>
    <cellStyle name="Normal 4 4 2 3 2 5 2 2" xfId="9800" xr:uid="{9B7667CA-341A-41DA-A839-C3750453DFFF}"/>
    <cellStyle name="Normal 4 4 2 3 2 5 3" xfId="7655" xr:uid="{B20F539B-333A-497A-B741-E39372CB5DAB}"/>
    <cellStyle name="Normal 4 4 2 3 2 6" xfId="3789" xr:uid="{31B65B9A-F1CA-40BF-A2DA-D9546151FBD3}"/>
    <cellStyle name="Normal 4 4 2 3 2 6 2" xfId="8068" xr:uid="{2604D442-94D5-4B3D-B204-7253E15BE609}"/>
    <cellStyle name="Normal 4 4 2 3 2 7" xfId="6003" xr:uid="{AAE41CEA-0B36-46F4-81AF-912714E7AAD5}"/>
    <cellStyle name="Normal 4 4 2 3 2 8" xfId="1699" xr:uid="{D3F8BCA4-B708-47F5-9F79-8E737A6F196F}"/>
    <cellStyle name="Normal 4 4 2 3 3" xfId="867" xr:uid="{00000000-0005-0000-0000-0000A8020000}"/>
    <cellStyle name="Normal 4 4 2 3 3 2" xfId="4342" xr:uid="{09E5FD06-E035-4453-B21E-E2E20F4098E5}"/>
    <cellStyle name="Normal 4 4 2 3 3 2 2" xfId="8560" xr:uid="{9EB9F5C2-8CB8-4835-996B-F6FA0D0F894E}"/>
    <cellStyle name="Normal 4 4 2 3 3 3" xfId="6415" xr:uid="{094207B0-62F9-4774-ACF1-81E7D6613CD4}"/>
    <cellStyle name="Normal 4 4 2 3 3 4" xfId="2113" xr:uid="{54FA2BE4-6CB6-4F3E-9E04-147A0B9C9C02}"/>
    <cellStyle name="Normal 4 4 2 3 4" xfId="1284" xr:uid="{FFE7CCE8-E905-4A21-A8AF-B6B2500B3A22}"/>
    <cellStyle name="Normal 4 4 2 3 4 2" xfId="4755" xr:uid="{FE039277-DF49-48FA-B0AC-E071A8F3CB60}"/>
    <cellStyle name="Normal 4 4 2 3 4 2 2" xfId="8973" xr:uid="{24923DC5-008F-4FFF-B992-D4D1913D7B5B}"/>
    <cellStyle name="Normal 4 4 2 3 4 3" xfId="6828" xr:uid="{CA723650-F1AA-4C85-AEC9-9040769C6C71}"/>
    <cellStyle name="Normal 4 4 2 3 4 4" xfId="2526" xr:uid="{E8E23362-DBE5-456F-99D6-30191841D26C}"/>
    <cellStyle name="Normal 4 4 2 3 5" xfId="2939" xr:uid="{A9BC584A-E175-4EB4-925B-C595B7D788B3}"/>
    <cellStyle name="Normal 4 4 2 3 5 2" xfId="5168" xr:uid="{6C18D07D-4EEA-4390-B6AC-8984BC85A316}"/>
    <cellStyle name="Normal 4 4 2 3 5 2 2" xfId="9386" xr:uid="{6AE1A038-0785-4205-81B5-67EC9D0A455D}"/>
    <cellStyle name="Normal 4 4 2 3 5 3" xfId="7241" xr:uid="{B26A19DF-3D34-43DA-AFE1-A8768C358AEA}"/>
    <cellStyle name="Normal 4 4 2 3 6" xfId="3352" xr:uid="{4E0CF6CE-3B61-4436-8117-5136CDF0B694}"/>
    <cellStyle name="Normal 4 4 2 3 6 2" xfId="5581" xr:uid="{034E8827-EA7A-4A5C-828C-87805B10799B}"/>
    <cellStyle name="Normal 4 4 2 3 6 2 2" xfId="9799" xr:uid="{C8BBAEE0-4B09-45A0-B35B-E57EC08096A5}"/>
    <cellStyle name="Normal 4 4 2 3 6 3" xfId="7654" xr:uid="{2D9F1CF6-671C-4332-A784-7AA2172F38FC}"/>
    <cellStyle name="Normal 4 4 2 3 7" xfId="3788" xr:uid="{C4A26E4A-3E8C-45DA-8ABD-6F0754846C6F}"/>
    <cellStyle name="Normal 4 4 2 3 7 2" xfId="8067" xr:uid="{D613E8A4-159D-4264-A8B5-E8F99FF23EEC}"/>
    <cellStyle name="Normal 4 4 2 3 8" xfId="6002" xr:uid="{277B91EF-6A12-451A-A3D5-89C26F5EABDC}"/>
    <cellStyle name="Normal 4 4 2 3 9" xfId="1698" xr:uid="{EBED83FC-22AC-4213-A5A5-EFC48DC99141}"/>
    <cellStyle name="Normal 4 4 2 4" xfId="389" xr:uid="{00000000-0005-0000-0000-0000A9020000}"/>
    <cellStyle name="Normal 4 4 2 4 2" xfId="869" xr:uid="{00000000-0005-0000-0000-0000AA020000}"/>
    <cellStyle name="Normal 4 4 2 4 2 2" xfId="4344" xr:uid="{8340CD7F-7CA6-42FB-9EFA-6BEA2A985F18}"/>
    <cellStyle name="Normal 4 4 2 4 2 2 2" xfId="8562" xr:uid="{79F7C645-346A-4A96-9B95-2A09CCEFD076}"/>
    <cellStyle name="Normal 4 4 2 4 2 3" xfId="6417" xr:uid="{4DB9FEA0-2D3F-42F8-A1AE-0BCCCAA2DD76}"/>
    <cellStyle name="Normal 4 4 2 4 2 4" xfId="2115" xr:uid="{E0A994B2-690E-460F-81A9-095B3DF39E09}"/>
    <cellStyle name="Normal 4 4 2 4 3" xfId="1286" xr:uid="{87797D0F-9F62-487B-A506-6A1131554FB3}"/>
    <cellStyle name="Normal 4 4 2 4 3 2" xfId="4757" xr:uid="{8164ED0A-34FD-4838-88A7-7BB2D3D11B8A}"/>
    <cellStyle name="Normal 4 4 2 4 3 2 2" xfId="8975" xr:uid="{233C5590-3C12-4C2E-B0FB-4ED99E6DA597}"/>
    <cellStyle name="Normal 4 4 2 4 3 3" xfId="6830" xr:uid="{DBC8C619-0677-4B38-B2D5-BD6BD9252AB0}"/>
    <cellStyle name="Normal 4 4 2 4 3 4" xfId="2528" xr:uid="{A5E7CE33-4619-4909-B4D2-C2429748CF5C}"/>
    <cellStyle name="Normal 4 4 2 4 4" xfId="2941" xr:uid="{82536768-6C6A-40E4-975B-A5281784DD1C}"/>
    <cellStyle name="Normal 4 4 2 4 4 2" xfId="5170" xr:uid="{11762EFB-3BB8-45CF-A278-241045ABB46F}"/>
    <cellStyle name="Normal 4 4 2 4 4 2 2" xfId="9388" xr:uid="{488D130F-BD78-471C-9101-1F1F92D3DDA6}"/>
    <cellStyle name="Normal 4 4 2 4 4 3" xfId="7243" xr:uid="{92F8FB6A-077E-4665-A480-C518DC0288B1}"/>
    <cellStyle name="Normal 4 4 2 4 5" xfId="3354" xr:uid="{683BEF64-48F3-4575-8C37-ECB0F1EA9D4A}"/>
    <cellStyle name="Normal 4 4 2 4 5 2" xfId="5583" xr:uid="{DFCA773A-315B-48A7-8863-C92D6749004B}"/>
    <cellStyle name="Normal 4 4 2 4 5 2 2" xfId="9801" xr:uid="{FF59614E-CD05-4488-8F2A-2F3912736FDC}"/>
    <cellStyle name="Normal 4 4 2 4 5 3" xfId="7656" xr:uid="{04F60173-74C3-49AE-BAA9-D74227F6017A}"/>
    <cellStyle name="Normal 4 4 2 4 6" xfId="3790" xr:uid="{81EB9503-79E0-4412-BDB2-85E4898C3AB3}"/>
    <cellStyle name="Normal 4 4 2 4 6 2" xfId="8069" xr:uid="{E2673647-96D3-4F36-B110-CDB868BC8901}"/>
    <cellStyle name="Normal 4 4 2 4 7" xfId="6004" xr:uid="{A4BF5F19-C851-4A74-B4CF-6619D95F5BA5}"/>
    <cellStyle name="Normal 4 4 2 4 8" xfId="1700" xr:uid="{8D490474-FCB4-4DFA-8B8E-3E1F1BD7BA29}"/>
    <cellStyle name="Normal 4 4 2 5" xfId="862" xr:uid="{00000000-0005-0000-0000-0000AB020000}"/>
    <cellStyle name="Normal 4 4 2 5 2" xfId="4337" xr:uid="{4B263F58-DFEE-4802-92B9-7267C1011276}"/>
    <cellStyle name="Normal 4 4 2 5 2 2" xfId="8555" xr:uid="{C6FA309E-C209-45AB-AE92-22549E5FCD56}"/>
    <cellStyle name="Normal 4 4 2 5 3" xfId="6410" xr:uid="{8993EFB7-908D-4ECC-BC35-E97392F347B4}"/>
    <cellStyle name="Normal 4 4 2 5 4" xfId="2108" xr:uid="{0097F20B-35EB-4C4F-8DFC-B2D76B7B0328}"/>
    <cellStyle name="Normal 4 4 2 6" xfId="1279" xr:uid="{BC24A0D2-B5E3-44E1-973A-C1419C6A854F}"/>
    <cellStyle name="Normal 4 4 2 6 2" xfId="4750" xr:uid="{3BFBEECF-0043-43F1-9A63-664BB225FE47}"/>
    <cellStyle name="Normal 4 4 2 6 2 2" xfId="8968" xr:uid="{0D1ABED3-A8E1-4D81-A3F6-FCA807F47046}"/>
    <cellStyle name="Normal 4 4 2 6 3" xfId="6823" xr:uid="{45602F2B-0B7F-4DEA-93F7-F2FBFDC277B6}"/>
    <cellStyle name="Normal 4 4 2 6 4" xfId="2521" xr:uid="{E789C3C8-5FAE-4928-85E0-71EBD3D10184}"/>
    <cellStyle name="Normal 4 4 2 7" xfId="2934" xr:uid="{0DD2FF7A-CFE7-493A-A7DD-2D0814098525}"/>
    <cellStyle name="Normal 4 4 2 7 2" xfId="5163" xr:uid="{58C949B8-A4A8-4D9B-BA02-83EBF16CC4F1}"/>
    <cellStyle name="Normal 4 4 2 7 2 2" xfId="9381" xr:uid="{ECA95610-2F2B-4DA8-AD03-1EC60283EB88}"/>
    <cellStyle name="Normal 4 4 2 7 3" xfId="7236" xr:uid="{CBF65BFC-68D5-459E-B24A-D97D90A62559}"/>
    <cellStyle name="Normal 4 4 2 8" xfId="3347" xr:uid="{0C0026E1-D37E-4DEF-A970-FAE5F7608DAD}"/>
    <cellStyle name="Normal 4 4 2 8 2" xfId="5576" xr:uid="{2B34030C-F5FB-42AC-AC85-CB467D14EA9A}"/>
    <cellStyle name="Normal 4 4 2 8 2 2" xfId="9794" xr:uid="{5FBA97AF-644A-41E4-91BE-0DEA82C1404B}"/>
    <cellStyle name="Normal 4 4 2 8 3" xfId="7649" xr:uid="{442EAFD9-4595-44CB-877C-4371B6AAFD17}"/>
    <cellStyle name="Normal 4 4 2 9" xfId="3783" xr:uid="{4FECA2F0-D38E-4434-B2DE-E74EFDE521C9}"/>
    <cellStyle name="Normal 4 4 2 9 2" xfId="8062" xr:uid="{BDDD5AE7-1DC9-459F-A370-A099805E3ADD}"/>
    <cellStyle name="Normal 4 4 3" xfId="390" xr:uid="{00000000-0005-0000-0000-0000AC020000}"/>
    <cellStyle name="Normal 4 4 3 10" xfId="1701" xr:uid="{258C9B15-CC07-4108-9931-541286F582F1}"/>
    <cellStyle name="Normal 4 4 3 2" xfId="391" xr:uid="{00000000-0005-0000-0000-0000AD020000}"/>
    <cellStyle name="Normal 4 4 3 2 2" xfId="392" xr:uid="{00000000-0005-0000-0000-0000AE020000}"/>
    <cellStyle name="Normal 4 4 3 2 2 2" xfId="872" xr:uid="{00000000-0005-0000-0000-0000AF020000}"/>
    <cellStyle name="Normal 4 4 3 2 2 2 2" xfId="4347" xr:uid="{66F8D5F0-6C32-4C05-8857-2824C726736C}"/>
    <cellStyle name="Normal 4 4 3 2 2 2 2 2" xfId="8565" xr:uid="{E80E92AD-07FB-49E9-8FED-BD7940091015}"/>
    <cellStyle name="Normal 4 4 3 2 2 2 3" xfId="6420" xr:uid="{00C0BB94-3427-44E1-93BE-CA031EE3ADD7}"/>
    <cellStyle name="Normal 4 4 3 2 2 2 4" xfId="2118" xr:uid="{B6FADF20-3CD0-40A9-BF19-42AA0D97E339}"/>
    <cellStyle name="Normal 4 4 3 2 2 3" xfId="1289" xr:uid="{94EBEAC5-0E55-4DCB-A467-D839EDAF63FC}"/>
    <cellStyle name="Normal 4 4 3 2 2 3 2" xfId="4760" xr:uid="{312CE60D-56B1-4320-A67D-FE28605AB940}"/>
    <cellStyle name="Normal 4 4 3 2 2 3 2 2" xfId="8978" xr:uid="{817F8041-EA49-4146-A901-35F895E3B5D7}"/>
    <cellStyle name="Normal 4 4 3 2 2 3 3" xfId="6833" xr:uid="{468B1135-4BA5-442A-8DD2-0970B33A747D}"/>
    <cellStyle name="Normal 4 4 3 2 2 3 4" xfId="2531" xr:uid="{1B004E53-2F61-45CF-AF07-F6309BA02525}"/>
    <cellStyle name="Normal 4 4 3 2 2 4" xfId="2944" xr:uid="{0602F67E-0020-47C0-A0FF-B83CA56554DC}"/>
    <cellStyle name="Normal 4 4 3 2 2 4 2" xfId="5173" xr:uid="{AB1EE077-272C-47F8-AED9-7182E678C13D}"/>
    <cellStyle name="Normal 4 4 3 2 2 4 2 2" xfId="9391" xr:uid="{6465F730-A7C7-4B91-945E-530CF792355C}"/>
    <cellStyle name="Normal 4 4 3 2 2 4 3" xfId="7246" xr:uid="{11DF8070-550E-4E57-A4B8-1FF5A0611C10}"/>
    <cellStyle name="Normal 4 4 3 2 2 5" xfId="3357" xr:uid="{D74DDB39-0DFF-4C4F-9CA2-71228AC2A8DD}"/>
    <cellStyle name="Normal 4 4 3 2 2 5 2" xfId="5586" xr:uid="{237A3D33-24F9-4B29-9419-9E2D64F4439B}"/>
    <cellStyle name="Normal 4 4 3 2 2 5 2 2" xfId="9804" xr:uid="{3CAE370E-E5D0-4E6D-903F-2E52452C5943}"/>
    <cellStyle name="Normal 4 4 3 2 2 5 3" xfId="7659" xr:uid="{7F000D54-B642-4EF0-B1B3-14563B1B190B}"/>
    <cellStyle name="Normal 4 4 3 2 2 6" xfId="3793" xr:uid="{AC4A34B3-B79C-4FD4-9402-DF8DB3A6F3F1}"/>
    <cellStyle name="Normal 4 4 3 2 2 6 2" xfId="8072" xr:uid="{6B9B4857-79BB-4879-8328-C46A234D6A52}"/>
    <cellStyle name="Normal 4 4 3 2 2 7" xfId="6007" xr:uid="{0C4AB9B0-3D9F-4124-BF14-047095E61961}"/>
    <cellStyle name="Normal 4 4 3 2 2 8" xfId="1703" xr:uid="{54DE9B0D-E47D-4E9F-813C-0A6EEE840A0C}"/>
    <cellStyle name="Normal 4 4 3 2 3" xfId="871" xr:uid="{00000000-0005-0000-0000-0000B0020000}"/>
    <cellStyle name="Normal 4 4 3 2 3 2" xfId="4346" xr:uid="{CC7A3AE0-806D-4853-8EB0-20429C178B67}"/>
    <cellStyle name="Normal 4 4 3 2 3 2 2" xfId="8564" xr:uid="{80A08D1F-63BF-45DE-91C2-A2E9BF973C7A}"/>
    <cellStyle name="Normal 4 4 3 2 3 3" xfId="6419" xr:uid="{EC117F40-A296-4620-A696-4E692837FADC}"/>
    <cellStyle name="Normal 4 4 3 2 3 4" xfId="2117" xr:uid="{AF0EF8DE-299E-40EE-A19D-FD8F148AFEF3}"/>
    <cellStyle name="Normal 4 4 3 2 4" xfId="1288" xr:uid="{E60A2B09-98DA-4518-BF9E-63D9A27CFD15}"/>
    <cellStyle name="Normal 4 4 3 2 4 2" xfId="4759" xr:uid="{79F97764-ED10-48C5-B461-17B7F3179E02}"/>
    <cellStyle name="Normal 4 4 3 2 4 2 2" xfId="8977" xr:uid="{F65F5EA6-FAF0-4D62-848C-A81AAD1FDEF9}"/>
    <cellStyle name="Normal 4 4 3 2 4 3" xfId="6832" xr:uid="{E7FB8E9D-A7A4-4137-936F-88A345E1FD4D}"/>
    <cellStyle name="Normal 4 4 3 2 4 4" xfId="2530" xr:uid="{841E0CAE-5155-4DAD-BF25-95C604824998}"/>
    <cellStyle name="Normal 4 4 3 2 5" xfId="2943" xr:uid="{32032F73-110F-4763-874E-0E5CA3B42E1C}"/>
    <cellStyle name="Normal 4 4 3 2 5 2" xfId="5172" xr:uid="{75BA4824-9872-4A2D-AE12-EB8602A2EAC5}"/>
    <cellStyle name="Normal 4 4 3 2 5 2 2" xfId="9390" xr:uid="{9EC7E8B7-A42A-4CEF-B2A3-433830EC76F7}"/>
    <cellStyle name="Normal 4 4 3 2 5 3" xfId="7245" xr:uid="{AD33F25C-8A49-4E47-9B3D-76BBB1B649C2}"/>
    <cellStyle name="Normal 4 4 3 2 6" xfId="3356" xr:uid="{570FB957-9822-4DA7-B105-75C1E884FFB2}"/>
    <cellStyle name="Normal 4 4 3 2 6 2" xfId="5585" xr:uid="{F50E4790-4CBB-4E24-86DD-E4E471E65564}"/>
    <cellStyle name="Normal 4 4 3 2 6 2 2" xfId="9803" xr:uid="{51607C78-89FA-4EE2-92C6-4A917691FD2F}"/>
    <cellStyle name="Normal 4 4 3 2 6 3" xfId="7658" xr:uid="{6FD32902-E478-43AF-9AD3-19443E3701F8}"/>
    <cellStyle name="Normal 4 4 3 2 7" xfId="3792" xr:uid="{A7771798-9279-4074-AA8C-A06DF83B613E}"/>
    <cellStyle name="Normal 4 4 3 2 7 2" xfId="8071" xr:uid="{FC6E27F0-07A2-402C-9BE0-C5CCE9C44347}"/>
    <cellStyle name="Normal 4 4 3 2 8" xfId="6006" xr:uid="{419645DB-AAAD-4F3F-BF61-C4649747F76C}"/>
    <cellStyle name="Normal 4 4 3 2 9" xfId="1702" xr:uid="{F0655BE0-F096-4495-AA60-5DA1944DEA65}"/>
    <cellStyle name="Normal 4 4 3 3" xfId="393" xr:uid="{00000000-0005-0000-0000-0000B1020000}"/>
    <cellStyle name="Normal 4 4 3 3 2" xfId="873" xr:uid="{00000000-0005-0000-0000-0000B2020000}"/>
    <cellStyle name="Normal 4 4 3 3 2 2" xfId="4348" xr:uid="{E8AB0050-7D1B-4517-A1E1-25E26BD7006B}"/>
    <cellStyle name="Normal 4 4 3 3 2 2 2" xfId="8566" xr:uid="{050F69C1-B040-4E99-BDE3-9633AB2ADBB1}"/>
    <cellStyle name="Normal 4 4 3 3 2 3" xfId="6421" xr:uid="{05D091D9-BE85-42F4-8C14-1876136854DA}"/>
    <cellStyle name="Normal 4 4 3 3 2 4" xfId="2119" xr:uid="{006404A3-1EB2-4337-B95F-FC7613E94F89}"/>
    <cellStyle name="Normal 4 4 3 3 3" xfId="1290" xr:uid="{43093262-6D71-438D-AE6F-FC01A62F2308}"/>
    <cellStyle name="Normal 4 4 3 3 3 2" xfId="4761" xr:uid="{FB9AEC2D-D086-4D99-AC2B-EBC0DC139375}"/>
    <cellStyle name="Normal 4 4 3 3 3 2 2" xfId="8979" xr:uid="{67B8B02B-30E8-45AD-B984-E17DA6E7369F}"/>
    <cellStyle name="Normal 4 4 3 3 3 3" xfId="6834" xr:uid="{33A7FB5F-886C-40E6-AE47-F77A4EB72676}"/>
    <cellStyle name="Normal 4 4 3 3 3 4" xfId="2532" xr:uid="{9666B471-1916-419A-9180-097077B7638E}"/>
    <cellStyle name="Normal 4 4 3 3 4" xfId="2945" xr:uid="{D24B4E25-AF84-4AD9-A831-E4B0F886DA46}"/>
    <cellStyle name="Normal 4 4 3 3 4 2" xfId="5174" xr:uid="{8E689D6E-642D-464E-ABBF-BF092FEBF3FD}"/>
    <cellStyle name="Normal 4 4 3 3 4 2 2" xfId="9392" xr:uid="{B5D0B3A0-586D-42A0-92D8-6B941CA9C04E}"/>
    <cellStyle name="Normal 4 4 3 3 4 3" xfId="7247" xr:uid="{ADF91795-CF52-4D72-B140-9A1B00D42771}"/>
    <cellStyle name="Normal 4 4 3 3 5" xfId="3358" xr:uid="{8FF61F9A-81E0-444C-9E96-81BB61F047E4}"/>
    <cellStyle name="Normal 4 4 3 3 5 2" xfId="5587" xr:uid="{5333CA22-B33A-402A-8F81-2F554F5077E9}"/>
    <cellStyle name="Normal 4 4 3 3 5 2 2" xfId="9805" xr:uid="{717EFC43-DF53-4EB3-9A37-340BEFAA1EB7}"/>
    <cellStyle name="Normal 4 4 3 3 5 3" xfId="7660" xr:uid="{83982DA1-D71C-4AD4-8AC6-2381557FBA2E}"/>
    <cellStyle name="Normal 4 4 3 3 6" xfId="3794" xr:uid="{1FD2B003-D778-4702-A571-EF6A8A12B423}"/>
    <cellStyle name="Normal 4 4 3 3 6 2" xfId="8073" xr:uid="{6147AEBB-D904-48DE-8EB4-69A9DC614F63}"/>
    <cellStyle name="Normal 4 4 3 3 7" xfId="6008" xr:uid="{1E1B1147-2A5F-4430-9F11-A9E9128A6962}"/>
    <cellStyle name="Normal 4 4 3 3 8" xfId="1704" xr:uid="{D2B084B5-F7F7-4B7C-8CFB-C209E7C7E3DE}"/>
    <cellStyle name="Normal 4 4 3 4" xfId="870" xr:uid="{00000000-0005-0000-0000-0000B3020000}"/>
    <cellStyle name="Normal 4 4 3 4 2" xfId="4345" xr:uid="{3E5CE95D-A9AD-45CC-BAD7-1887C39DC8D2}"/>
    <cellStyle name="Normal 4 4 3 4 2 2" xfId="8563" xr:uid="{15160EDB-49EC-4400-B3C2-DBB5C19AEC6B}"/>
    <cellStyle name="Normal 4 4 3 4 3" xfId="6418" xr:uid="{02C7BE62-6AE7-4E05-B541-C81CC5355295}"/>
    <cellStyle name="Normal 4 4 3 4 4" xfId="2116" xr:uid="{D99BD715-7511-4391-920F-969BBF3F81C6}"/>
    <cellStyle name="Normal 4 4 3 5" xfId="1287" xr:uid="{8AB30A8B-9B42-467B-B1BE-FF3B4E8B6B2E}"/>
    <cellStyle name="Normal 4 4 3 5 2" xfId="4758" xr:uid="{CCF777A0-D1B6-4E24-974E-5ED67E9A7F17}"/>
    <cellStyle name="Normal 4 4 3 5 2 2" xfId="8976" xr:uid="{2C8EC802-C484-4FFC-A1F2-CDEE26E128EA}"/>
    <cellStyle name="Normal 4 4 3 5 3" xfId="6831" xr:uid="{448F18E2-D1BD-4E50-9EE0-F961804C51D2}"/>
    <cellStyle name="Normal 4 4 3 5 4" xfId="2529" xr:uid="{7C51E0C6-CC92-487A-87E0-2832F4DFE5B4}"/>
    <cellStyle name="Normal 4 4 3 6" xfId="2942" xr:uid="{00823C72-579E-4209-B755-90202363F946}"/>
    <cellStyle name="Normal 4 4 3 6 2" xfId="5171" xr:uid="{D38DFFB0-173B-4AEB-8D39-8FBFB6EE663D}"/>
    <cellStyle name="Normal 4 4 3 6 2 2" xfId="9389" xr:uid="{E0E58EA6-A9CF-4C04-90DD-C9F43D2FBF33}"/>
    <cellStyle name="Normal 4 4 3 6 3" xfId="7244" xr:uid="{81AFA70E-5942-4F54-A2EE-7DFA0E5B0BF6}"/>
    <cellStyle name="Normal 4 4 3 7" xfId="3355" xr:uid="{B3C1BA5C-EA66-4B70-A2A7-6A89BB7C0498}"/>
    <cellStyle name="Normal 4 4 3 7 2" xfId="5584" xr:uid="{D5311256-E615-48B4-8917-BEE27866662E}"/>
    <cellStyle name="Normal 4 4 3 7 2 2" xfId="9802" xr:uid="{D42450AF-A2C1-44BC-9A08-F08D7ED73911}"/>
    <cellStyle name="Normal 4 4 3 7 3" xfId="7657" xr:uid="{04685FBC-27E5-4945-8817-83566A7BEC77}"/>
    <cellStyle name="Normal 4 4 3 8" xfId="3791" xr:uid="{F9E5C9A2-B927-4159-97AB-1C7FAF1F7477}"/>
    <cellStyle name="Normal 4 4 3 8 2" xfId="8070" xr:uid="{AD49EFE0-30D5-48F1-A268-E53C9A5C432E}"/>
    <cellStyle name="Normal 4 4 3 9" xfId="6005" xr:uid="{3DD8601E-8467-4887-A980-783B75DA198E}"/>
    <cellStyle name="Normal 4 4 4" xfId="394" xr:uid="{00000000-0005-0000-0000-0000B4020000}"/>
    <cellStyle name="Normal 4 4 4 2" xfId="395" xr:uid="{00000000-0005-0000-0000-0000B5020000}"/>
    <cellStyle name="Normal 4 4 4 2 2" xfId="875" xr:uid="{00000000-0005-0000-0000-0000B6020000}"/>
    <cellStyle name="Normal 4 4 4 2 2 2" xfId="4350" xr:uid="{43DC1A30-4DC5-486B-8D6E-0644F8FC4BB2}"/>
    <cellStyle name="Normal 4 4 4 2 2 2 2" xfId="8568" xr:uid="{F1AAC9F0-BE80-4344-85C5-A52EC0717B30}"/>
    <cellStyle name="Normal 4 4 4 2 2 3" xfId="6423" xr:uid="{26F39577-1CDE-4394-B1BF-0116D02EC759}"/>
    <cellStyle name="Normal 4 4 4 2 2 4" xfId="2121" xr:uid="{85E0BE48-6D64-4269-8348-8715F6870C93}"/>
    <cellStyle name="Normal 4 4 4 2 3" xfId="1292" xr:uid="{1AE94BF3-4654-462C-B2FE-D1D725378A76}"/>
    <cellStyle name="Normal 4 4 4 2 3 2" xfId="4763" xr:uid="{B9B15343-823D-45CF-8BE1-A5837BAFA2E1}"/>
    <cellStyle name="Normal 4 4 4 2 3 2 2" xfId="8981" xr:uid="{411B19F9-45BC-49C4-B23E-57194480CFA5}"/>
    <cellStyle name="Normal 4 4 4 2 3 3" xfId="6836" xr:uid="{92B47CCC-DD8B-4F55-B1B1-96AC44CA98D1}"/>
    <cellStyle name="Normal 4 4 4 2 3 4" xfId="2534" xr:uid="{3761FE7B-186B-40B4-B9F3-9C2BB6CD33B7}"/>
    <cellStyle name="Normal 4 4 4 2 4" xfId="2947" xr:uid="{41EA2EDD-A0BB-4D68-A6F4-094952B84EFF}"/>
    <cellStyle name="Normal 4 4 4 2 4 2" xfId="5176" xr:uid="{C105472F-5861-4166-B303-FE5C955085DC}"/>
    <cellStyle name="Normal 4 4 4 2 4 2 2" xfId="9394" xr:uid="{B71A2B26-D0E6-4E6A-AF79-2030EC8EDB40}"/>
    <cellStyle name="Normal 4 4 4 2 4 3" xfId="7249" xr:uid="{33360BA2-FCC9-456C-B1B4-AC6FBCC12198}"/>
    <cellStyle name="Normal 4 4 4 2 5" xfId="3360" xr:uid="{97FC357B-8DC0-40E2-9B97-4E460389BD62}"/>
    <cellStyle name="Normal 4 4 4 2 5 2" xfId="5589" xr:uid="{2D344C65-8C3D-4A4B-8084-45064B0343B1}"/>
    <cellStyle name="Normal 4 4 4 2 5 2 2" xfId="9807" xr:uid="{A1B3F195-B3C7-4061-B807-F9D11A7E096C}"/>
    <cellStyle name="Normal 4 4 4 2 5 3" xfId="7662" xr:uid="{90542899-9AEE-43F1-BDE3-4235383A6DBC}"/>
    <cellStyle name="Normal 4 4 4 2 6" xfId="3796" xr:uid="{B361EDCC-82CE-4806-A49F-EEF0ED1260EA}"/>
    <cellStyle name="Normal 4 4 4 2 6 2" xfId="8075" xr:uid="{A5F90473-FD9D-4964-A149-96DB2223ADDD}"/>
    <cellStyle name="Normal 4 4 4 2 7" xfId="6010" xr:uid="{C8CD4C17-4A7C-420A-A9CB-6CB317ED13E1}"/>
    <cellStyle name="Normal 4 4 4 2 8" xfId="1706" xr:uid="{3CB78AED-4C09-4129-96D4-D03913EE87B9}"/>
    <cellStyle name="Normal 4 4 4 3" xfId="874" xr:uid="{00000000-0005-0000-0000-0000B7020000}"/>
    <cellStyle name="Normal 4 4 4 3 2" xfId="4349" xr:uid="{E50A3650-CF4E-400E-9F01-1F782832AB45}"/>
    <cellStyle name="Normal 4 4 4 3 2 2" xfId="8567" xr:uid="{2546E903-51FF-41EC-9FF2-B26B36AF58F2}"/>
    <cellStyle name="Normal 4 4 4 3 3" xfId="6422" xr:uid="{5CCD0550-558B-4CE0-91B7-EB39E16212E9}"/>
    <cellStyle name="Normal 4 4 4 3 4" xfId="2120" xr:uid="{04C21FA0-737B-42D3-84D0-F874DF14C15B}"/>
    <cellStyle name="Normal 4 4 4 4" xfId="1291" xr:uid="{0526E48A-317B-4115-B119-AD22E830EE1A}"/>
    <cellStyle name="Normal 4 4 4 4 2" xfId="4762" xr:uid="{2B999B57-E248-4648-A2DA-95822C8A172D}"/>
    <cellStyle name="Normal 4 4 4 4 2 2" xfId="8980" xr:uid="{E9277DDE-B403-49F1-A666-5502EA18D14D}"/>
    <cellStyle name="Normal 4 4 4 4 3" xfId="6835" xr:uid="{459DEB04-4F0F-4209-A84F-5E053EB9CF74}"/>
    <cellStyle name="Normal 4 4 4 4 4" xfId="2533" xr:uid="{D5D2BA02-7DEA-4018-AE4C-8018A956B21D}"/>
    <cellStyle name="Normal 4 4 4 5" xfId="2946" xr:uid="{FD9FA291-5B12-4217-A31A-5E1ABB550EFF}"/>
    <cellStyle name="Normal 4 4 4 5 2" xfId="5175" xr:uid="{A3C31A2C-33BE-4762-BD04-7298B4AA0676}"/>
    <cellStyle name="Normal 4 4 4 5 2 2" xfId="9393" xr:uid="{DF55A2A9-4FEF-4A83-9598-35FCECB21BA0}"/>
    <cellStyle name="Normal 4 4 4 5 3" xfId="7248" xr:uid="{342A6C2E-DC7F-4444-94B1-11848AB1CB34}"/>
    <cellStyle name="Normal 4 4 4 6" xfId="3359" xr:uid="{A8B6AD9D-8BBA-4FAE-B9D0-ABB7B73E3403}"/>
    <cellStyle name="Normal 4 4 4 6 2" xfId="5588" xr:uid="{236FD69B-D520-41D6-9BB2-D76A0D98CBE5}"/>
    <cellStyle name="Normal 4 4 4 6 2 2" xfId="9806" xr:uid="{F1920BB9-19ED-4D35-9B35-46826A87E723}"/>
    <cellStyle name="Normal 4 4 4 6 3" xfId="7661" xr:uid="{F2E1D862-6BD0-4DB3-88F8-A4660CF0CBF2}"/>
    <cellStyle name="Normal 4 4 4 7" xfId="3795" xr:uid="{7420D6AD-2F2C-4BC4-BD50-96F2F65C6031}"/>
    <cellStyle name="Normal 4 4 4 7 2" xfId="8074" xr:uid="{A9BA35E0-21EE-4950-935E-26FC90D874E4}"/>
    <cellStyle name="Normal 4 4 4 8" xfId="6009" xr:uid="{6910FBFC-FA42-4A3C-A1C7-76C18655ADFE}"/>
    <cellStyle name="Normal 4 4 4 9" xfId="1705" xr:uid="{CC8E03F0-3820-4402-A6DA-F157883BDA51}"/>
    <cellStyle name="Normal 4 4 5" xfId="396" xr:uid="{00000000-0005-0000-0000-0000B8020000}"/>
    <cellStyle name="Normal 4 4 5 2" xfId="876" xr:uid="{00000000-0005-0000-0000-0000B9020000}"/>
    <cellStyle name="Normal 4 4 5 2 2" xfId="4351" xr:uid="{50FF9DA3-62FD-4E15-92FB-27963F80950A}"/>
    <cellStyle name="Normal 4 4 5 2 2 2" xfId="8569" xr:uid="{41161860-225D-4622-806B-F9F5DDC31439}"/>
    <cellStyle name="Normal 4 4 5 2 3" xfId="6424" xr:uid="{06FE908C-80C2-4768-BB95-0DCCF067E9B7}"/>
    <cellStyle name="Normal 4 4 5 2 4" xfId="2122" xr:uid="{68291D29-0646-409C-8D91-F9452615B6D0}"/>
    <cellStyle name="Normal 4 4 5 3" xfId="1293" xr:uid="{C1F76972-331B-455F-A6F2-31519FC75CE7}"/>
    <cellStyle name="Normal 4 4 5 3 2" xfId="4764" xr:uid="{1EBC10C2-50C6-4313-9464-C6C33D648C9C}"/>
    <cellStyle name="Normal 4 4 5 3 2 2" xfId="8982" xr:uid="{BDFC4D51-F517-4C25-8860-67ABA507CFEB}"/>
    <cellStyle name="Normal 4 4 5 3 3" xfId="6837" xr:uid="{5F3FE822-0271-460A-9EB4-C0959A6AF1C5}"/>
    <cellStyle name="Normal 4 4 5 3 4" xfId="2535" xr:uid="{2064BCCC-6864-454A-AE1B-E0F73AE00724}"/>
    <cellStyle name="Normal 4 4 5 4" xfId="2948" xr:uid="{B70876DF-F84C-459E-819A-08A6597E0745}"/>
    <cellStyle name="Normal 4 4 5 4 2" xfId="5177" xr:uid="{CFD71C0E-7F5C-4D46-8A26-5DEC065EE399}"/>
    <cellStyle name="Normal 4 4 5 4 2 2" xfId="9395" xr:uid="{396ED08E-ADE6-473B-A885-094115A5E3D1}"/>
    <cellStyle name="Normal 4 4 5 4 3" xfId="7250" xr:uid="{93E501B3-67F2-4D6C-A375-C7217BB154A3}"/>
    <cellStyle name="Normal 4 4 5 5" xfId="3361" xr:uid="{D3D42465-3C76-405B-A734-A575C71667FC}"/>
    <cellStyle name="Normal 4 4 5 5 2" xfId="5590" xr:uid="{B890F1D1-BD27-47D7-9BD7-1C181DDE8D73}"/>
    <cellStyle name="Normal 4 4 5 5 2 2" xfId="9808" xr:uid="{086FA635-C608-4B29-9D57-EA6E9BE2DDCD}"/>
    <cellStyle name="Normal 4 4 5 5 3" xfId="7663" xr:uid="{1EDA9D4B-319F-49ED-B2F9-88A4B8688001}"/>
    <cellStyle name="Normal 4 4 5 6" xfId="3797" xr:uid="{1CA1D5D3-F53B-4ACC-8D5C-D1CA8B6C7C64}"/>
    <cellStyle name="Normal 4 4 5 6 2" xfId="8076" xr:uid="{87098CF2-060E-421A-B9A9-72D762892584}"/>
    <cellStyle name="Normal 4 4 5 7" xfId="6011" xr:uid="{6B969068-4267-4E08-A4CD-8D86B2CAC116}"/>
    <cellStyle name="Normal 4 4 5 8" xfId="1707" xr:uid="{4A941A4D-64BF-4FC7-BBAD-5188F0A9503C}"/>
    <cellStyle name="Normal 4 4 6" xfId="861" xr:uid="{00000000-0005-0000-0000-0000BA020000}"/>
    <cellStyle name="Normal 4 4 6 2" xfId="4336" xr:uid="{9FDA2524-0F07-4DEE-A2B6-CC418207050F}"/>
    <cellStyle name="Normal 4 4 6 2 2" xfId="8554" xr:uid="{0F3D72C6-7ED4-4695-896F-C944E36CBF2C}"/>
    <cellStyle name="Normal 4 4 6 3" xfId="6409" xr:uid="{2FDA5CD5-D355-4ABE-BA09-9F163F2DE5BE}"/>
    <cellStyle name="Normal 4 4 6 4" xfId="2107" xr:uid="{AEA9F2BC-F1E4-41BE-9AF5-419DD795708E}"/>
    <cellStyle name="Normal 4 4 7" xfId="1278" xr:uid="{910DB1A1-EFD0-4EB5-975C-6F1A3B657E2E}"/>
    <cellStyle name="Normal 4 4 7 2" xfId="4749" xr:uid="{BE111DF4-9519-4D09-9159-A4CC1E9F5E69}"/>
    <cellStyle name="Normal 4 4 7 2 2" xfId="8967" xr:uid="{7AC1CDEE-62C5-4267-8D32-00624A1A979B}"/>
    <cellStyle name="Normal 4 4 7 3" xfId="6822" xr:uid="{15F90712-1B82-46E3-B8B5-E82791BF118E}"/>
    <cellStyle name="Normal 4 4 7 4" xfId="2520" xr:uid="{1C54AC74-EEAE-4B42-A660-5B54D7FB3A1F}"/>
    <cellStyle name="Normal 4 4 8" xfId="2933" xr:uid="{F4F95657-901B-4454-945B-5BA78F112226}"/>
    <cellStyle name="Normal 4 4 8 2" xfId="5162" xr:uid="{3EB843B4-934C-4B84-A73B-121E1DA7353C}"/>
    <cellStyle name="Normal 4 4 8 2 2" xfId="9380" xr:uid="{25C29FF0-DC32-4A30-8673-C880E727C9B7}"/>
    <cellStyle name="Normal 4 4 8 3" xfId="7235" xr:uid="{CE8BB8C2-0FF0-4B71-A264-EC69ECB0099C}"/>
    <cellStyle name="Normal 4 4 9" xfId="3346" xr:uid="{53E19E97-C57E-4B39-A912-72046348BCAF}"/>
    <cellStyle name="Normal 4 4 9 2" xfId="5575" xr:uid="{92A02D63-CFC6-458A-B001-42C6ABBB270D}"/>
    <cellStyle name="Normal 4 4 9 2 2" xfId="9793" xr:uid="{7AC95760-D761-46C9-A473-ADB955094906}"/>
    <cellStyle name="Normal 4 4 9 3" xfId="7648" xr:uid="{B5BEC8F3-5C52-44A8-8B75-07B657D4D990}"/>
    <cellStyle name="Normal 4 5" xfId="397" xr:uid="{00000000-0005-0000-0000-0000BB020000}"/>
    <cellStyle name="Normal 4 6" xfId="398" xr:uid="{00000000-0005-0000-0000-0000BC020000}"/>
    <cellStyle name="Normal 4 6 10" xfId="6012" xr:uid="{B801C517-7BE2-485E-A74F-E9069B6B1B3E}"/>
    <cellStyle name="Normal 4 6 11" xfId="1708" xr:uid="{67631B67-BB6D-4C18-BD5A-A1BB1187410B}"/>
    <cellStyle name="Normal 4 6 2" xfId="399" xr:uid="{00000000-0005-0000-0000-0000BD020000}"/>
    <cellStyle name="Normal 4 6 2 10" xfId="1709" xr:uid="{F092A1B2-C24A-4252-9C46-C76A184CBF5E}"/>
    <cellStyle name="Normal 4 6 2 2" xfId="400" xr:uid="{00000000-0005-0000-0000-0000BE020000}"/>
    <cellStyle name="Normal 4 6 2 2 2" xfId="401" xr:uid="{00000000-0005-0000-0000-0000BF020000}"/>
    <cellStyle name="Normal 4 6 2 2 2 2" xfId="880" xr:uid="{00000000-0005-0000-0000-0000C0020000}"/>
    <cellStyle name="Normal 4 6 2 2 2 2 2" xfId="4355" xr:uid="{694F10AE-2476-4B99-BD99-176335D74051}"/>
    <cellStyle name="Normal 4 6 2 2 2 2 2 2" xfId="8573" xr:uid="{BE9BF82A-A3E7-4FDB-9659-7C014CDEFE42}"/>
    <cellStyle name="Normal 4 6 2 2 2 2 3" xfId="6428" xr:uid="{C10D0562-7698-46E8-B598-30F9C49ADED9}"/>
    <cellStyle name="Normal 4 6 2 2 2 2 4" xfId="2126" xr:uid="{37E84EF9-A813-468B-8203-6259E81D54AE}"/>
    <cellStyle name="Normal 4 6 2 2 2 3" xfId="1297" xr:uid="{D77B768F-962D-47E4-9420-6C47A49E11D9}"/>
    <cellStyle name="Normal 4 6 2 2 2 3 2" xfId="4768" xr:uid="{EA19635A-EF25-49DE-BADA-4B7B4A23031F}"/>
    <cellStyle name="Normal 4 6 2 2 2 3 2 2" xfId="8986" xr:uid="{E364B9C3-F7AF-49EC-983D-53D123277E16}"/>
    <cellStyle name="Normal 4 6 2 2 2 3 3" xfId="6841" xr:uid="{4F909089-CAC2-4FEC-A926-D0B6D771F9C4}"/>
    <cellStyle name="Normal 4 6 2 2 2 3 4" xfId="2539" xr:uid="{6491D611-B187-4E25-9D1B-B1C2B818F89C}"/>
    <cellStyle name="Normal 4 6 2 2 2 4" xfId="2952" xr:uid="{406645BA-EF01-4538-9F5F-6DB1C9A4A07E}"/>
    <cellStyle name="Normal 4 6 2 2 2 4 2" xfId="5181" xr:uid="{467E75C7-76C8-4A54-8CBA-E862E169CDAD}"/>
    <cellStyle name="Normal 4 6 2 2 2 4 2 2" xfId="9399" xr:uid="{145937C7-C552-459C-AB1C-203CA9843698}"/>
    <cellStyle name="Normal 4 6 2 2 2 4 3" xfId="7254" xr:uid="{653AF24F-AC8C-4071-9327-77C212CA0C18}"/>
    <cellStyle name="Normal 4 6 2 2 2 5" xfId="3365" xr:uid="{49083456-876C-4F72-906E-533781E1EAE6}"/>
    <cellStyle name="Normal 4 6 2 2 2 5 2" xfId="5594" xr:uid="{FBEAD628-0EAC-4ABA-B877-DC4030B60B29}"/>
    <cellStyle name="Normal 4 6 2 2 2 5 2 2" xfId="9812" xr:uid="{2509BA68-9B5E-442D-A66F-718D548998FE}"/>
    <cellStyle name="Normal 4 6 2 2 2 5 3" xfId="7667" xr:uid="{71535BB5-DABF-4CB8-A27A-D93CC209271B}"/>
    <cellStyle name="Normal 4 6 2 2 2 6" xfId="3801" xr:uid="{B9D273FB-22B0-42ED-AA13-1EF6C45EA1F2}"/>
    <cellStyle name="Normal 4 6 2 2 2 6 2" xfId="8080" xr:uid="{8704954C-B15B-4554-B63B-37BAF4226BDF}"/>
    <cellStyle name="Normal 4 6 2 2 2 7" xfId="6015" xr:uid="{E93EA1D2-8765-48B0-95E8-1FDE025228B7}"/>
    <cellStyle name="Normal 4 6 2 2 2 8" xfId="1711" xr:uid="{34567732-7F68-42B2-BB8D-87EAB21A22A1}"/>
    <cellStyle name="Normal 4 6 2 2 3" xfId="879" xr:uid="{00000000-0005-0000-0000-0000C1020000}"/>
    <cellStyle name="Normal 4 6 2 2 3 2" xfId="4354" xr:uid="{C5893AEB-E4DD-4A5B-853A-5DA750CE5F86}"/>
    <cellStyle name="Normal 4 6 2 2 3 2 2" xfId="8572" xr:uid="{F914FB50-CFE0-4634-89FA-AA46F1F16D78}"/>
    <cellStyle name="Normal 4 6 2 2 3 3" xfId="6427" xr:uid="{4DB7CF26-FD0E-4CBC-B502-A88A76D56DB3}"/>
    <cellStyle name="Normal 4 6 2 2 3 4" xfId="2125" xr:uid="{46AEB927-5EE0-4373-A713-25ED0C99A9CA}"/>
    <cellStyle name="Normal 4 6 2 2 4" xfId="1296" xr:uid="{D65D08A7-4B84-44DF-A1B1-BF0F230D5972}"/>
    <cellStyle name="Normal 4 6 2 2 4 2" xfId="4767" xr:uid="{791200C4-F88E-4F21-9F18-8E223577E0A3}"/>
    <cellStyle name="Normal 4 6 2 2 4 2 2" xfId="8985" xr:uid="{A88CEC81-576A-412D-A17D-B97A66CCE4F0}"/>
    <cellStyle name="Normal 4 6 2 2 4 3" xfId="6840" xr:uid="{337DC028-446D-4A53-A97C-F7A6118C91D4}"/>
    <cellStyle name="Normal 4 6 2 2 4 4" xfId="2538" xr:uid="{EE852E71-B69B-4D0B-8B54-84A56C54CA71}"/>
    <cellStyle name="Normal 4 6 2 2 5" xfId="2951" xr:uid="{E3C71F71-327A-4AA9-A8BE-0BED75FCDD50}"/>
    <cellStyle name="Normal 4 6 2 2 5 2" xfId="5180" xr:uid="{61A0D733-11B2-4DD7-8E70-FEA73459B612}"/>
    <cellStyle name="Normal 4 6 2 2 5 2 2" xfId="9398" xr:uid="{AD35E4F7-24BE-408D-BEC0-708034F11F68}"/>
    <cellStyle name="Normal 4 6 2 2 5 3" xfId="7253" xr:uid="{3A457AB0-3D51-406F-9F24-4FE49AD2E6DE}"/>
    <cellStyle name="Normal 4 6 2 2 6" xfId="3364" xr:uid="{B22699CC-3AF4-4057-AF14-B267493603F8}"/>
    <cellStyle name="Normal 4 6 2 2 6 2" xfId="5593" xr:uid="{6FE1B506-B880-44C5-B743-874FC85F34F4}"/>
    <cellStyle name="Normal 4 6 2 2 6 2 2" xfId="9811" xr:uid="{D169ECCD-081B-4E37-87C1-8B14C2C26B9E}"/>
    <cellStyle name="Normal 4 6 2 2 6 3" xfId="7666" xr:uid="{46A283B9-FC30-4CBD-BF9D-B4EBF481D2C7}"/>
    <cellStyle name="Normal 4 6 2 2 7" xfId="3800" xr:uid="{7012A8F6-5835-4EFA-9126-652098CC104E}"/>
    <cellStyle name="Normal 4 6 2 2 7 2" xfId="8079" xr:uid="{73913719-4DFA-4EA4-AC8D-0CFBF63272F1}"/>
    <cellStyle name="Normal 4 6 2 2 8" xfId="6014" xr:uid="{3D1D4536-070D-4535-810D-4A6965934C6B}"/>
    <cellStyle name="Normal 4 6 2 2 9" xfId="1710" xr:uid="{CA81CDF8-CB3C-4A7E-A4E1-B2D4972BD2FD}"/>
    <cellStyle name="Normal 4 6 2 3" xfId="402" xr:uid="{00000000-0005-0000-0000-0000C2020000}"/>
    <cellStyle name="Normal 4 6 2 3 2" xfId="881" xr:uid="{00000000-0005-0000-0000-0000C3020000}"/>
    <cellStyle name="Normal 4 6 2 3 2 2" xfId="4356" xr:uid="{F74C40DA-6691-47EE-BF27-AF5E096AC0A2}"/>
    <cellStyle name="Normal 4 6 2 3 2 2 2" xfId="8574" xr:uid="{69884192-286A-48DF-94DC-59CF4A1138C2}"/>
    <cellStyle name="Normal 4 6 2 3 2 3" xfId="6429" xr:uid="{E4218167-2B29-45D7-BA95-C7DFDFDC4386}"/>
    <cellStyle name="Normal 4 6 2 3 2 4" xfId="2127" xr:uid="{F382E1E1-23F0-4E57-BA3E-B9D29A96FFB8}"/>
    <cellStyle name="Normal 4 6 2 3 3" xfId="1298" xr:uid="{97E441F2-02BC-44AF-A72A-A9892B82464C}"/>
    <cellStyle name="Normal 4 6 2 3 3 2" xfId="4769" xr:uid="{2C4DDBF6-7A15-490C-A706-F9540B34B3C8}"/>
    <cellStyle name="Normal 4 6 2 3 3 2 2" xfId="8987" xr:uid="{D4E0232C-E05A-4B68-A885-8393721B1AE1}"/>
    <cellStyle name="Normal 4 6 2 3 3 3" xfId="6842" xr:uid="{621B9E84-F4C1-4F82-A231-A8F021E00D7A}"/>
    <cellStyle name="Normal 4 6 2 3 3 4" xfId="2540" xr:uid="{3633CCD2-22A2-4DD3-935D-6BFF71B26316}"/>
    <cellStyle name="Normal 4 6 2 3 4" xfId="2953" xr:uid="{FDD933A5-E257-488F-AE6A-A7D0E8D5827C}"/>
    <cellStyle name="Normal 4 6 2 3 4 2" xfId="5182" xr:uid="{84188725-A446-4B76-91E0-EB2E751A59B9}"/>
    <cellStyle name="Normal 4 6 2 3 4 2 2" xfId="9400" xr:uid="{BF732AC8-64D6-4B28-B2EB-EB62E18F7AD3}"/>
    <cellStyle name="Normal 4 6 2 3 4 3" xfId="7255" xr:uid="{4EB105D4-B730-4753-9F34-6A983CE0682E}"/>
    <cellStyle name="Normal 4 6 2 3 5" xfId="3366" xr:uid="{29662FCA-3409-4513-9A1F-38227B8F66B9}"/>
    <cellStyle name="Normal 4 6 2 3 5 2" xfId="5595" xr:uid="{A7FB5AFD-9746-443F-A2D2-EB5B05C56A4E}"/>
    <cellStyle name="Normal 4 6 2 3 5 2 2" xfId="9813" xr:uid="{73FD56D9-0DAA-4C8D-895F-5824281F1C24}"/>
    <cellStyle name="Normal 4 6 2 3 5 3" xfId="7668" xr:uid="{34A30118-3AF1-44B0-BCF1-5E376AE117C5}"/>
    <cellStyle name="Normal 4 6 2 3 6" xfId="3802" xr:uid="{2FA7FB29-8F34-4191-B915-AED3025A4278}"/>
    <cellStyle name="Normal 4 6 2 3 6 2" xfId="8081" xr:uid="{2511D119-504D-48DC-AAF4-EC77B0BDD5E7}"/>
    <cellStyle name="Normal 4 6 2 3 7" xfId="6016" xr:uid="{47BB4921-4E49-40D1-B64A-D5357D15D8CB}"/>
    <cellStyle name="Normal 4 6 2 3 8" xfId="1712" xr:uid="{D7DE6B56-B583-4F4F-BB54-3DB4B0F03666}"/>
    <cellStyle name="Normal 4 6 2 4" xfId="878" xr:uid="{00000000-0005-0000-0000-0000C4020000}"/>
    <cellStyle name="Normal 4 6 2 4 2" xfId="4353" xr:uid="{6E229C81-E147-4EE8-91AD-4931919AE48B}"/>
    <cellStyle name="Normal 4 6 2 4 2 2" xfId="8571" xr:uid="{37C1DCC8-0023-4161-9BA0-E950146B718D}"/>
    <cellStyle name="Normal 4 6 2 4 3" xfId="6426" xr:uid="{CD79F118-48DF-4CCE-8C90-C8DDF6938B3E}"/>
    <cellStyle name="Normal 4 6 2 4 4" xfId="2124" xr:uid="{790DFD2F-BF65-435F-9555-D18DEF70EA16}"/>
    <cellStyle name="Normal 4 6 2 5" xfId="1295" xr:uid="{CF05FFAA-2444-4C91-A062-5899B6BE514D}"/>
    <cellStyle name="Normal 4 6 2 5 2" xfId="4766" xr:uid="{3FBC0B03-376B-4A44-8760-82EAD6806E6D}"/>
    <cellStyle name="Normal 4 6 2 5 2 2" xfId="8984" xr:uid="{762883F8-A578-4FEC-8AE2-78E991A4E1D9}"/>
    <cellStyle name="Normal 4 6 2 5 3" xfId="6839" xr:uid="{6DDE5F62-4E57-47FA-AA11-4587C8CDEA0E}"/>
    <cellStyle name="Normal 4 6 2 5 4" xfId="2537" xr:uid="{37AA93DA-34C3-4784-91CC-BA181C06C2D5}"/>
    <cellStyle name="Normal 4 6 2 6" xfId="2950" xr:uid="{47583554-5530-4148-BC05-C0FC5D9C4085}"/>
    <cellStyle name="Normal 4 6 2 6 2" xfId="5179" xr:uid="{CD81F758-C9AA-400F-882C-E6CE9E7F5F26}"/>
    <cellStyle name="Normal 4 6 2 6 2 2" xfId="9397" xr:uid="{04131128-6929-4FFA-867F-A7724BF522DF}"/>
    <cellStyle name="Normal 4 6 2 6 3" xfId="7252" xr:uid="{72BB2350-E889-4EA9-AD5A-73FDC2DEC9DE}"/>
    <cellStyle name="Normal 4 6 2 7" xfId="3363" xr:uid="{492715FD-7960-4D9F-ACFA-28C6A3734255}"/>
    <cellStyle name="Normal 4 6 2 7 2" xfId="5592" xr:uid="{4F8C9F62-5E2C-4BC1-AB9A-5BFEAE4C0EE2}"/>
    <cellStyle name="Normal 4 6 2 7 2 2" xfId="9810" xr:uid="{184D2D5B-283D-4224-86AC-F2710B278D9C}"/>
    <cellStyle name="Normal 4 6 2 7 3" xfId="7665" xr:uid="{91CDCCA0-49E9-43DC-B4BC-8B543DBB13D8}"/>
    <cellStyle name="Normal 4 6 2 8" xfId="3799" xr:uid="{8641FE09-7B9A-44FF-8BBF-C594CA27D468}"/>
    <cellStyle name="Normal 4 6 2 8 2" xfId="8078" xr:uid="{27886D83-C21A-496D-B3A7-5E924607E5DD}"/>
    <cellStyle name="Normal 4 6 2 9" xfId="6013" xr:uid="{7EF10E77-759A-4E74-9B10-E5CDCFA70804}"/>
    <cellStyle name="Normal 4 6 3" xfId="403" xr:uid="{00000000-0005-0000-0000-0000C5020000}"/>
    <cellStyle name="Normal 4 6 3 2" xfId="404" xr:uid="{00000000-0005-0000-0000-0000C6020000}"/>
    <cellStyle name="Normal 4 6 3 2 2" xfId="883" xr:uid="{00000000-0005-0000-0000-0000C7020000}"/>
    <cellStyle name="Normal 4 6 3 2 2 2" xfId="4358" xr:uid="{68337B2B-6352-40FC-97D0-7F6FE62E9754}"/>
    <cellStyle name="Normal 4 6 3 2 2 2 2" xfId="8576" xr:uid="{B7403417-17C5-45BC-89E1-E53651E1610F}"/>
    <cellStyle name="Normal 4 6 3 2 2 3" xfId="6431" xr:uid="{27561B69-7ABE-4EA9-AC13-E7C8C438C4B1}"/>
    <cellStyle name="Normal 4 6 3 2 2 4" xfId="2129" xr:uid="{1EA10506-EE9D-41F8-B2C2-EC1034321C6F}"/>
    <cellStyle name="Normal 4 6 3 2 3" xfId="1300" xr:uid="{E4030641-5CCA-443F-AB87-F27E82047EBA}"/>
    <cellStyle name="Normal 4 6 3 2 3 2" xfId="4771" xr:uid="{2EA40EA0-C6F8-4795-BD8E-02E0EDFDB355}"/>
    <cellStyle name="Normal 4 6 3 2 3 2 2" xfId="8989" xr:uid="{A65E742F-AE94-4417-881D-99F2CADD2FD1}"/>
    <cellStyle name="Normal 4 6 3 2 3 3" xfId="6844" xr:uid="{407AA829-A157-4363-8C36-8E809BC76018}"/>
    <cellStyle name="Normal 4 6 3 2 3 4" xfId="2542" xr:uid="{BC9EDACB-1D65-4035-8EC6-A57F64F057A6}"/>
    <cellStyle name="Normal 4 6 3 2 4" xfId="2955" xr:uid="{EB879AE7-D9C2-4522-81CB-86C5F9384493}"/>
    <cellStyle name="Normal 4 6 3 2 4 2" xfId="5184" xr:uid="{A1321C40-A97D-48D7-BCA6-A0E9D5C3141E}"/>
    <cellStyle name="Normal 4 6 3 2 4 2 2" xfId="9402" xr:uid="{FD38F30C-2214-46B8-AAEB-7C4F396F3B6B}"/>
    <cellStyle name="Normal 4 6 3 2 4 3" xfId="7257" xr:uid="{33082CBC-F2D6-40F4-B473-AE5A137E34B7}"/>
    <cellStyle name="Normal 4 6 3 2 5" xfId="3368" xr:uid="{F7748181-4890-4375-A732-861928926DD6}"/>
    <cellStyle name="Normal 4 6 3 2 5 2" xfId="5597" xr:uid="{F6C9BA70-FA29-4E80-B85F-F1EF971B4A53}"/>
    <cellStyle name="Normal 4 6 3 2 5 2 2" xfId="9815" xr:uid="{97256B75-EDEF-4855-82A4-3E594E6AE5C6}"/>
    <cellStyle name="Normal 4 6 3 2 5 3" xfId="7670" xr:uid="{984D9259-E13E-43DB-AF54-A8A5CF2F4E03}"/>
    <cellStyle name="Normal 4 6 3 2 6" xfId="3804" xr:uid="{96F2F261-EAB9-4546-A1FA-59F91D0BA6C2}"/>
    <cellStyle name="Normal 4 6 3 2 6 2" xfId="8083" xr:uid="{772B2F5C-9E02-484C-A659-1D512C7CB60D}"/>
    <cellStyle name="Normal 4 6 3 2 7" xfId="6018" xr:uid="{6A432052-EB7E-4028-B3CA-57FD4DF8E29B}"/>
    <cellStyle name="Normal 4 6 3 2 8" xfId="1714" xr:uid="{E04308BD-161B-4047-AFCB-EB770B96E296}"/>
    <cellStyle name="Normal 4 6 3 3" xfId="882" xr:uid="{00000000-0005-0000-0000-0000C8020000}"/>
    <cellStyle name="Normal 4 6 3 3 2" xfId="4357" xr:uid="{B46D5F37-1143-4961-A2AD-7F1FE1CB5F2D}"/>
    <cellStyle name="Normal 4 6 3 3 2 2" xfId="8575" xr:uid="{5B1DD724-F4D3-406C-AAD8-92B36FFA3CF7}"/>
    <cellStyle name="Normal 4 6 3 3 3" xfId="6430" xr:uid="{D2E693F9-DBD1-45AF-ADCA-DC54F409C035}"/>
    <cellStyle name="Normal 4 6 3 3 4" xfId="2128" xr:uid="{31993ED8-63A2-4154-9BEA-DC42BA995C94}"/>
    <cellStyle name="Normal 4 6 3 4" xfId="1299" xr:uid="{79E0993E-05BF-4FDF-A48E-9FC4B64C6053}"/>
    <cellStyle name="Normal 4 6 3 4 2" xfId="4770" xr:uid="{84448F70-2952-40CB-8C0C-ED1CF66810CD}"/>
    <cellStyle name="Normal 4 6 3 4 2 2" xfId="8988" xr:uid="{1F803DC7-2B92-4C12-B2CC-49E5124802A7}"/>
    <cellStyle name="Normal 4 6 3 4 3" xfId="6843" xr:uid="{AD1E49CF-FF04-4C3F-BD25-B8ED8813DFC4}"/>
    <cellStyle name="Normal 4 6 3 4 4" xfId="2541" xr:uid="{20648C37-8A04-4234-91F3-BEBC86366830}"/>
    <cellStyle name="Normal 4 6 3 5" xfId="2954" xr:uid="{1AA2C82A-BC56-41C0-9729-810A0B81E456}"/>
    <cellStyle name="Normal 4 6 3 5 2" xfId="5183" xr:uid="{2AFCD66B-BFE3-41D8-9E99-3E4A42C883B5}"/>
    <cellStyle name="Normal 4 6 3 5 2 2" xfId="9401" xr:uid="{1908010C-1D2B-43FE-AC51-21BCDF5438C2}"/>
    <cellStyle name="Normal 4 6 3 5 3" xfId="7256" xr:uid="{25D8639C-2113-4F17-934B-1BAE1C35A57D}"/>
    <cellStyle name="Normal 4 6 3 6" xfId="3367" xr:uid="{F42F55B6-3698-4800-AECC-5EB2A5576E89}"/>
    <cellStyle name="Normal 4 6 3 6 2" xfId="5596" xr:uid="{C490137C-278B-4115-A2FF-4D2977C90544}"/>
    <cellStyle name="Normal 4 6 3 6 2 2" xfId="9814" xr:uid="{07539F7D-A46B-483A-ADF7-E7E7B9C95D76}"/>
    <cellStyle name="Normal 4 6 3 6 3" xfId="7669" xr:uid="{B2686443-3FFA-4430-AC24-FBC36795C577}"/>
    <cellStyle name="Normal 4 6 3 7" xfId="3803" xr:uid="{9E6F2F24-0D25-449B-9399-5A39F9510453}"/>
    <cellStyle name="Normal 4 6 3 7 2" xfId="8082" xr:uid="{DC83966B-BF76-4C5D-9262-4A01C14873CF}"/>
    <cellStyle name="Normal 4 6 3 8" xfId="6017" xr:uid="{1E9D1E78-2B2B-4939-B09A-E8A16EAA4029}"/>
    <cellStyle name="Normal 4 6 3 9" xfId="1713" xr:uid="{C546A366-B822-4862-8BAB-C20A40599E79}"/>
    <cellStyle name="Normal 4 6 4" xfId="405" xr:uid="{00000000-0005-0000-0000-0000C9020000}"/>
    <cellStyle name="Normal 4 6 4 2" xfId="884" xr:uid="{00000000-0005-0000-0000-0000CA020000}"/>
    <cellStyle name="Normal 4 6 4 2 2" xfId="4359" xr:uid="{F5D6B3B1-6285-4B77-B527-0B64864F1E1E}"/>
    <cellStyle name="Normal 4 6 4 2 2 2" xfId="8577" xr:uid="{3CFF0D13-AD44-481C-BBA9-F8DCD379FFFA}"/>
    <cellStyle name="Normal 4 6 4 2 3" xfId="6432" xr:uid="{02E6F1C0-CD6B-4998-A6F7-54A4E8C80918}"/>
    <cellStyle name="Normal 4 6 4 2 4" xfId="2130" xr:uid="{BC38380B-66CF-4E69-A55A-EEDD7A18673A}"/>
    <cellStyle name="Normal 4 6 4 3" xfId="1301" xr:uid="{09E0C653-AE0E-4876-96BA-4706DDFF7A29}"/>
    <cellStyle name="Normal 4 6 4 3 2" xfId="4772" xr:uid="{EFC6E6C8-4121-48FE-B7DD-AB643B1FCD17}"/>
    <cellStyle name="Normal 4 6 4 3 2 2" xfId="8990" xr:uid="{F6CE2B0F-CD68-4BA5-9E5A-4983C1F1115D}"/>
    <cellStyle name="Normal 4 6 4 3 3" xfId="6845" xr:uid="{FEFBC7F3-1DE4-4612-B23F-99ADB1B74E03}"/>
    <cellStyle name="Normal 4 6 4 3 4" xfId="2543" xr:uid="{134E1298-4C5B-4F81-9BD6-563878245C75}"/>
    <cellStyle name="Normal 4 6 4 4" xfId="2956" xr:uid="{6A8E4F66-55D4-40EF-950D-5A1F2B96D93F}"/>
    <cellStyle name="Normal 4 6 4 4 2" xfId="5185" xr:uid="{94511CDB-B62D-47B0-80DD-52AFB3317FC2}"/>
    <cellStyle name="Normal 4 6 4 4 2 2" xfId="9403" xr:uid="{BBED3CCD-D2D8-4CC5-9A79-E98581A7F3E6}"/>
    <cellStyle name="Normal 4 6 4 4 3" xfId="7258" xr:uid="{559A6A89-B225-4257-8519-FC94E2A79D1C}"/>
    <cellStyle name="Normal 4 6 4 5" xfId="3369" xr:uid="{E8280492-A504-4155-97D7-4B2A4D0941E8}"/>
    <cellStyle name="Normal 4 6 4 5 2" xfId="5598" xr:uid="{B90736C1-5EEF-44E1-8088-F780D1BB5549}"/>
    <cellStyle name="Normal 4 6 4 5 2 2" xfId="9816" xr:uid="{AB252DDF-2EB8-424E-9545-CB126E26D4E1}"/>
    <cellStyle name="Normal 4 6 4 5 3" xfId="7671" xr:uid="{83DE801F-7051-44E2-978C-9CCF24065E82}"/>
    <cellStyle name="Normal 4 6 4 6" xfId="3805" xr:uid="{5798FACF-EBC3-4862-B8C8-1ADCA31CDDC2}"/>
    <cellStyle name="Normal 4 6 4 6 2" xfId="8084" xr:uid="{EF3A1A2F-011A-4538-B347-D5042FB57FEC}"/>
    <cellStyle name="Normal 4 6 4 7" xfId="6019" xr:uid="{BA4C3AA8-4379-4052-A769-CD1537082524}"/>
    <cellStyle name="Normal 4 6 4 8" xfId="1715" xr:uid="{02F6AB79-F725-41B6-9DDE-AA4F2A04FF25}"/>
    <cellStyle name="Normal 4 6 5" xfId="877" xr:uid="{00000000-0005-0000-0000-0000CB020000}"/>
    <cellStyle name="Normal 4 6 5 2" xfId="4352" xr:uid="{DEDA3187-9175-4E87-8C8A-30F8396E8EF1}"/>
    <cellStyle name="Normal 4 6 5 2 2" xfId="8570" xr:uid="{7F1A448E-848F-439E-80F1-95EF3E83D4E6}"/>
    <cellStyle name="Normal 4 6 5 3" xfId="6425" xr:uid="{7CF04D5F-F539-4B13-B71C-D7695675F00A}"/>
    <cellStyle name="Normal 4 6 5 4" xfId="2123" xr:uid="{396B0FF1-BBAA-408D-BAD3-BF6247315BF1}"/>
    <cellStyle name="Normal 4 6 6" xfId="1294" xr:uid="{CF908DD0-13BB-4ED9-9F88-498BF3625C5D}"/>
    <cellStyle name="Normal 4 6 6 2" xfId="4765" xr:uid="{05E869CB-F5FA-45ED-905F-70D48C6E130F}"/>
    <cellStyle name="Normal 4 6 6 2 2" xfId="8983" xr:uid="{A877AABC-8159-4827-BE29-D4BEEF5DC7D7}"/>
    <cellStyle name="Normal 4 6 6 3" xfId="6838" xr:uid="{407593A7-9835-4703-B98E-69FE04830D83}"/>
    <cellStyle name="Normal 4 6 6 4" xfId="2536" xr:uid="{0B0F7866-6E34-4FEA-8881-F7417BF3C7F9}"/>
    <cellStyle name="Normal 4 6 7" xfId="2949" xr:uid="{4D684354-D23E-4AFE-A4ED-B3F91C62A62D}"/>
    <cellStyle name="Normal 4 6 7 2" xfId="5178" xr:uid="{1B7597F2-8409-4C70-9AB1-683EF9C80220}"/>
    <cellStyle name="Normal 4 6 7 2 2" xfId="9396" xr:uid="{BABC461E-B037-4BCE-8E53-56908F9B1458}"/>
    <cellStyle name="Normal 4 6 7 3" xfId="7251" xr:uid="{A3A1D351-B839-44A3-8EC0-38A9360BFD8B}"/>
    <cellStyle name="Normal 4 6 8" xfId="3362" xr:uid="{BA647792-8930-4DA3-9874-37C711F925A9}"/>
    <cellStyle name="Normal 4 6 8 2" xfId="5591" xr:uid="{1EC417D5-2B29-4CA2-877C-ECE27D750EDD}"/>
    <cellStyle name="Normal 4 6 8 2 2" xfId="9809" xr:uid="{0B2EEA71-FB8F-4713-84F1-9E50921F3FB1}"/>
    <cellStyle name="Normal 4 6 8 3" xfId="7664" xr:uid="{052D1369-3468-4450-B350-E2D78E96780A}"/>
    <cellStyle name="Normal 4 6 9" xfId="3798" xr:uid="{EF6FF58C-CA1E-4268-8979-6B626285164D}"/>
    <cellStyle name="Normal 4 6 9 2" xfId="8077" xr:uid="{58A6EEAD-5ADF-4E05-A766-6741EACA8D7F}"/>
    <cellStyle name="Normal 4 7" xfId="406" xr:uid="{00000000-0005-0000-0000-0000CC020000}"/>
    <cellStyle name="Normal 4 7 2" xfId="407" xr:uid="{00000000-0005-0000-0000-0000CD020000}"/>
    <cellStyle name="Normal 4 7 2 2" xfId="886" xr:uid="{00000000-0005-0000-0000-0000CE020000}"/>
    <cellStyle name="Normal 4 7 2 2 2" xfId="4361" xr:uid="{E91D3887-A176-4CC6-B0B9-DA1D8D54C302}"/>
    <cellStyle name="Normal 4 7 2 2 2 2" xfId="8579" xr:uid="{32901EF8-9006-48BA-9179-3B4CDE132FBC}"/>
    <cellStyle name="Normal 4 7 2 2 3" xfId="6434" xr:uid="{1B449DA0-A481-42C0-9F52-BB8380823B10}"/>
    <cellStyle name="Normal 4 7 2 2 4" xfId="2132" xr:uid="{B9CDF29C-5B2D-4FD2-9468-1821270856A9}"/>
    <cellStyle name="Normal 4 7 2 3" xfId="1303" xr:uid="{BDB0595B-8784-4C89-8692-E85B16AF4461}"/>
    <cellStyle name="Normal 4 7 2 3 2" xfId="4774" xr:uid="{2DA7B073-6744-4A1A-9D2A-E53D245F3E42}"/>
    <cellStyle name="Normal 4 7 2 3 2 2" xfId="8992" xr:uid="{353C02B0-B140-4F31-B293-EDBF45092773}"/>
    <cellStyle name="Normal 4 7 2 3 3" xfId="6847" xr:uid="{1697B457-9625-4220-BEE5-B2A3DE1CBFE7}"/>
    <cellStyle name="Normal 4 7 2 3 4" xfId="2545" xr:uid="{A8878653-A7F4-450B-A96B-D8D1DB6ED76B}"/>
    <cellStyle name="Normal 4 7 2 4" xfId="2958" xr:uid="{A10BA96A-F90A-41D9-9C0E-D6FFF3A90A51}"/>
    <cellStyle name="Normal 4 7 2 4 2" xfId="5187" xr:uid="{8FD8E969-4353-42BF-8D9F-CF698D939F6E}"/>
    <cellStyle name="Normal 4 7 2 4 2 2" xfId="9405" xr:uid="{4C4DE914-DA3D-484D-827E-922F2A079923}"/>
    <cellStyle name="Normal 4 7 2 4 3" xfId="7260" xr:uid="{BF53FBD8-4B98-4DCC-BFC0-9434B0EA3274}"/>
    <cellStyle name="Normal 4 7 2 5" xfId="3371" xr:uid="{347BA8A1-0274-43A8-A4E5-8C904A8F60F8}"/>
    <cellStyle name="Normal 4 7 2 5 2" xfId="5600" xr:uid="{4C3649B5-66C4-459A-9DB1-0FD0F4156CA2}"/>
    <cellStyle name="Normal 4 7 2 5 2 2" xfId="9818" xr:uid="{E0FA12CC-11A9-4E1F-9DC9-FD542D6B298C}"/>
    <cellStyle name="Normal 4 7 2 5 3" xfId="7673" xr:uid="{39E10337-8180-4E67-8A32-058A263DFB07}"/>
    <cellStyle name="Normal 4 7 2 6" xfId="3807" xr:uid="{E4E48703-6AF7-4189-8C70-D3E31A9DFE37}"/>
    <cellStyle name="Normal 4 7 2 6 2" xfId="8086" xr:uid="{48DD905F-CF6E-4C21-B6C4-BA3B5C1D28D9}"/>
    <cellStyle name="Normal 4 7 2 7" xfId="6021" xr:uid="{724614F5-B36C-4795-946F-5511206362B5}"/>
    <cellStyle name="Normal 4 7 2 8" xfId="1717" xr:uid="{D9E5C2E1-D77B-4F66-B1EE-3CF61191402A}"/>
    <cellStyle name="Normal 4 7 3" xfId="885" xr:uid="{00000000-0005-0000-0000-0000CF020000}"/>
    <cellStyle name="Normal 4 7 3 2" xfId="4360" xr:uid="{E189D032-F961-4142-8AEA-3C132D3F858F}"/>
    <cellStyle name="Normal 4 7 3 2 2" xfId="8578" xr:uid="{8B87D8FA-A22D-4540-8EE8-4B581763F694}"/>
    <cellStyle name="Normal 4 7 3 3" xfId="6433" xr:uid="{16234B81-7ADC-4B7A-8569-F3676506BEF9}"/>
    <cellStyle name="Normal 4 7 3 4" xfId="2131" xr:uid="{D9865CF8-D445-4876-92E2-02310944D248}"/>
    <cellStyle name="Normal 4 7 4" xfId="1302" xr:uid="{024CA28C-3390-4CE0-A6C0-900E9F1D5A57}"/>
    <cellStyle name="Normal 4 7 4 2" xfId="4773" xr:uid="{061FA480-3AB8-4867-B8B4-BBEE2A6BE537}"/>
    <cellStyle name="Normal 4 7 4 2 2" xfId="8991" xr:uid="{4F8A8574-2129-4697-8281-8CBA87CB53A4}"/>
    <cellStyle name="Normal 4 7 4 3" xfId="6846" xr:uid="{8CCCD268-FD74-424D-9FF4-2D810AB73DD0}"/>
    <cellStyle name="Normal 4 7 4 4" xfId="2544" xr:uid="{3B3AC5BC-A136-4235-B27E-F37C4A805F4E}"/>
    <cellStyle name="Normal 4 7 5" xfId="2957" xr:uid="{7ED17D97-8247-4325-8FD8-8D9423D70F5A}"/>
    <cellStyle name="Normal 4 7 5 2" xfId="5186" xr:uid="{45C6278F-993F-4C3F-AABC-17DABE7AEA6B}"/>
    <cellStyle name="Normal 4 7 5 2 2" xfId="9404" xr:uid="{612F874E-D118-4C29-B032-019260B32366}"/>
    <cellStyle name="Normal 4 7 5 3" xfId="7259" xr:uid="{41A168F2-9966-4081-AC1D-5EF094208F6B}"/>
    <cellStyle name="Normal 4 7 6" xfId="3370" xr:uid="{7F15278D-4D87-415C-804A-E9C11F1A2BAF}"/>
    <cellStyle name="Normal 4 7 6 2" xfId="5599" xr:uid="{F58A7E18-A0E5-42C3-AF93-885D278B282D}"/>
    <cellStyle name="Normal 4 7 6 2 2" xfId="9817" xr:uid="{2D92A553-B279-4750-8E66-3A84AF892522}"/>
    <cellStyle name="Normal 4 7 6 3" xfId="7672" xr:uid="{5AC05200-8C3D-4EAC-AAC6-2DF4DB8A60DC}"/>
    <cellStyle name="Normal 4 7 7" xfId="3806" xr:uid="{0F970DE5-6203-46E4-9EE3-8F14F2CA9493}"/>
    <cellStyle name="Normal 4 7 7 2" xfId="8085" xr:uid="{786004D5-6C02-4612-834B-EF1BEAAD5321}"/>
    <cellStyle name="Normal 4 7 8" xfId="6020" xr:uid="{901FE7B6-CF64-4D51-810C-DFC0C360DB20}"/>
    <cellStyle name="Normal 4 7 9" xfId="1716" xr:uid="{F5532AB9-446B-4F3F-9BC3-FBC465EB22A0}"/>
    <cellStyle name="Normal 4 8" xfId="408" xr:uid="{00000000-0005-0000-0000-0000D0020000}"/>
    <cellStyle name="Normal 4 8 2" xfId="887" xr:uid="{00000000-0005-0000-0000-0000D1020000}"/>
    <cellStyle name="Normal 4 8 2 2" xfId="4362" xr:uid="{F668AEC8-62ED-4350-8D2C-FA74127D9EB3}"/>
    <cellStyle name="Normal 4 8 2 2 2" xfId="8580" xr:uid="{BD2D9D39-5967-4A78-89A1-79A12E57C82B}"/>
    <cellStyle name="Normal 4 8 2 3" xfId="6435" xr:uid="{658D2559-F6EB-476F-A6A0-1B61ACF6AB3E}"/>
    <cellStyle name="Normal 4 8 2 4" xfId="2133" xr:uid="{53936FE9-42AC-4790-8E61-98DAFEE30F4D}"/>
    <cellStyle name="Normal 4 8 3" xfId="1304" xr:uid="{C9B04B63-1321-4E26-97D1-D6E306515A20}"/>
    <cellStyle name="Normal 4 8 3 2" xfId="4775" xr:uid="{8CBDEE68-8886-444C-8DFF-2E80365B8C35}"/>
    <cellStyle name="Normal 4 8 3 2 2" xfId="8993" xr:uid="{7FC7C40B-0613-4230-B77F-43B26A560590}"/>
    <cellStyle name="Normal 4 8 3 3" xfId="6848" xr:uid="{67460ED5-C870-4E72-B4B8-241041DC1393}"/>
    <cellStyle name="Normal 4 8 3 4" xfId="2546" xr:uid="{24045559-60DF-4EBD-8D47-A08E51210AF3}"/>
    <cellStyle name="Normal 4 8 4" xfId="2959" xr:uid="{9B1FD8FD-DB82-46D2-BD41-39ED57852CEA}"/>
    <cellStyle name="Normal 4 8 4 2" xfId="5188" xr:uid="{7A16521C-98E4-4B57-848F-D7537A92D221}"/>
    <cellStyle name="Normal 4 8 4 2 2" xfId="9406" xr:uid="{B5AE541B-6513-48C3-B37A-44F95B30DDA6}"/>
    <cellStyle name="Normal 4 8 4 3" xfId="7261" xr:uid="{AA8F6746-7A02-4E4F-9D3E-87FFC864AAE8}"/>
    <cellStyle name="Normal 4 8 5" xfId="3372" xr:uid="{BD8AB14F-2C3E-4A70-8408-0C6757C8B45C}"/>
    <cellStyle name="Normal 4 8 5 2" xfId="5601" xr:uid="{5B5A664C-8778-45D2-B4BA-44CD9597102B}"/>
    <cellStyle name="Normal 4 8 5 2 2" xfId="9819" xr:uid="{1051E885-F002-4ACB-B416-4193610BB234}"/>
    <cellStyle name="Normal 4 8 5 3" xfId="7674" xr:uid="{06F1B2A3-4C09-4318-B8B7-BEBEB31C09EB}"/>
    <cellStyle name="Normal 4 8 6" xfId="3808" xr:uid="{F34BDD14-51D5-4A9D-AD31-23A7A95AFB29}"/>
    <cellStyle name="Normal 4 8 6 2" xfId="8087" xr:uid="{E20E8C1A-8414-4AC1-9419-5A7505996429}"/>
    <cellStyle name="Normal 4 8 7" xfId="6022" xr:uid="{D304D05B-9583-4F6C-A530-99663982857E}"/>
    <cellStyle name="Normal 4 8 8" xfId="1718" xr:uid="{B5A712C3-1776-4A01-BB4E-EF0E7DE7F829}"/>
    <cellStyle name="Normal 4 9" xfId="5959" xr:uid="{ED4E9371-79F0-427C-B460-1A19927171B6}"/>
    <cellStyle name="Normal 5" xfId="409" xr:uid="{00000000-0005-0000-0000-0000D2020000}"/>
    <cellStyle name="Normal 5 10" xfId="2960" xr:uid="{7ABE7B2E-2243-4F1B-8670-C90D51C9DE3C}"/>
    <cellStyle name="Normal 5 10 2" xfId="5189" xr:uid="{8D042CE5-20F8-4DB2-A196-ECC1AB971256}"/>
    <cellStyle name="Normal 5 10 2 2" xfId="9407" xr:uid="{8353EED2-0B1B-4715-AE35-C3B30973F874}"/>
    <cellStyle name="Normal 5 10 3" xfId="7262" xr:uid="{B5573AEA-FB6D-4C6E-8F4B-94BF92D00A30}"/>
    <cellStyle name="Normal 5 11" xfId="3373" xr:uid="{A0B18C88-FB1A-4D50-9505-48FE08AFA6E6}"/>
    <cellStyle name="Normal 5 11 2" xfId="5602" xr:uid="{EBE1B65B-D24F-40D0-A44D-3D3618F8BAEE}"/>
    <cellStyle name="Normal 5 11 2 2" xfId="9820" xr:uid="{E918E534-4278-4C7D-A35F-0BDEC0E3A52E}"/>
    <cellStyle name="Normal 5 11 3" xfId="7675" xr:uid="{BE55B775-E8B9-47DE-ACDB-7DE69BD3361C}"/>
    <cellStyle name="Normal 5 12" xfId="3809" xr:uid="{7C403881-D97C-4CB8-BED4-553214262D29}"/>
    <cellStyle name="Normal 5 12 2" xfId="8088" xr:uid="{79729B47-EB23-48C1-A0A7-B5EB21BD7E3C}"/>
    <cellStyle name="Normal 5 13" xfId="6023" xr:uid="{A9F1A18A-3FB7-417D-97BB-0396E9902CD8}"/>
    <cellStyle name="Normal 5 14" xfId="1719" xr:uid="{C17DB9EA-0370-4807-9543-71FDD60B9C09}"/>
    <cellStyle name="Normal 5 2" xfId="410" xr:uid="{00000000-0005-0000-0000-0000D3020000}"/>
    <cellStyle name="Normal 5 2 10" xfId="3374" xr:uid="{CE069B0F-47CA-45BE-A9AB-33E3C0D2AC29}"/>
    <cellStyle name="Normal 5 2 10 2" xfId="5603" xr:uid="{A51F46ED-9B6D-43BD-9A07-AE3583866453}"/>
    <cellStyle name="Normal 5 2 10 2 2" xfId="9821" xr:uid="{F5E9DAF8-DCCF-40E3-87FA-161358D22DAD}"/>
    <cellStyle name="Normal 5 2 10 3" xfId="7676" xr:uid="{DDBED120-82BE-4D37-8BC0-32573AD076BD}"/>
    <cellStyle name="Normal 5 2 11" xfId="3810" xr:uid="{5EC2134D-55A0-4489-950D-4FDCCE5AC76B}"/>
    <cellStyle name="Normal 5 2 11 2" xfId="8089" xr:uid="{D0802EC1-454B-4B40-BF46-226935CF7BB4}"/>
    <cellStyle name="Normal 5 2 12" xfId="6024" xr:uid="{740A0F76-A61B-46A6-93CE-AF71502E617C}"/>
    <cellStyle name="Normal 5 2 13" xfId="1720" xr:uid="{19EA6BB0-7764-4134-BB66-7F9A0F01836F}"/>
    <cellStyle name="Normal 5 2 2" xfId="411" xr:uid="{00000000-0005-0000-0000-0000D4020000}"/>
    <cellStyle name="Normal 5 2 2 10" xfId="3811" xr:uid="{56DC1E7D-9117-4746-8432-D2AE84B49A5E}"/>
    <cellStyle name="Normal 5 2 2 10 2" xfId="8090" xr:uid="{E5B2DC68-3982-43E5-A241-9C256462193D}"/>
    <cellStyle name="Normal 5 2 2 11" xfId="6025" xr:uid="{E4BAB5DD-AA53-4B40-9DB9-6E7D45D45B42}"/>
    <cellStyle name="Normal 5 2 2 12" xfId="1721" xr:uid="{7B37804C-5B4F-41CD-BBCA-F318A9B967FE}"/>
    <cellStyle name="Normal 5 2 2 2" xfId="412" xr:uid="{00000000-0005-0000-0000-0000D5020000}"/>
    <cellStyle name="Normal 5 2 2 2 10" xfId="6026" xr:uid="{A8FE8723-2165-404F-816E-692D87246D60}"/>
    <cellStyle name="Normal 5 2 2 2 11" xfId="1722" xr:uid="{14477954-E2DA-4FE3-ACB8-A208C09DD1ED}"/>
    <cellStyle name="Normal 5 2 2 2 2" xfId="413" xr:uid="{00000000-0005-0000-0000-0000D6020000}"/>
    <cellStyle name="Normal 5 2 2 2 2 10" xfId="1723" xr:uid="{7BFA66D8-63EF-45E9-9150-704F6A622313}"/>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4369" xr:uid="{74390613-67BC-4076-98E8-CDE8B2C0B7E3}"/>
    <cellStyle name="Normal 5 2 2 2 2 2 2 2 2 2" xfId="8587" xr:uid="{FCC913EC-296E-4010-ADC0-DF3C161AD715}"/>
    <cellStyle name="Normal 5 2 2 2 2 2 2 2 3" xfId="6442" xr:uid="{6A07F7B2-5C54-4396-A9DD-3DAB1CC3F883}"/>
    <cellStyle name="Normal 5 2 2 2 2 2 2 2 4" xfId="2140" xr:uid="{3F55414E-8886-4CC9-94DB-172E38099317}"/>
    <cellStyle name="Normal 5 2 2 2 2 2 2 3" xfId="1311" xr:uid="{AFE5AF32-C6BC-442B-8BCE-89E91786F9EF}"/>
    <cellStyle name="Normal 5 2 2 2 2 2 2 3 2" xfId="4782" xr:uid="{6D1359B7-EB6D-40CE-8181-3BD4CC8434F9}"/>
    <cellStyle name="Normal 5 2 2 2 2 2 2 3 2 2" xfId="9000" xr:uid="{26378C60-1C26-490E-883A-F46E3E813C90}"/>
    <cellStyle name="Normal 5 2 2 2 2 2 2 3 3" xfId="6855" xr:uid="{92FA19D4-F280-41D7-B5A9-C967696F20D8}"/>
    <cellStyle name="Normal 5 2 2 2 2 2 2 3 4" xfId="2553" xr:uid="{DA1A6678-A94B-4FE1-A3F3-C8DC854FC809}"/>
    <cellStyle name="Normal 5 2 2 2 2 2 2 4" xfId="2966" xr:uid="{4A662C4C-7831-4282-986C-B2C30CA6F3FF}"/>
    <cellStyle name="Normal 5 2 2 2 2 2 2 4 2" xfId="5195" xr:uid="{F141B0D7-3D81-4D95-894E-9EA1BAC06298}"/>
    <cellStyle name="Normal 5 2 2 2 2 2 2 4 2 2" xfId="9413" xr:uid="{F33066E0-B0CA-490C-974D-9A90EF95567F}"/>
    <cellStyle name="Normal 5 2 2 2 2 2 2 4 3" xfId="7268" xr:uid="{8D9B5EBC-8D11-4770-A50F-384402866648}"/>
    <cellStyle name="Normal 5 2 2 2 2 2 2 5" xfId="3379" xr:uid="{C1B397C4-404A-44B4-8D7B-0DA52F18A8D2}"/>
    <cellStyle name="Normal 5 2 2 2 2 2 2 5 2" xfId="5608" xr:uid="{050EBCD6-8526-4288-9E98-B90D7F0A5838}"/>
    <cellStyle name="Normal 5 2 2 2 2 2 2 5 2 2" xfId="9826" xr:uid="{9B3AB33A-C5F0-4554-AB79-FF97341F5DDA}"/>
    <cellStyle name="Normal 5 2 2 2 2 2 2 5 3" xfId="7681" xr:uid="{9E0F3B4D-6DD4-4806-BCBA-F9FC82A116DD}"/>
    <cellStyle name="Normal 5 2 2 2 2 2 2 6" xfId="3815" xr:uid="{325A18B5-0A42-43AA-B780-AB7BB93CD9C8}"/>
    <cellStyle name="Normal 5 2 2 2 2 2 2 6 2" xfId="8094" xr:uid="{9B1908F2-F602-402E-A4DB-0AD01B6C70D3}"/>
    <cellStyle name="Normal 5 2 2 2 2 2 2 7" xfId="6029" xr:uid="{D9F0756E-B27F-484E-8FC2-3BC8BA2690A0}"/>
    <cellStyle name="Normal 5 2 2 2 2 2 2 8" xfId="1725" xr:uid="{129F4984-59D7-4FF9-9AA4-DC6A57C316A8}"/>
    <cellStyle name="Normal 5 2 2 2 2 2 3" xfId="893" xr:uid="{00000000-0005-0000-0000-0000DA020000}"/>
    <cellStyle name="Normal 5 2 2 2 2 2 3 2" xfId="4368" xr:uid="{C1AEB60F-8D79-4960-82C7-F4AC24941F2A}"/>
    <cellStyle name="Normal 5 2 2 2 2 2 3 2 2" xfId="8586" xr:uid="{BED87E15-7890-40CD-A599-D9D6BB3F6B4C}"/>
    <cellStyle name="Normal 5 2 2 2 2 2 3 3" xfId="6441" xr:uid="{A512152E-DABC-438A-A9B0-676D4D104893}"/>
    <cellStyle name="Normal 5 2 2 2 2 2 3 4" xfId="2139" xr:uid="{9D1DF739-BCF1-40E9-99BB-D3249FE365E2}"/>
    <cellStyle name="Normal 5 2 2 2 2 2 4" xfId="1310" xr:uid="{B214BBEA-064E-4863-AF16-CB63901418DD}"/>
    <cellStyle name="Normal 5 2 2 2 2 2 4 2" xfId="4781" xr:uid="{044D2B5C-78CE-47E0-88BB-846457C39F7E}"/>
    <cellStyle name="Normal 5 2 2 2 2 2 4 2 2" xfId="8999" xr:uid="{1B0A2171-B3F9-490E-BE6F-095421B2224E}"/>
    <cellStyle name="Normal 5 2 2 2 2 2 4 3" xfId="6854" xr:uid="{1649DB28-5AA5-46DF-82C0-88E6E3B5E8F8}"/>
    <cellStyle name="Normal 5 2 2 2 2 2 4 4" xfId="2552" xr:uid="{D7E33CD5-9D57-474D-BEBF-2A61A1FEA78F}"/>
    <cellStyle name="Normal 5 2 2 2 2 2 5" xfId="2965" xr:uid="{887345A1-7276-4C66-92B0-6CFFF0FC783A}"/>
    <cellStyle name="Normal 5 2 2 2 2 2 5 2" xfId="5194" xr:uid="{01137DA8-3D80-4766-9400-39616163DD37}"/>
    <cellStyle name="Normal 5 2 2 2 2 2 5 2 2" xfId="9412" xr:uid="{ACC2F50D-767F-44B1-90CD-79CEED3CE620}"/>
    <cellStyle name="Normal 5 2 2 2 2 2 5 3" xfId="7267" xr:uid="{BA9090F4-DEA9-40C0-AC65-7DD2DF321EE1}"/>
    <cellStyle name="Normal 5 2 2 2 2 2 6" xfId="3378" xr:uid="{4822EB52-0198-48AA-AD34-AFCECF022A28}"/>
    <cellStyle name="Normal 5 2 2 2 2 2 6 2" xfId="5607" xr:uid="{F63C9742-BBC7-4548-AF63-8EA84ABB18F8}"/>
    <cellStyle name="Normal 5 2 2 2 2 2 6 2 2" xfId="9825" xr:uid="{20EF1142-D5FC-4799-98B4-6EBCD0B715D8}"/>
    <cellStyle name="Normal 5 2 2 2 2 2 6 3" xfId="7680" xr:uid="{BF955E59-49E4-430E-BDEE-12F72552025F}"/>
    <cellStyle name="Normal 5 2 2 2 2 2 7" xfId="3814" xr:uid="{3E1E1E34-732D-422E-8836-5AB0F35CAB18}"/>
    <cellStyle name="Normal 5 2 2 2 2 2 7 2" xfId="8093" xr:uid="{227D416B-84FB-4FC1-BC90-D0BBE3E02569}"/>
    <cellStyle name="Normal 5 2 2 2 2 2 8" xfId="6028" xr:uid="{C55B8EFC-36F0-4B5E-AB86-DF1A01899758}"/>
    <cellStyle name="Normal 5 2 2 2 2 2 9" xfId="1724" xr:uid="{F1D1A12F-50B5-4067-98D3-25CA0B72B317}"/>
    <cellStyle name="Normal 5 2 2 2 2 3" xfId="416" xr:uid="{00000000-0005-0000-0000-0000DB020000}"/>
    <cellStyle name="Normal 5 2 2 2 2 3 2" xfId="895" xr:uid="{00000000-0005-0000-0000-0000DC020000}"/>
    <cellStyle name="Normal 5 2 2 2 2 3 2 2" xfId="4370" xr:uid="{988C21EF-2B69-4A2E-A3AB-9515E426EC04}"/>
    <cellStyle name="Normal 5 2 2 2 2 3 2 2 2" xfId="8588" xr:uid="{2910F60E-1D0B-47F4-860F-0624A71BE66D}"/>
    <cellStyle name="Normal 5 2 2 2 2 3 2 3" xfId="6443" xr:uid="{FFA067CD-7E87-45B4-9073-C4F6DDBF6CE7}"/>
    <cellStyle name="Normal 5 2 2 2 2 3 2 4" xfId="2141" xr:uid="{258B873E-4249-4871-AFC9-445D462B980B}"/>
    <cellStyle name="Normal 5 2 2 2 2 3 3" xfId="1312" xr:uid="{706EF291-9C3A-4855-9D3F-7B87F2116A27}"/>
    <cellStyle name="Normal 5 2 2 2 2 3 3 2" xfId="4783" xr:uid="{54769DC3-6A5A-4EBE-8E9E-B4B7C71633EA}"/>
    <cellStyle name="Normal 5 2 2 2 2 3 3 2 2" xfId="9001" xr:uid="{D550BF5D-B8F4-4AC7-96CB-3D8F8C5DC2D3}"/>
    <cellStyle name="Normal 5 2 2 2 2 3 3 3" xfId="6856" xr:uid="{A03F2F2A-02C4-4DE9-8743-92E9BF107426}"/>
    <cellStyle name="Normal 5 2 2 2 2 3 3 4" xfId="2554" xr:uid="{C680949D-B76F-495E-8857-D07FF1353216}"/>
    <cellStyle name="Normal 5 2 2 2 2 3 4" xfId="2967" xr:uid="{87CCC4DE-18D3-421F-8848-86FBC0DBD902}"/>
    <cellStyle name="Normal 5 2 2 2 2 3 4 2" xfId="5196" xr:uid="{5C30D6FD-8936-41FC-AF9B-1140E29C0E34}"/>
    <cellStyle name="Normal 5 2 2 2 2 3 4 2 2" xfId="9414" xr:uid="{916D3CEB-B065-4493-8F8A-438126A4757C}"/>
    <cellStyle name="Normal 5 2 2 2 2 3 4 3" xfId="7269" xr:uid="{FC8B435F-C9B7-4802-A4C7-5B67A33B668B}"/>
    <cellStyle name="Normal 5 2 2 2 2 3 5" xfId="3380" xr:uid="{3549308C-99D0-410E-84F7-BEBB6DBF9754}"/>
    <cellStyle name="Normal 5 2 2 2 2 3 5 2" xfId="5609" xr:uid="{D8DCCEC6-C715-4B80-A98C-512F53211563}"/>
    <cellStyle name="Normal 5 2 2 2 2 3 5 2 2" xfId="9827" xr:uid="{12C9A171-66D4-4A3C-9B7E-424E4B41A549}"/>
    <cellStyle name="Normal 5 2 2 2 2 3 5 3" xfId="7682" xr:uid="{2DD3E1E9-DD38-4709-9781-A4B6FD80B6D6}"/>
    <cellStyle name="Normal 5 2 2 2 2 3 6" xfId="3816" xr:uid="{929D2694-5066-49AF-B460-B7E00B690D5A}"/>
    <cellStyle name="Normal 5 2 2 2 2 3 6 2" xfId="8095" xr:uid="{7761FED7-66A3-459F-A1E8-9EE70F5B7C7F}"/>
    <cellStyle name="Normal 5 2 2 2 2 3 7" xfId="6030" xr:uid="{AA662E5D-6D6E-42F8-B094-7852444FEE5F}"/>
    <cellStyle name="Normal 5 2 2 2 2 3 8" xfId="1726" xr:uid="{DF4EC3E9-324E-4632-8439-73DB2E7583A1}"/>
    <cellStyle name="Normal 5 2 2 2 2 4" xfId="892" xr:uid="{00000000-0005-0000-0000-0000DD020000}"/>
    <cellStyle name="Normal 5 2 2 2 2 4 2" xfId="4367" xr:uid="{7AFB5B9C-063A-4555-8A35-8C688D4AD0EF}"/>
    <cellStyle name="Normal 5 2 2 2 2 4 2 2" xfId="8585" xr:uid="{F1B408FB-BA02-48E0-8356-F3A395E25F36}"/>
    <cellStyle name="Normal 5 2 2 2 2 4 3" xfId="6440" xr:uid="{748AC9E4-5201-47E6-911E-6E3C06422E9B}"/>
    <cellStyle name="Normal 5 2 2 2 2 4 4" xfId="2138" xr:uid="{15C3E4C0-8057-499E-9196-55CCA7CAA162}"/>
    <cellStyle name="Normal 5 2 2 2 2 5" xfId="1309" xr:uid="{0247898A-3F1D-456D-9044-1BEA065A2C9B}"/>
    <cellStyle name="Normal 5 2 2 2 2 5 2" xfId="4780" xr:uid="{5E2BFA3F-8F58-4128-96D3-FAD033E1BDBC}"/>
    <cellStyle name="Normal 5 2 2 2 2 5 2 2" xfId="8998" xr:uid="{E64CA113-6492-44B9-8551-6AE07A20FE86}"/>
    <cellStyle name="Normal 5 2 2 2 2 5 3" xfId="6853" xr:uid="{218FD068-B69C-4809-A2FD-F4CB5AC160CB}"/>
    <cellStyle name="Normal 5 2 2 2 2 5 4" xfId="2551" xr:uid="{ED5064BC-4488-4790-931F-5F84FBD24C2D}"/>
    <cellStyle name="Normal 5 2 2 2 2 6" xfId="2964" xr:uid="{E3C0107B-02DA-4234-8E88-21E12288A6E0}"/>
    <cellStyle name="Normal 5 2 2 2 2 6 2" xfId="5193" xr:uid="{05155BC4-AA29-41D2-A53B-BF9DA747ADBA}"/>
    <cellStyle name="Normal 5 2 2 2 2 6 2 2" xfId="9411" xr:uid="{BE307BB8-67D2-4E3E-AAFE-C5CD48CA45D1}"/>
    <cellStyle name="Normal 5 2 2 2 2 6 3" xfId="7266" xr:uid="{F19BEB64-7BED-477B-B425-63EA59B15266}"/>
    <cellStyle name="Normal 5 2 2 2 2 7" xfId="3377" xr:uid="{3E60850E-D924-4749-95A4-3B5EC20014E1}"/>
    <cellStyle name="Normal 5 2 2 2 2 7 2" xfId="5606" xr:uid="{C86A421F-D6CF-4813-A293-BB8EB9EBC2EF}"/>
    <cellStyle name="Normal 5 2 2 2 2 7 2 2" xfId="9824" xr:uid="{F45D21B6-26C7-48F9-B6FE-EEC7C1A0661B}"/>
    <cellStyle name="Normal 5 2 2 2 2 7 3" xfId="7679" xr:uid="{4605BCA2-42ED-409D-BCE9-000E8752556A}"/>
    <cellStyle name="Normal 5 2 2 2 2 8" xfId="3813" xr:uid="{418BD566-C6A6-4030-B782-F4E78697D45D}"/>
    <cellStyle name="Normal 5 2 2 2 2 8 2" xfId="8092" xr:uid="{9BD9322D-F7B2-4E64-9259-56EDBEA268AF}"/>
    <cellStyle name="Normal 5 2 2 2 2 9" xfId="6027" xr:uid="{70BD844D-C566-40F8-B9C0-5ADE6102F74D}"/>
    <cellStyle name="Normal 5 2 2 2 3" xfId="417" xr:uid="{00000000-0005-0000-0000-0000DE020000}"/>
    <cellStyle name="Normal 5 2 2 2 3 2" xfId="418" xr:uid="{00000000-0005-0000-0000-0000DF020000}"/>
    <cellStyle name="Normal 5 2 2 2 3 2 2" xfId="897" xr:uid="{00000000-0005-0000-0000-0000E0020000}"/>
    <cellStyle name="Normal 5 2 2 2 3 2 2 2" xfId="4372" xr:uid="{3D8AAC46-0F78-4064-9387-8264BB5C2D5F}"/>
    <cellStyle name="Normal 5 2 2 2 3 2 2 2 2" xfId="8590" xr:uid="{91169F22-4EEE-406B-85DD-98275B98DAA3}"/>
    <cellStyle name="Normal 5 2 2 2 3 2 2 3" xfId="6445" xr:uid="{A783477E-04A1-4FEC-8069-EBFE7898E5EA}"/>
    <cellStyle name="Normal 5 2 2 2 3 2 2 4" xfId="2143" xr:uid="{B44E0CD5-71A1-45DE-81C2-A99A53FCAC5B}"/>
    <cellStyle name="Normal 5 2 2 2 3 2 3" xfId="1314" xr:uid="{764E4934-7367-4A10-A708-510A603D586F}"/>
    <cellStyle name="Normal 5 2 2 2 3 2 3 2" xfId="4785" xr:uid="{F01EEC22-DEE6-471A-B79F-B4B36AE2111A}"/>
    <cellStyle name="Normal 5 2 2 2 3 2 3 2 2" xfId="9003" xr:uid="{2DAABC5A-1563-4C6D-B2B2-875D1937121B}"/>
    <cellStyle name="Normal 5 2 2 2 3 2 3 3" xfId="6858" xr:uid="{20E423F3-AE24-488A-821C-91E33523ECE2}"/>
    <cellStyle name="Normal 5 2 2 2 3 2 3 4" xfId="2556" xr:uid="{2418ABCF-927A-4C4D-8D10-A60D22C002F1}"/>
    <cellStyle name="Normal 5 2 2 2 3 2 4" xfId="2969" xr:uid="{D6432E57-82A7-4F03-A66D-EBFB36F39A8F}"/>
    <cellStyle name="Normal 5 2 2 2 3 2 4 2" xfId="5198" xr:uid="{397BB07A-8D4C-4E7D-BBFA-F10D50ACBF85}"/>
    <cellStyle name="Normal 5 2 2 2 3 2 4 2 2" xfId="9416" xr:uid="{163E9A77-222C-4599-916F-0E806BE1ADB6}"/>
    <cellStyle name="Normal 5 2 2 2 3 2 4 3" xfId="7271" xr:uid="{31C8761F-CF60-4B5A-A996-ABB694A70950}"/>
    <cellStyle name="Normal 5 2 2 2 3 2 5" xfId="3382" xr:uid="{BE8F133C-F465-4D76-90D4-221D79E52735}"/>
    <cellStyle name="Normal 5 2 2 2 3 2 5 2" xfId="5611" xr:uid="{69E74DC4-7B0E-491B-BE21-DD7193933881}"/>
    <cellStyle name="Normal 5 2 2 2 3 2 5 2 2" xfId="9829" xr:uid="{F524A094-2DB5-40D8-92E1-93413CCC9B2B}"/>
    <cellStyle name="Normal 5 2 2 2 3 2 5 3" xfId="7684" xr:uid="{3BED6C58-6091-439C-B52D-7D7615AA58F6}"/>
    <cellStyle name="Normal 5 2 2 2 3 2 6" xfId="3818" xr:uid="{28B5022A-8FEC-45FA-B84F-DA9534318F44}"/>
    <cellStyle name="Normal 5 2 2 2 3 2 6 2" xfId="8097" xr:uid="{63E45005-D684-439B-AE88-76175DDD0502}"/>
    <cellStyle name="Normal 5 2 2 2 3 2 7" xfId="6032" xr:uid="{2321C770-D0F7-436B-9EE4-0DF184D2D4C8}"/>
    <cellStyle name="Normal 5 2 2 2 3 2 8" xfId="1728" xr:uid="{4B21397E-8007-4DBB-B8B6-5D906D618A4C}"/>
    <cellStyle name="Normal 5 2 2 2 3 3" xfId="896" xr:uid="{00000000-0005-0000-0000-0000E1020000}"/>
    <cellStyle name="Normal 5 2 2 2 3 3 2" xfId="4371" xr:uid="{9F108882-ACFB-4C63-A581-6853C37E1870}"/>
    <cellStyle name="Normal 5 2 2 2 3 3 2 2" xfId="8589" xr:uid="{7FD1F1C3-DF7C-499A-A948-1AA0A44B77CA}"/>
    <cellStyle name="Normal 5 2 2 2 3 3 3" xfId="6444" xr:uid="{72A9FF69-3AC8-422B-8A20-193A36AB84C9}"/>
    <cellStyle name="Normal 5 2 2 2 3 3 4" xfId="2142" xr:uid="{2C204F39-772A-4DC1-9275-17607E849C14}"/>
    <cellStyle name="Normal 5 2 2 2 3 4" xfId="1313" xr:uid="{01A9FFF4-0B45-4B34-864D-49115C004D16}"/>
    <cellStyle name="Normal 5 2 2 2 3 4 2" xfId="4784" xr:uid="{2ABFCB2E-6143-437C-85D0-0118743C1E3D}"/>
    <cellStyle name="Normal 5 2 2 2 3 4 2 2" xfId="9002" xr:uid="{A2CD317A-7A1E-4521-BE21-1011C720E8D6}"/>
    <cellStyle name="Normal 5 2 2 2 3 4 3" xfId="6857" xr:uid="{CBAD7008-B52A-48FC-BA16-438478F1304D}"/>
    <cellStyle name="Normal 5 2 2 2 3 4 4" xfId="2555" xr:uid="{2807F23C-3EEF-4B75-B84F-DC1BA35F8BCE}"/>
    <cellStyle name="Normal 5 2 2 2 3 5" xfId="2968" xr:uid="{06F81B87-D89E-4CFD-A8B6-3B4A2F0F0BC8}"/>
    <cellStyle name="Normal 5 2 2 2 3 5 2" xfId="5197" xr:uid="{D299BBBD-2DA8-4EA5-B882-C74C2B75598F}"/>
    <cellStyle name="Normal 5 2 2 2 3 5 2 2" xfId="9415" xr:uid="{81695E10-CBFD-42AE-AE2D-0F0DCEB4C203}"/>
    <cellStyle name="Normal 5 2 2 2 3 5 3" xfId="7270" xr:uid="{2DEE2ECB-8654-4C39-966C-78936398EF9B}"/>
    <cellStyle name="Normal 5 2 2 2 3 6" xfId="3381" xr:uid="{239245FC-33CB-4827-A281-0CF048385B81}"/>
    <cellStyle name="Normal 5 2 2 2 3 6 2" xfId="5610" xr:uid="{EE85A190-DB6C-4502-B059-C5E003525751}"/>
    <cellStyle name="Normal 5 2 2 2 3 6 2 2" xfId="9828" xr:uid="{13DF8331-F92E-49AD-B6A3-8037C27F7CA9}"/>
    <cellStyle name="Normal 5 2 2 2 3 6 3" xfId="7683" xr:uid="{73FC3F0B-5FDD-41FA-82EF-3EC7D4FA33CA}"/>
    <cellStyle name="Normal 5 2 2 2 3 7" xfId="3817" xr:uid="{9F04CF6E-9327-4581-B536-ADF3EDE6A596}"/>
    <cellStyle name="Normal 5 2 2 2 3 7 2" xfId="8096" xr:uid="{6EB2F6BB-49AF-4E2E-878C-218412ABF8AD}"/>
    <cellStyle name="Normal 5 2 2 2 3 8" xfId="6031" xr:uid="{25FAE363-69E9-413C-BDE4-E2755C91545C}"/>
    <cellStyle name="Normal 5 2 2 2 3 9" xfId="1727" xr:uid="{5CFD19D7-77C0-4BB8-8C4F-50CA83643751}"/>
    <cellStyle name="Normal 5 2 2 2 4" xfId="419" xr:uid="{00000000-0005-0000-0000-0000E2020000}"/>
    <cellStyle name="Normal 5 2 2 2 4 2" xfId="898" xr:uid="{00000000-0005-0000-0000-0000E3020000}"/>
    <cellStyle name="Normal 5 2 2 2 4 2 2" xfId="4373" xr:uid="{EB446BD1-436E-4525-94C0-D999156D6CDE}"/>
    <cellStyle name="Normal 5 2 2 2 4 2 2 2" xfId="8591" xr:uid="{8332E212-197E-47A1-818C-9AA48F40D6DD}"/>
    <cellStyle name="Normal 5 2 2 2 4 2 3" xfId="6446" xr:uid="{C1FD4E7B-A9F5-49D6-AD94-4A4AA5E9C3D0}"/>
    <cellStyle name="Normal 5 2 2 2 4 2 4" xfId="2144" xr:uid="{95576E45-7358-41A4-A38C-2F3B66345DD7}"/>
    <cellStyle name="Normal 5 2 2 2 4 3" xfId="1315" xr:uid="{B5203B2C-18A2-440E-B332-5C212C174245}"/>
    <cellStyle name="Normal 5 2 2 2 4 3 2" xfId="4786" xr:uid="{42AAA5A4-6015-4929-9E8D-3E9BCFC09617}"/>
    <cellStyle name="Normal 5 2 2 2 4 3 2 2" xfId="9004" xr:uid="{21ED5E83-BDFA-4144-85EF-7C28F096EE0D}"/>
    <cellStyle name="Normal 5 2 2 2 4 3 3" xfId="6859" xr:uid="{191FCF9E-1D4A-421C-92C5-AA62BE89F2F5}"/>
    <cellStyle name="Normal 5 2 2 2 4 3 4" xfId="2557" xr:uid="{0631D4A4-71BA-4614-84F7-66A990B6E3F4}"/>
    <cellStyle name="Normal 5 2 2 2 4 4" xfId="2970" xr:uid="{080D9C46-69E6-438A-B547-ED110F4F9E6C}"/>
    <cellStyle name="Normal 5 2 2 2 4 4 2" xfId="5199" xr:uid="{22804DAB-0AFC-4986-AE82-F6E3B4A3119B}"/>
    <cellStyle name="Normal 5 2 2 2 4 4 2 2" xfId="9417" xr:uid="{6D0E9205-E0D8-4821-83DB-946809D4E51F}"/>
    <cellStyle name="Normal 5 2 2 2 4 4 3" xfId="7272" xr:uid="{7FDA61E2-DA95-4B4E-A352-51E980E856EB}"/>
    <cellStyle name="Normal 5 2 2 2 4 5" xfId="3383" xr:uid="{51EDE13E-1064-44DE-B192-42DE45C643CE}"/>
    <cellStyle name="Normal 5 2 2 2 4 5 2" xfId="5612" xr:uid="{09115C96-E8A4-4215-8144-3E21DE660292}"/>
    <cellStyle name="Normal 5 2 2 2 4 5 2 2" xfId="9830" xr:uid="{86902B4C-AE6C-4A2F-A73F-B8C344CAB17C}"/>
    <cellStyle name="Normal 5 2 2 2 4 5 3" xfId="7685" xr:uid="{8C76AEF0-F338-4328-8D77-9047112F91DA}"/>
    <cellStyle name="Normal 5 2 2 2 4 6" xfId="3819" xr:uid="{771A1386-7E44-4660-AF97-0C96CF60A3E9}"/>
    <cellStyle name="Normal 5 2 2 2 4 6 2" xfId="8098" xr:uid="{0ED6FF60-3244-4184-BF29-20C51B78215B}"/>
    <cellStyle name="Normal 5 2 2 2 4 7" xfId="6033" xr:uid="{FD3B089F-CDED-4168-ABBA-3D30BEA8D722}"/>
    <cellStyle name="Normal 5 2 2 2 4 8" xfId="1729" xr:uid="{8F209BD2-49F5-40BD-9D3B-4BF045CAB3F9}"/>
    <cellStyle name="Normal 5 2 2 2 5" xfId="891" xr:uid="{00000000-0005-0000-0000-0000E4020000}"/>
    <cellStyle name="Normal 5 2 2 2 5 2" xfId="4366" xr:uid="{06F62D80-20F3-47B5-A74E-A219E2D1C997}"/>
    <cellStyle name="Normal 5 2 2 2 5 2 2" xfId="8584" xr:uid="{8C5F3667-7C3F-4E5C-9BA4-CAC2DDEB3FC3}"/>
    <cellStyle name="Normal 5 2 2 2 5 3" xfId="6439" xr:uid="{E1A0EFA3-749D-483E-A109-55521AAE3095}"/>
    <cellStyle name="Normal 5 2 2 2 5 4" xfId="2137" xr:uid="{4EBB61BE-18D2-4602-93B5-FC08A8CBBB53}"/>
    <cellStyle name="Normal 5 2 2 2 6" xfId="1308" xr:uid="{B79F0CA6-F4FB-47C9-8DE1-3A51F17EF2BB}"/>
    <cellStyle name="Normal 5 2 2 2 6 2" xfId="4779" xr:uid="{A8DA516A-4594-4406-8D3C-E45F536A8BDE}"/>
    <cellStyle name="Normal 5 2 2 2 6 2 2" xfId="8997" xr:uid="{789ECB51-4196-4691-AB86-65BCCE1F47F0}"/>
    <cellStyle name="Normal 5 2 2 2 6 3" xfId="6852" xr:uid="{B0BF73EF-110B-425E-8122-E1A16A690FBB}"/>
    <cellStyle name="Normal 5 2 2 2 6 4" xfId="2550" xr:uid="{688C71DA-3FE8-4F36-B87F-32B4B68D3339}"/>
    <cellStyle name="Normal 5 2 2 2 7" xfId="2963" xr:uid="{C7AAE36A-1D16-4B3D-9789-97AD9438EB40}"/>
    <cellStyle name="Normal 5 2 2 2 7 2" xfId="5192" xr:uid="{B1B87264-46E9-412E-8835-8126AC4F2914}"/>
    <cellStyle name="Normal 5 2 2 2 7 2 2" xfId="9410" xr:uid="{C15E48B5-C751-4D57-B89E-7727A8737468}"/>
    <cellStyle name="Normal 5 2 2 2 7 3" xfId="7265" xr:uid="{7EFCF789-1043-4DA2-94DA-60F52EAE4136}"/>
    <cellStyle name="Normal 5 2 2 2 8" xfId="3376" xr:uid="{92C782D5-F979-45AE-B347-265569FE0D31}"/>
    <cellStyle name="Normal 5 2 2 2 8 2" xfId="5605" xr:uid="{ED952FC7-05AB-44BE-8275-479FC5B013BC}"/>
    <cellStyle name="Normal 5 2 2 2 8 2 2" xfId="9823" xr:uid="{77124B03-CAB2-4A20-8D20-21EE2E71D297}"/>
    <cellStyle name="Normal 5 2 2 2 8 3" xfId="7678" xr:uid="{1C32FD90-0300-4B1C-8B74-E00D5C695A99}"/>
    <cellStyle name="Normal 5 2 2 2 9" xfId="3812" xr:uid="{775F0B23-73C3-4668-B699-AFF1E75CD366}"/>
    <cellStyle name="Normal 5 2 2 2 9 2" xfId="8091" xr:uid="{3B46F513-EC89-4BA6-B7AF-91DA0C28D9E2}"/>
    <cellStyle name="Normal 5 2 2 3" xfId="420" xr:uid="{00000000-0005-0000-0000-0000E5020000}"/>
    <cellStyle name="Normal 5 2 2 3 10" xfId="1730" xr:uid="{51A1490E-861E-403E-A7F5-0A9E2A2958C4}"/>
    <cellStyle name="Normal 5 2 2 3 2" xfId="421" xr:uid="{00000000-0005-0000-0000-0000E6020000}"/>
    <cellStyle name="Normal 5 2 2 3 2 2" xfId="422" xr:uid="{00000000-0005-0000-0000-0000E7020000}"/>
    <cellStyle name="Normal 5 2 2 3 2 2 2" xfId="901" xr:uid="{00000000-0005-0000-0000-0000E8020000}"/>
    <cellStyle name="Normal 5 2 2 3 2 2 2 2" xfId="4376" xr:uid="{4F3EA54A-93E2-4BEA-B65A-F20E18E6B00F}"/>
    <cellStyle name="Normal 5 2 2 3 2 2 2 2 2" xfId="8594" xr:uid="{42F28898-C27B-48B6-BD6D-415921569333}"/>
    <cellStyle name="Normal 5 2 2 3 2 2 2 3" xfId="6449" xr:uid="{D6DD0CDD-5FF5-4CA9-84C0-0847AEF58020}"/>
    <cellStyle name="Normal 5 2 2 3 2 2 2 4" xfId="2147" xr:uid="{10C9C9B2-CC1C-43CC-999A-9152CF97DE65}"/>
    <cellStyle name="Normal 5 2 2 3 2 2 3" xfId="1318" xr:uid="{F30B927D-9BCC-4FA6-8F6B-3007812DC284}"/>
    <cellStyle name="Normal 5 2 2 3 2 2 3 2" xfId="4789" xr:uid="{B60E4A04-03B4-47AC-AAF6-44457467A742}"/>
    <cellStyle name="Normal 5 2 2 3 2 2 3 2 2" xfId="9007" xr:uid="{9CA67D1E-F4BD-47BF-9EEC-D17AD6981830}"/>
    <cellStyle name="Normal 5 2 2 3 2 2 3 3" xfId="6862" xr:uid="{1AF9BB54-9AE1-4E38-8147-7E01ADBBC053}"/>
    <cellStyle name="Normal 5 2 2 3 2 2 3 4" xfId="2560" xr:uid="{5D7F168B-8A74-461E-A736-9FC5AEEAD641}"/>
    <cellStyle name="Normal 5 2 2 3 2 2 4" xfId="2973" xr:uid="{91BE8A88-261F-45E3-94C8-887162CF9141}"/>
    <cellStyle name="Normal 5 2 2 3 2 2 4 2" xfId="5202" xr:uid="{ACF5D3A4-309B-4672-A73E-9DE6B8134384}"/>
    <cellStyle name="Normal 5 2 2 3 2 2 4 2 2" xfId="9420" xr:uid="{D13C6CA3-76FF-4887-968D-258DA74E0D3A}"/>
    <cellStyle name="Normal 5 2 2 3 2 2 4 3" xfId="7275" xr:uid="{EC063F06-9DAD-4B70-8C08-437E22A7FD54}"/>
    <cellStyle name="Normal 5 2 2 3 2 2 5" xfId="3386" xr:uid="{1B025AD1-F14D-42C3-BA0C-A1B728CC8426}"/>
    <cellStyle name="Normal 5 2 2 3 2 2 5 2" xfId="5615" xr:uid="{0D59272E-3C4D-41B2-BFD4-DC9A4558D268}"/>
    <cellStyle name="Normal 5 2 2 3 2 2 5 2 2" xfId="9833" xr:uid="{9E404916-605D-47D5-BE3B-7D304A79C432}"/>
    <cellStyle name="Normal 5 2 2 3 2 2 5 3" xfId="7688" xr:uid="{85E70CFB-B207-4AF6-81B4-2A91BA86FAA7}"/>
    <cellStyle name="Normal 5 2 2 3 2 2 6" xfId="3822" xr:uid="{422A9A4B-91AE-43F6-A220-A7FF1F445513}"/>
    <cellStyle name="Normal 5 2 2 3 2 2 6 2" xfId="8101" xr:uid="{23271DFF-DEAA-48B9-93A8-2F52D0EE84DC}"/>
    <cellStyle name="Normal 5 2 2 3 2 2 7" xfId="6036" xr:uid="{6A5E41D3-F041-4F03-9543-34E2EF674D39}"/>
    <cellStyle name="Normal 5 2 2 3 2 2 8" xfId="1732" xr:uid="{23E85CB8-BECF-4613-BC91-5280C9133825}"/>
    <cellStyle name="Normal 5 2 2 3 2 3" xfId="900" xr:uid="{00000000-0005-0000-0000-0000E9020000}"/>
    <cellStyle name="Normal 5 2 2 3 2 3 2" xfId="4375" xr:uid="{06CAC9FA-5B7E-4ACF-9F73-BB366B33E030}"/>
    <cellStyle name="Normal 5 2 2 3 2 3 2 2" xfId="8593" xr:uid="{9E2ED359-51DE-47DB-BAB3-83851398CC89}"/>
    <cellStyle name="Normal 5 2 2 3 2 3 3" xfId="6448" xr:uid="{2E96551E-FBF1-41DA-A42E-75DBE5F737B5}"/>
    <cellStyle name="Normal 5 2 2 3 2 3 4" xfId="2146" xr:uid="{596EEC23-CFDC-405A-9FC3-5EF8741E4DDA}"/>
    <cellStyle name="Normal 5 2 2 3 2 4" xfId="1317" xr:uid="{EFEB8B10-38E4-4BF0-A3A8-521AC2E40BA1}"/>
    <cellStyle name="Normal 5 2 2 3 2 4 2" xfId="4788" xr:uid="{F2870EB3-70BB-4714-ABDB-146FB6654F97}"/>
    <cellStyle name="Normal 5 2 2 3 2 4 2 2" xfId="9006" xr:uid="{15703349-67D1-4417-98FC-653724CA129A}"/>
    <cellStyle name="Normal 5 2 2 3 2 4 3" xfId="6861" xr:uid="{02CD1AD6-7729-4FA2-BF32-8EF028EEF086}"/>
    <cellStyle name="Normal 5 2 2 3 2 4 4" xfId="2559" xr:uid="{4C147EA6-C88E-4E36-AADD-6F8E8EAE0D65}"/>
    <cellStyle name="Normal 5 2 2 3 2 5" xfId="2972" xr:uid="{C8A4B64C-B3E5-45C8-92FA-2BD9A8CDF606}"/>
    <cellStyle name="Normal 5 2 2 3 2 5 2" xfId="5201" xr:uid="{E6A691EB-C9CB-4775-9DD8-C1C5F38F9CD1}"/>
    <cellStyle name="Normal 5 2 2 3 2 5 2 2" xfId="9419" xr:uid="{1702AF0C-AC89-4B13-87DC-0343EE830074}"/>
    <cellStyle name="Normal 5 2 2 3 2 5 3" xfId="7274" xr:uid="{1FADA0AA-34E0-4DAC-BCC8-21C3EF450A41}"/>
    <cellStyle name="Normal 5 2 2 3 2 6" xfId="3385" xr:uid="{E7DD7780-2C70-44B7-AE93-274DF82737E8}"/>
    <cellStyle name="Normal 5 2 2 3 2 6 2" xfId="5614" xr:uid="{586D1DF6-396F-4FAE-8725-DD0E0BE4251B}"/>
    <cellStyle name="Normal 5 2 2 3 2 6 2 2" xfId="9832" xr:uid="{24FC4394-DA08-42AB-8497-77FE867CFF4A}"/>
    <cellStyle name="Normal 5 2 2 3 2 6 3" xfId="7687" xr:uid="{57347DE7-86B3-424D-A93F-02BF2FB3BD9A}"/>
    <cellStyle name="Normal 5 2 2 3 2 7" xfId="3821" xr:uid="{4B385548-06C8-4DB9-B872-D4CBD9F7B985}"/>
    <cellStyle name="Normal 5 2 2 3 2 7 2" xfId="8100" xr:uid="{8D7C8510-EB81-41C8-888E-1C7A23E06B4A}"/>
    <cellStyle name="Normal 5 2 2 3 2 8" xfId="6035" xr:uid="{1EEB3219-B45D-48BC-9D68-4B1B247C4554}"/>
    <cellStyle name="Normal 5 2 2 3 2 9" xfId="1731" xr:uid="{B42C8652-6D2C-4FD9-ACF0-78F9F85BB731}"/>
    <cellStyle name="Normal 5 2 2 3 3" xfId="423" xr:uid="{00000000-0005-0000-0000-0000EA020000}"/>
    <cellStyle name="Normal 5 2 2 3 3 2" xfId="902" xr:uid="{00000000-0005-0000-0000-0000EB020000}"/>
    <cellStyle name="Normal 5 2 2 3 3 2 2" xfId="4377" xr:uid="{58093871-1083-482B-B555-2A1C74FF9181}"/>
    <cellStyle name="Normal 5 2 2 3 3 2 2 2" xfId="8595" xr:uid="{16560A46-AAFB-4547-B469-B7DB2EA60957}"/>
    <cellStyle name="Normal 5 2 2 3 3 2 3" xfId="6450" xr:uid="{785FF703-06FE-4921-B50B-7E81E11AA689}"/>
    <cellStyle name="Normal 5 2 2 3 3 2 4" xfId="2148" xr:uid="{089A06BF-3B9C-44F9-B448-03E7E6CAFE35}"/>
    <cellStyle name="Normal 5 2 2 3 3 3" xfId="1319" xr:uid="{8F302D5F-6F8C-4E35-B82C-D07AA7915911}"/>
    <cellStyle name="Normal 5 2 2 3 3 3 2" xfId="4790" xr:uid="{A709A8DC-61D4-4D81-A589-C02EDB19FB23}"/>
    <cellStyle name="Normal 5 2 2 3 3 3 2 2" xfId="9008" xr:uid="{271923C5-5122-4727-A628-0F02A55E82A9}"/>
    <cellStyle name="Normal 5 2 2 3 3 3 3" xfId="6863" xr:uid="{7EFC9C76-4187-4477-A9D9-10257146858A}"/>
    <cellStyle name="Normal 5 2 2 3 3 3 4" xfId="2561" xr:uid="{92C610B6-060C-43A1-A0E8-E26B8828C406}"/>
    <cellStyle name="Normal 5 2 2 3 3 4" xfId="2974" xr:uid="{50770F3E-5926-45DA-8D13-5EC0FC1759A2}"/>
    <cellStyle name="Normal 5 2 2 3 3 4 2" xfId="5203" xr:uid="{3AB094A8-CC1A-4BFE-A923-D32266400160}"/>
    <cellStyle name="Normal 5 2 2 3 3 4 2 2" xfId="9421" xr:uid="{29819CE5-FA0C-41CF-8C53-EE1F506AC153}"/>
    <cellStyle name="Normal 5 2 2 3 3 4 3" xfId="7276" xr:uid="{0FCEB837-AEFE-48A5-894D-65819B213AC4}"/>
    <cellStyle name="Normal 5 2 2 3 3 5" xfId="3387" xr:uid="{DAAAE236-FF4C-42BA-B6BC-2313B3A5FC1A}"/>
    <cellStyle name="Normal 5 2 2 3 3 5 2" xfId="5616" xr:uid="{B8B606A1-023A-415B-86E1-61A9FB6049FF}"/>
    <cellStyle name="Normal 5 2 2 3 3 5 2 2" xfId="9834" xr:uid="{D3FDEAF6-C0A7-4A60-A1ED-9BE0142CBF26}"/>
    <cellStyle name="Normal 5 2 2 3 3 5 3" xfId="7689" xr:uid="{D65DEE67-1ABD-4E97-ACF2-8278973066A7}"/>
    <cellStyle name="Normal 5 2 2 3 3 6" xfId="3823" xr:uid="{B7722FAB-D7A0-4373-B064-F6C0AAE54D9D}"/>
    <cellStyle name="Normal 5 2 2 3 3 6 2" xfId="8102" xr:uid="{1428E51F-027D-4120-8DF3-A4A2AD67911D}"/>
    <cellStyle name="Normal 5 2 2 3 3 7" xfId="6037" xr:uid="{D8000C9D-8CF7-426B-93B9-04DFEE904532}"/>
    <cellStyle name="Normal 5 2 2 3 3 8" xfId="1733" xr:uid="{639B5D05-E353-4F92-AE25-555ED72FB0CE}"/>
    <cellStyle name="Normal 5 2 2 3 4" xfId="899" xr:uid="{00000000-0005-0000-0000-0000EC020000}"/>
    <cellStyle name="Normal 5 2 2 3 4 2" xfId="4374" xr:uid="{E16DD058-E9CD-4962-884A-1BBE1B49460C}"/>
    <cellStyle name="Normal 5 2 2 3 4 2 2" xfId="8592" xr:uid="{C8835CC4-1227-4F1B-80CB-113131DDA015}"/>
    <cellStyle name="Normal 5 2 2 3 4 3" xfId="6447" xr:uid="{4112F509-F061-41A9-922F-805CD08113CA}"/>
    <cellStyle name="Normal 5 2 2 3 4 4" xfId="2145" xr:uid="{77630E06-52C9-4528-8B55-49F8F98F6705}"/>
    <cellStyle name="Normal 5 2 2 3 5" xfId="1316" xr:uid="{DCEDFF44-6A85-4902-B880-D08C2A770EA6}"/>
    <cellStyle name="Normal 5 2 2 3 5 2" xfId="4787" xr:uid="{497B1E60-CB34-4202-8F32-40CF33B3E4B7}"/>
    <cellStyle name="Normal 5 2 2 3 5 2 2" xfId="9005" xr:uid="{185E1A97-057B-4F11-92FF-97B903537472}"/>
    <cellStyle name="Normal 5 2 2 3 5 3" xfId="6860" xr:uid="{AA2323FB-581A-44E9-8530-D7E483EC1E65}"/>
    <cellStyle name="Normal 5 2 2 3 5 4" xfId="2558" xr:uid="{E18A521D-EA4E-4692-BCF8-0FAD6D56216E}"/>
    <cellStyle name="Normal 5 2 2 3 6" xfId="2971" xr:uid="{C4B49DF3-0FD0-4911-8DB9-C873A7D4CC42}"/>
    <cellStyle name="Normal 5 2 2 3 6 2" xfId="5200" xr:uid="{7099B037-AFC3-40A5-9A47-4F5253652510}"/>
    <cellStyle name="Normal 5 2 2 3 6 2 2" xfId="9418" xr:uid="{00E827F2-9D89-42D2-B0EA-ECE4E786A222}"/>
    <cellStyle name="Normal 5 2 2 3 6 3" xfId="7273" xr:uid="{650BEC5B-505F-48F0-9F39-6E01D812AC4A}"/>
    <cellStyle name="Normal 5 2 2 3 7" xfId="3384" xr:uid="{A58B1D5A-3232-4CDC-8E0E-223A1B32EB45}"/>
    <cellStyle name="Normal 5 2 2 3 7 2" xfId="5613" xr:uid="{C874403B-9E4F-4D01-AE68-ACF015DF79E0}"/>
    <cellStyle name="Normal 5 2 2 3 7 2 2" xfId="9831" xr:uid="{F144CA9C-1DEC-4584-845D-52675902B71D}"/>
    <cellStyle name="Normal 5 2 2 3 7 3" xfId="7686" xr:uid="{07302222-5EB4-438A-9465-D5CCC3243EE8}"/>
    <cellStyle name="Normal 5 2 2 3 8" xfId="3820" xr:uid="{C560991B-7200-467D-B478-06AEF142D47C}"/>
    <cellStyle name="Normal 5 2 2 3 8 2" xfId="8099" xr:uid="{3B048223-E239-41F4-AF03-DC32F540B1B6}"/>
    <cellStyle name="Normal 5 2 2 3 9" xfId="6034" xr:uid="{031AA622-9980-4B8F-B1CC-613CDE234041}"/>
    <cellStyle name="Normal 5 2 2 4" xfId="424" xr:uid="{00000000-0005-0000-0000-0000ED020000}"/>
    <cellStyle name="Normal 5 2 2 4 2" xfId="425" xr:uid="{00000000-0005-0000-0000-0000EE020000}"/>
    <cellStyle name="Normal 5 2 2 4 2 2" xfId="904" xr:uid="{00000000-0005-0000-0000-0000EF020000}"/>
    <cellStyle name="Normal 5 2 2 4 2 2 2" xfId="4379" xr:uid="{79496902-8B0F-4A95-A971-8C9F05CF1C39}"/>
    <cellStyle name="Normal 5 2 2 4 2 2 2 2" xfId="8597" xr:uid="{76D302E6-565D-4BDE-A10A-226CBF0D442F}"/>
    <cellStyle name="Normal 5 2 2 4 2 2 3" xfId="6452" xr:uid="{4D428266-E782-47F3-B5C6-D0A8CB79C81D}"/>
    <cellStyle name="Normal 5 2 2 4 2 2 4" xfId="2150" xr:uid="{EC2452BE-5F01-4C27-8B17-61E36C402315}"/>
    <cellStyle name="Normal 5 2 2 4 2 3" xfId="1321" xr:uid="{CC2D678D-CF26-4EAD-A7A7-AF6D77003F95}"/>
    <cellStyle name="Normal 5 2 2 4 2 3 2" xfId="4792" xr:uid="{CB4FF487-4A7F-4DDD-AA18-3102072067D3}"/>
    <cellStyle name="Normal 5 2 2 4 2 3 2 2" xfId="9010" xr:uid="{ECAF383A-D54B-4B4D-B60F-60123CE22061}"/>
    <cellStyle name="Normal 5 2 2 4 2 3 3" xfId="6865" xr:uid="{7C77E6BF-146D-4CF8-ADA9-606D8520736F}"/>
    <cellStyle name="Normal 5 2 2 4 2 3 4" xfId="2563" xr:uid="{81C00671-9F06-4928-88A4-53989AECDEAC}"/>
    <cellStyle name="Normal 5 2 2 4 2 4" xfId="2976" xr:uid="{A88A6065-7296-4F9E-B45A-CB4231137450}"/>
    <cellStyle name="Normal 5 2 2 4 2 4 2" xfId="5205" xr:uid="{0BCE3280-7D11-4898-BA6E-D686C5C50EE3}"/>
    <cellStyle name="Normal 5 2 2 4 2 4 2 2" xfId="9423" xr:uid="{35CCE3A4-5EC0-4138-BDA5-6B8AA03C4729}"/>
    <cellStyle name="Normal 5 2 2 4 2 4 3" xfId="7278" xr:uid="{270394D7-E31B-422D-9425-3D881CE4C7A0}"/>
    <cellStyle name="Normal 5 2 2 4 2 5" xfId="3389" xr:uid="{5C44C60C-CDF2-4515-8DC1-11C3B2AE09F5}"/>
    <cellStyle name="Normal 5 2 2 4 2 5 2" xfId="5618" xr:uid="{2E478509-5465-46C7-988C-5EF17B1E35A1}"/>
    <cellStyle name="Normal 5 2 2 4 2 5 2 2" xfId="9836" xr:uid="{5DE3A9BA-976D-42E2-A86D-377F7F83F5DD}"/>
    <cellStyle name="Normal 5 2 2 4 2 5 3" xfId="7691" xr:uid="{9FDD3EA8-BD1E-4973-9FC1-A27BE04FA04F}"/>
    <cellStyle name="Normal 5 2 2 4 2 6" xfId="3825" xr:uid="{4E8C73EE-C68F-4586-B48E-0803EA652658}"/>
    <cellStyle name="Normal 5 2 2 4 2 6 2" xfId="8104" xr:uid="{30478A67-9340-4281-871F-98B9FB333E85}"/>
    <cellStyle name="Normal 5 2 2 4 2 7" xfId="6039" xr:uid="{108C34D9-8234-4641-91C7-2F8C8A8C9D03}"/>
    <cellStyle name="Normal 5 2 2 4 2 8" xfId="1735" xr:uid="{86CD4285-96D9-4FDA-90D0-BED91D92CC43}"/>
    <cellStyle name="Normal 5 2 2 4 3" xfId="903" xr:uid="{00000000-0005-0000-0000-0000F0020000}"/>
    <cellStyle name="Normal 5 2 2 4 3 2" xfId="4378" xr:uid="{6E0299E7-2FBF-45F2-8F16-58843639E6B6}"/>
    <cellStyle name="Normal 5 2 2 4 3 2 2" xfId="8596" xr:uid="{3FB80182-B9B0-4954-8FFD-003F25B02ADB}"/>
    <cellStyle name="Normal 5 2 2 4 3 3" xfId="6451" xr:uid="{0CCA2AC5-697C-446C-B8F7-9D29F9358C58}"/>
    <cellStyle name="Normal 5 2 2 4 3 4" xfId="2149" xr:uid="{6CA53A4F-4940-429D-98D7-E7B7568557B7}"/>
    <cellStyle name="Normal 5 2 2 4 4" xfId="1320" xr:uid="{B727551F-97D4-49B2-832D-5185F2690529}"/>
    <cellStyle name="Normal 5 2 2 4 4 2" xfId="4791" xr:uid="{58A88070-4270-4620-9561-9A07BACFFB56}"/>
    <cellStyle name="Normal 5 2 2 4 4 2 2" xfId="9009" xr:uid="{590AE783-5CB0-4EA8-8071-0B0F364A6EEE}"/>
    <cellStyle name="Normal 5 2 2 4 4 3" xfId="6864" xr:uid="{6A817F66-10BB-475F-97F9-70585EEEA1BB}"/>
    <cellStyle name="Normal 5 2 2 4 4 4" xfId="2562" xr:uid="{3373850B-197D-4693-A13C-73AAB1808EBE}"/>
    <cellStyle name="Normal 5 2 2 4 5" xfId="2975" xr:uid="{35DEEB53-0FEA-4868-ACDE-FF118E33241C}"/>
    <cellStyle name="Normal 5 2 2 4 5 2" xfId="5204" xr:uid="{3743AB74-A519-4FD0-953B-7BE329EE3CC0}"/>
    <cellStyle name="Normal 5 2 2 4 5 2 2" xfId="9422" xr:uid="{47625095-7740-423C-9D48-E36F7E319BA4}"/>
    <cellStyle name="Normal 5 2 2 4 5 3" xfId="7277" xr:uid="{02658C77-7CD4-438A-A952-F547F88DBF3B}"/>
    <cellStyle name="Normal 5 2 2 4 6" xfId="3388" xr:uid="{8AD4A256-64FD-4C08-AF72-084F1FC18749}"/>
    <cellStyle name="Normal 5 2 2 4 6 2" xfId="5617" xr:uid="{41E46991-CE19-4819-BA37-424E338BC8ED}"/>
    <cellStyle name="Normal 5 2 2 4 6 2 2" xfId="9835" xr:uid="{CAAFA9A0-B4E8-464D-998F-2141941142C6}"/>
    <cellStyle name="Normal 5 2 2 4 6 3" xfId="7690" xr:uid="{91C50D11-227C-4C62-8600-779564D54990}"/>
    <cellStyle name="Normal 5 2 2 4 7" xfId="3824" xr:uid="{4F99033E-B415-466B-B3B2-7AA630C2D040}"/>
    <cellStyle name="Normal 5 2 2 4 7 2" xfId="8103" xr:uid="{E1C46D68-6BEF-40BC-A817-74762C070CE2}"/>
    <cellStyle name="Normal 5 2 2 4 8" xfId="6038" xr:uid="{E25A1F9E-3613-4A21-9639-370F6FC0D2B3}"/>
    <cellStyle name="Normal 5 2 2 4 9" xfId="1734" xr:uid="{9433A5AA-D312-48A0-A1A0-68E556DA5713}"/>
    <cellStyle name="Normal 5 2 2 5" xfId="426" xr:uid="{00000000-0005-0000-0000-0000F1020000}"/>
    <cellStyle name="Normal 5 2 2 5 2" xfId="905" xr:uid="{00000000-0005-0000-0000-0000F2020000}"/>
    <cellStyle name="Normal 5 2 2 5 2 2" xfId="4380" xr:uid="{E18132A7-CB97-47BF-99D8-52AD300771D0}"/>
    <cellStyle name="Normal 5 2 2 5 2 2 2" xfId="8598" xr:uid="{C36C1C4D-A2A2-4DDA-8170-002965FD28A0}"/>
    <cellStyle name="Normal 5 2 2 5 2 3" xfId="6453" xr:uid="{4DCD12EC-C833-4BB6-9B12-DC5C2B63C196}"/>
    <cellStyle name="Normal 5 2 2 5 2 4" xfId="2151" xr:uid="{38A2583B-3D18-4D6C-BE47-9BC1A3077468}"/>
    <cellStyle name="Normal 5 2 2 5 3" xfId="1322" xr:uid="{AEA8D29C-D3EE-45D7-A3B4-0A43ED6362CF}"/>
    <cellStyle name="Normal 5 2 2 5 3 2" xfId="4793" xr:uid="{BD10671D-803F-4078-B2BC-A6817843A486}"/>
    <cellStyle name="Normal 5 2 2 5 3 2 2" xfId="9011" xr:uid="{F2FC5FDB-1C0C-4BAC-9A9D-CD4DCA3A53CD}"/>
    <cellStyle name="Normal 5 2 2 5 3 3" xfId="6866" xr:uid="{354B596D-B188-426A-AE83-AD72DB1A7A0A}"/>
    <cellStyle name="Normal 5 2 2 5 3 4" xfId="2564" xr:uid="{EB7478F3-3D20-4EFA-B110-7E906D610531}"/>
    <cellStyle name="Normal 5 2 2 5 4" xfId="2977" xr:uid="{5847E7E3-64BD-4CD0-A485-6F6A2B555822}"/>
    <cellStyle name="Normal 5 2 2 5 4 2" xfId="5206" xr:uid="{987A029B-FC31-48E9-881E-FFE827FF4562}"/>
    <cellStyle name="Normal 5 2 2 5 4 2 2" xfId="9424" xr:uid="{FB6410BB-ED6C-4E5D-B338-47EBBB03403A}"/>
    <cellStyle name="Normal 5 2 2 5 4 3" xfId="7279" xr:uid="{3E153053-2C0D-4EED-BCEE-65F023BBA7B0}"/>
    <cellStyle name="Normal 5 2 2 5 5" xfId="3390" xr:uid="{FE1389F0-D98A-4AC2-80CD-91CFDD94AA6D}"/>
    <cellStyle name="Normal 5 2 2 5 5 2" xfId="5619" xr:uid="{3DB373FE-7D93-46B3-ABEE-839C50642020}"/>
    <cellStyle name="Normal 5 2 2 5 5 2 2" xfId="9837" xr:uid="{74827F2C-047C-4DAB-AAF2-748484F97BFE}"/>
    <cellStyle name="Normal 5 2 2 5 5 3" xfId="7692" xr:uid="{3536D867-D344-4D7B-B344-FD14A39D6B17}"/>
    <cellStyle name="Normal 5 2 2 5 6" xfId="3826" xr:uid="{87FBE5AA-D734-411C-AD74-9F612874B5F8}"/>
    <cellStyle name="Normal 5 2 2 5 6 2" xfId="8105" xr:uid="{D39CB31A-FBC1-412E-95F0-6E7F37BDB131}"/>
    <cellStyle name="Normal 5 2 2 5 7" xfId="6040" xr:uid="{7BA1A8A2-8658-4374-9B6F-2F5D85500EB2}"/>
    <cellStyle name="Normal 5 2 2 5 8" xfId="1736" xr:uid="{67B8D4C6-AF38-4681-AA09-051B24EBEE9B}"/>
    <cellStyle name="Normal 5 2 2 6" xfId="890" xr:uid="{00000000-0005-0000-0000-0000F3020000}"/>
    <cellStyle name="Normal 5 2 2 6 2" xfId="4365" xr:uid="{97E314FF-5357-4D58-AF28-B5898DFB9171}"/>
    <cellStyle name="Normal 5 2 2 6 2 2" xfId="8583" xr:uid="{78525E5C-291C-40E6-974B-A4B0635FC609}"/>
    <cellStyle name="Normal 5 2 2 6 3" xfId="6438" xr:uid="{D0DE64ED-97DF-4C07-A2B0-315FF636126D}"/>
    <cellStyle name="Normal 5 2 2 6 4" xfId="2136" xr:uid="{4EA5DBA8-819A-4377-86D1-711608EC8B12}"/>
    <cellStyle name="Normal 5 2 2 7" xfId="1307" xr:uid="{E08B4FE1-A85C-4947-B8C9-ECD785CF413D}"/>
    <cellStyle name="Normal 5 2 2 7 2" xfId="4778" xr:uid="{E3A35C2E-D255-40B9-BCD1-2D2710391D30}"/>
    <cellStyle name="Normal 5 2 2 7 2 2" xfId="8996" xr:uid="{735444DA-94CF-4CD2-A0FE-07FD157D9C59}"/>
    <cellStyle name="Normal 5 2 2 7 3" xfId="6851" xr:uid="{0984148A-3026-425F-8AB2-F5C3CBF3E061}"/>
    <cellStyle name="Normal 5 2 2 7 4" xfId="2549" xr:uid="{F6801614-13D3-4802-BC06-8527445ED545}"/>
    <cellStyle name="Normal 5 2 2 8" xfId="2962" xr:uid="{A2ABC7F5-24BA-4D48-BA25-58C5AA923A97}"/>
    <cellStyle name="Normal 5 2 2 8 2" xfId="5191" xr:uid="{9A48A5CF-C1C7-4BCF-81E2-3BC2AB753B73}"/>
    <cellStyle name="Normal 5 2 2 8 2 2" xfId="9409" xr:uid="{EDFB7411-68E1-4F38-AC51-37F3AD1840EB}"/>
    <cellStyle name="Normal 5 2 2 8 3" xfId="7264" xr:uid="{2145C548-AEDF-49D9-9656-8EB8EE36761F}"/>
    <cellStyle name="Normal 5 2 2 9" xfId="3375" xr:uid="{BB83E3FA-1AFE-4657-A206-F526E094AE76}"/>
    <cellStyle name="Normal 5 2 2 9 2" xfId="5604" xr:uid="{981470C0-9665-44DD-8CFF-AEAAC76FCAEE}"/>
    <cellStyle name="Normal 5 2 2 9 2 2" xfId="9822" xr:uid="{8000AD19-9E4F-44E4-8CE4-6CA844DBDD9C}"/>
    <cellStyle name="Normal 5 2 2 9 3" xfId="7677" xr:uid="{D9F8D466-DA75-4209-BB1F-E87F3859E1A9}"/>
    <cellStyle name="Normal 5 2 3" xfId="427" xr:uid="{00000000-0005-0000-0000-0000F4020000}"/>
    <cellStyle name="Normal 5 2 3 10" xfId="6041" xr:uid="{470A454F-9773-4EF3-86A2-E82FEF4160C2}"/>
    <cellStyle name="Normal 5 2 3 11" xfId="1737" xr:uid="{C1BECE78-A894-4A3F-B62B-98F005AD5C46}"/>
    <cellStyle name="Normal 5 2 3 2" xfId="428" xr:uid="{00000000-0005-0000-0000-0000F5020000}"/>
    <cellStyle name="Normal 5 2 3 2 10" xfId="1738" xr:uid="{4E9634E8-100B-4A47-8294-D596C4C08F9D}"/>
    <cellStyle name="Normal 5 2 3 2 2" xfId="429" xr:uid="{00000000-0005-0000-0000-0000F6020000}"/>
    <cellStyle name="Normal 5 2 3 2 2 2" xfId="430" xr:uid="{00000000-0005-0000-0000-0000F7020000}"/>
    <cellStyle name="Normal 5 2 3 2 2 2 2" xfId="909" xr:uid="{00000000-0005-0000-0000-0000F8020000}"/>
    <cellStyle name="Normal 5 2 3 2 2 2 2 2" xfId="4384" xr:uid="{53A6B255-480E-419A-A4AE-F74F0F017A61}"/>
    <cellStyle name="Normal 5 2 3 2 2 2 2 2 2" xfId="8602" xr:uid="{3FD4B78B-A5A0-448B-A201-0585E5F0EAEE}"/>
    <cellStyle name="Normal 5 2 3 2 2 2 2 3" xfId="6457" xr:uid="{48AA5AF3-53DA-4BBB-BB0C-7D5F6FB751BE}"/>
    <cellStyle name="Normal 5 2 3 2 2 2 2 4" xfId="2155" xr:uid="{261D4B9B-54A1-4A3B-B94E-6813FCF19568}"/>
    <cellStyle name="Normal 5 2 3 2 2 2 3" xfId="1326" xr:uid="{E14824F3-35B2-4EA1-8F65-B8418129260B}"/>
    <cellStyle name="Normal 5 2 3 2 2 2 3 2" xfId="4797" xr:uid="{D731D110-F8F9-4180-9A9A-15F2936A2901}"/>
    <cellStyle name="Normal 5 2 3 2 2 2 3 2 2" xfId="9015" xr:uid="{1B0C71D0-6931-4106-880D-EB541FABE77C}"/>
    <cellStyle name="Normal 5 2 3 2 2 2 3 3" xfId="6870" xr:uid="{9ABF42FC-F5F0-4D69-AC9D-5C77C5019405}"/>
    <cellStyle name="Normal 5 2 3 2 2 2 3 4" xfId="2568" xr:uid="{DD18AB14-A3FD-4038-99A6-F72BB25D07E3}"/>
    <cellStyle name="Normal 5 2 3 2 2 2 4" xfId="2981" xr:uid="{79FCFD20-82C8-4290-BDFF-934B423E69B7}"/>
    <cellStyle name="Normal 5 2 3 2 2 2 4 2" xfId="5210" xr:uid="{BC9E16D0-D5EC-44E2-8967-35DEA9F00CC1}"/>
    <cellStyle name="Normal 5 2 3 2 2 2 4 2 2" xfId="9428" xr:uid="{82B7A189-FA50-420C-9226-29EBF0405A12}"/>
    <cellStyle name="Normal 5 2 3 2 2 2 4 3" xfId="7283" xr:uid="{8B6C2F3F-A826-415A-97BE-16F854145E4D}"/>
    <cellStyle name="Normal 5 2 3 2 2 2 5" xfId="3394" xr:uid="{75757FA4-3E59-4C00-9DB0-08A27886553F}"/>
    <cellStyle name="Normal 5 2 3 2 2 2 5 2" xfId="5623" xr:uid="{2EA824FB-4FEC-4727-A69E-D70226503A35}"/>
    <cellStyle name="Normal 5 2 3 2 2 2 5 2 2" xfId="9841" xr:uid="{3A4A3935-8213-432E-87EF-BEFAFADE62D0}"/>
    <cellStyle name="Normal 5 2 3 2 2 2 5 3" xfId="7696" xr:uid="{7A21A1A4-AB39-428C-B3E5-63AF2AE91D20}"/>
    <cellStyle name="Normal 5 2 3 2 2 2 6" xfId="3830" xr:uid="{DFF0F2A6-82AC-4621-96D7-95D35055862E}"/>
    <cellStyle name="Normal 5 2 3 2 2 2 6 2" xfId="8109" xr:uid="{EA91F00A-947A-41F5-B737-6E5A789A081A}"/>
    <cellStyle name="Normal 5 2 3 2 2 2 7" xfId="6044" xr:uid="{D77F9762-5058-4EC0-9EC2-6C67C6C2E40D}"/>
    <cellStyle name="Normal 5 2 3 2 2 2 8" xfId="1740" xr:uid="{800EA697-A192-45DB-A1A7-E812A6E01B08}"/>
    <cellStyle name="Normal 5 2 3 2 2 3" xfId="908" xr:uid="{00000000-0005-0000-0000-0000F9020000}"/>
    <cellStyle name="Normal 5 2 3 2 2 3 2" xfId="4383" xr:uid="{7FFFCD83-2491-4DFA-A6C1-0E230360D35D}"/>
    <cellStyle name="Normal 5 2 3 2 2 3 2 2" xfId="8601" xr:uid="{0718473D-1CA8-4E7F-BDBD-0C4D44622304}"/>
    <cellStyle name="Normal 5 2 3 2 2 3 3" xfId="6456" xr:uid="{AFE106B2-51E0-4498-A548-6C0EBFB1F5BE}"/>
    <cellStyle name="Normal 5 2 3 2 2 3 4" xfId="2154" xr:uid="{474423D6-DD9A-417A-83C1-CFF412B9761C}"/>
    <cellStyle name="Normal 5 2 3 2 2 4" xfId="1325" xr:uid="{76139E83-925F-48E3-8048-ACA801A83FE8}"/>
    <cellStyle name="Normal 5 2 3 2 2 4 2" xfId="4796" xr:uid="{687BA11A-1384-44B7-8431-7AC2751759B8}"/>
    <cellStyle name="Normal 5 2 3 2 2 4 2 2" xfId="9014" xr:uid="{E1E1E248-FEEC-4F5E-9BBF-AD48F0A87553}"/>
    <cellStyle name="Normal 5 2 3 2 2 4 3" xfId="6869" xr:uid="{6C378FBB-3F47-4890-9852-531381B77CBC}"/>
    <cellStyle name="Normal 5 2 3 2 2 4 4" xfId="2567" xr:uid="{7BB65B5A-EA49-4BFB-B421-9DD3D6C76747}"/>
    <cellStyle name="Normal 5 2 3 2 2 5" xfId="2980" xr:uid="{8F8FE29C-F1C6-4A24-9568-5EDB223E76C5}"/>
    <cellStyle name="Normal 5 2 3 2 2 5 2" xfId="5209" xr:uid="{1C2B824F-D256-49C4-B6CD-89D39744C125}"/>
    <cellStyle name="Normal 5 2 3 2 2 5 2 2" xfId="9427" xr:uid="{A391BAE1-513F-439C-A188-8701AF2C6AEE}"/>
    <cellStyle name="Normal 5 2 3 2 2 5 3" xfId="7282" xr:uid="{06F54C64-B944-4679-BB57-83756B94D548}"/>
    <cellStyle name="Normal 5 2 3 2 2 6" xfId="3393" xr:uid="{CB08E924-9BC9-4DA2-BBBF-38A8D661C6CD}"/>
    <cellStyle name="Normal 5 2 3 2 2 6 2" xfId="5622" xr:uid="{80AC4B97-04C2-4E09-9629-9B049F5FCDFC}"/>
    <cellStyle name="Normal 5 2 3 2 2 6 2 2" xfId="9840" xr:uid="{4F401661-C6F4-4568-9754-0FAD72B4007C}"/>
    <cellStyle name="Normal 5 2 3 2 2 6 3" xfId="7695" xr:uid="{DB5B3E2E-F34F-4D9C-A041-EEC010A45AB2}"/>
    <cellStyle name="Normal 5 2 3 2 2 7" xfId="3829" xr:uid="{E295AAE6-6FB9-4777-8AB4-6FA446DACC77}"/>
    <cellStyle name="Normal 5 2 3 2 2 7 2" xfId="8108" xr:uid="{A72CB32B-55D1-4E3C-849A-F1C393FA7D36}"/>
    <cellStyle name="Normal 5 2 3 2 2 8" xfId="6043" xr:uid="{6749B0F7-CC48-40CE-A3E3-5BA7418AEE71}"/>
    <cellStyle name="Normal 5 2 3 2 2 9" xfId="1739" xr:uid="{D636F93F-C424-4787-BCCA-2AB20736D43F}"/>
    <cellStyle name="Normal 5 2 3 2 3" xfId="431" xr:uid="{00000000-0005-0000-0000-0000FA020000}"/>
    <cellStyle name="Normal 5 2 3 2 3 2" xfId="910" xr:uid="{00000000-0005-0000-0000-0000FB020000}"/>
    <cellStyle name="Normal 5 2 3 2 3 2 2" xfId="4385" xr:uid="{895E2D18-3049-4361-9A75-C564D9854DE8}"/>
    <cellStyle name="Normal 5 2 3 2 3 2 2 2" xfId="8603" xr:uid="{5746FC42-0CAB-4BEF-90AE-50E6E56AB25A}"/>
    <cellStyle name="Normal 5 2 3 2 3 2 3" xfId="6458" xr:uid="{707F6A5C-EEFA-4304-B95F-DCBC9AEA0215}"/>
    <cellStyle name="Normal 5 2 3 2 3 2 4" xfId="2156" xr:uid="{1F0376E7-DEA1-4DF9-8554-504F3479E931}"/>
    <cellStyle name="Normal 5 2 3 2 3 3" xfId="1327" xr:uid="{F6BDC4D2-7221-4D58-9F94-780A7EC95EBB}"/>
    <cellStyle name="Normal 5 2 3 2 3 3 2" xfId="4798" xr:uid="{1F86BA87-73BD-4F6E-A272-817BCBA0321C}"/>
    <cellStyle name="Normal 5 2 3 2 3 3 2 2" xfId="9016" xr:uid="{C53836C4-6EFC-4312-95B8-64E2B9120413}"/>
    <cellStyle name="Normal 5 2 3 2 3 3 3" xfId="6871" xr:uid="{00A635D6-2821-4A48-831D-CC676AC391CB}"/>
    <cellStyle name="Normal 5 2 3 2 3 3 4" xfId="2569" xr:uid="{322D85FC-1451-41B9-862C-E0808576FC0A}"/>
    <cellStyle name="Normal 5 2 3 2 3 4" xfId="2982" xr:uid="{C5559E6C-4DA7-4F80-B031-0702F0A1875C}"/>
    <cellStyle name="Normal 5 2 3 2 3 4 2" xfId="5211" xr:uid="{C461F131-50A1-4033-BA13-BA6779AA6B93}"/>
    <cellStyle name="Normal 5 2 3 2 3 4 2 2" xfId="9429" xr:uid="{F5ADEE75-DAD6-4139-8DEA-4D8C4B10A433}"/>
    <cellStyle name="Normal 5 2 3 2 3 4 3" xfId="7284" xr:uid="{F39409B5-0E1E-4BC4-9E4B-00C1FFC8D882}"/>
    <cellStyle name="Normal 5 2 3 2 3 5" xfId="3395" xr:uid="{F816F964-EF08-4CA7-B52B-DD0837E332EA}"/>
    <cellStyle name="Normal 5 2 3 2 3 5 2" xfId="5624" xr:uid="{F7C1D231-8BC4-4E1B-AF92-2C1E61D4013A}"/>
    <cellStyle name="Normal 5 2 3 2 3 5 2 2" xfId="9842" xr:uid="{0AE982CD-FDA0-4264-AEA2-DA50293EB4D2}"/>
    <cellStyle name="Normal 5 2 3 2 3 5 3" xfId="7697" xr:uid="{026EC3E5-C9F1-424E-8D20-6C00B1C0573D}"/>
    <cellStyle name="Normal 5 2 3 2 3 6" xfId="3831" xr:uid="{8BC76B00-5E00-4A57-8DA0-14DC11D9D54C}"/>
    <cellStyle name="Normal 5 2 3 2 3 6 2" xfId="8110" xr:uid="{88975044-1A85-4E3D-90A3-7863D4B4AFF8}"/>
    <cellStyle name="Normal 5 2 3 2 3 7" xfId="6045" xr:uid="{2E5D1CCE-E77B-4945-ABB6-A67C14EC1DC8}"/>
    <cellStyle name="Normal 5 2 3 2 3 8" xfId="1741" xr:uid="{CDE2CD98-58B4-48FF-B0A7-CCBBB461F660}"/>
    <cellStyle name="Normal 5 2 3 2 4" xfId="907" xr:uid="{00000000-0005-0000-0000-0000FC020000}"/>
    <cellStyle name="Normal 5 2 3 2 4 2" xfId="4382" xr:uid="{30269479-A854-4275-9F46-EC54367FEE53}"/>
    <cellStyle name="Normal 5 2 3 2 4 2 2" xfId="8600" xr:uid="{741BE084-0920-41BC-9073-4F801E6909E3}"/>
    <cellStyle name="Normal 5 2 3 2 4 3" xfId="6455" xr:uid="{5EDAF6F7-7BA0-4EBD-8377-19A18EF121B6}"/>
    <cellStyle name="Normal 5 2 3 2 4 4" xfId="2153" xr:uid="{9ACC5178-464C-456F-8F0C-064B2C744C16}"/>
    <cellStyle name="Normal 5 2 3 2 5" xfId="1324" xr:uid="{607B1723-05E5-4142-A58B-324BEC8645D0}"/>
    <cellStyle name="Normal 5 2 3 2 5 2" xfId="4795" xr:uid="{1B4E8F0B-E839-4D54-9728-8A0CFD603111}"/>
    <cellStyle name="Normal 5 2 3 2 5 2 2" xfId="9013" xr:uid="{69F23399-AEFB-4F38-BEB4-703F777100DB}"/>
    <cellStyle name="Normal 5 2 3 2 5 3" xfId="6868" xr:uid="{145F8F5E-78E8-441A-AB97-264720D20842}"/>
    <cellStyle name="Normal 5 2 3 2 5 4" xfId="2566" xr:uid="{E07F680A-4BF4-469E-B22E-E4B6EE62095A}"/>
    <cellStyle name="Normal 5 2 3 2 6" xfId="2979" xr:uid="{BAFFD576-FEA9-419A-B769-3E4DCA680057}"/>
    <cellStyle name="Normal 5 2 3 2 6 2" xfId="5208" xr:uid="{09813BB4-39DD-4865-B03A-980893D7E5BB}"/>
    <cellStyle name="Normal 5 2 3 2 6 2 2" xfId="9426" xr:uid="{49E2F2FC-BFFB-47BC-8152-F2475645F300}"/>
    <cellStyle name="Normal 5 2 3 2 6 3" xfId="7281" xr:uid="{A18D3234-9494-4A8E-94F6-74F8333F71BF}"/>
    <cellStyle name="Normal 5 2 3 2 7" xfId="3392" xr:uid="{5F4737EA-569D-4614-A4C7-5104EEA3A484}"/>
    <cellStyle name="Normal 5 2 3 2 7 2" xfId="5621" xr:uid="{8A299EFD-5E5B-4D6B-9B1D-B6587FA44E30}"/>
    <cellStyle name="Normal 5 2 3 2 7 2 2" xfId="9839" xr:uid="{9008A945-D3A4-4785-A532-66CE038FECD1}"/>
    <cellStyle name="Normal 5 2 3 2 7 3" xfId="7694" xr:uid="{A2876471-14DB-4049-9AB4-C79C3C8A5274}"/>
    <cellStyle name="Normal 5 2 3 2 8" xfId="3828" xr:uid="{D2242635-8010-4C05-B815-42B13C1EB321}"/>
    <cellStyle name="Normal 5 2 3 2 8 2" xfId="8107" xr:uid="{81ED1E0D-2E18-4665-B916-584B198CA6D3}"/>
    <cellStyle name="Normal 5 2 3 2 9" xfId="6042" xr:uid="{95249076-531D-4436-9B49-8E7B1B7F7386}"/>
    <cellStyle name="Normal 5 2 3 3" xfId="432" xr:uid="{00000000-0005-0000-0000-0000FD020000}"/>
    <cellStyle name="Normal 5 2 3 3 2" xfId="433" xr:uid="{00000000-0005-0000-0000-0000FE020000}"/>
    <cellStyle name="Normal 5 2 3 3 2 2" xfId="912" xr:uid="{00000000-0005-0000-0000-0000FF020000}"/>
    <cellStyle name="Normal 5 2 3 3 2 2 2" xfId="4387" xr:uid="{AA221C7D-7D95-4D70-9A39-508B55EC70D1}"/>
    <cellStyle name="Normal 5 2 3 3 2 2 2 2" xfId="8605" xr:uid="{19E424AD-50AD-4D85-BBC3-D303B6584ED3}"/>
    <cellStyle name="Normal 5 2 3 3 2 2 3" xfId="6460" xr:uid="{535C8995-2CA7-4911-A393-AC68CE6EA966}"/>
    <cellStyle name="Normal 5 2 3 3 2 2 4" xfId="2158" xr:uid="{522AEAFA-E0EF-4620-9BA0-56CF0326C800}"/>
    <cellStyle name="Normal 5 2 3 3 2 3" xfId="1329" xr:uid="{EC659765-D33F-4583-BD3C-72F56646491B}"/>
    <cellStyle name="Normal 5 2 3 3 2 3 2" xfId="4800" xr:uid="{8B4A44B8-E219-47E0-B68B-8BA634048307}"/>
    <cellStyle name="Normal 5 2 3 3 2 3 2 2" xfId="9018" xr:uid="{D8BFCB23-79DD-4DFC-A6DD-E55648E7E0C5}"/>
    <cellStyle name="Normal 5 2 3 3 2 3 3" xfId="6873" xr:uid="{05B6F21A-77A4-4E83-A102-5EA225EE4BD8}"/>
    <cellStyle name="Normal 5 2 3 3 2 3 4" xfId="2571" xr:uid="{EE9ED697-613E-4D08-8FF9-C7F6A568CB0C}"/>
    <cellStyle name="Normal 5 2 3 3 2 4" xfId="2984" xr:uid="{6D60819C-6649-4E66-98BF-8A6D1A743759}"/>
    <cellStyle name="Normal 5 2 3 3 2 4 2" xfId="5213" xr:uid="{AC54AC92-4124-41CE-A137-96CBE78902F7}"/>
    <cellStyle name="Normal 5 2 3 3 2 4 2 2" xfId="9431" xr:uid="{386ACA5D-0146-4498-9C11-C3A20A012A76}"/>
    <cellStyle name="Normal 5 2 3 3 2 4 3" xfId="7286" xr:uid="{86A1D132-9648-4EE7-B889-6A53004B3099}"/>
    <cellStyle name="Normal 5 2 3 3 2 5" xfId="3397" xr:uid="{22BEB178-FCFC-4E9C-99A3-13622C9419DE}"/>
    <cellStyle name="Normal 5 2 3 3 2 5 2" xfId="5626" xr:uid="{4943AA93-C609-42CD-ABE4-7DA5C43C6A8D}"/>
    <cellStyle name="Normal 5 2 3 3 2 5 2 2" xfId="9844" xr:uid="{32693722-B10A-40F1-AD75-F320AAF0D1AD}"/>
    <cellStyle name="Normal 5 2 3 3 2 5 3" xfId="7699" xr:uid="{4A8EEE6A-321C-4BAE-8971-3C909BD86A8D}"/>
    <cellStyle name="Normal 5 2 3 3 2 6" xfId="3833" xr:uid="{1EAF9C2A-F25F-4ED3-8346-F18EE25FAB8F}"/>
    <cellStyle name="Normal 5 2 3 3 2 6 2" xfId="8112" xr:uid="{8243089D-6213-4CB9-9F74-49B6E8F69016}"/>
    <cellStyle name="Normal 5 2 3 3 2 7" xfId="6047" xr:uid="{384C6EDC-B5B3-4E0B-9217-A2FD21356366}"/>
    <cellStyle name="Normal 5 2 3 3 2 8" xfId="1743" xr:uid="{64BC274A-9A8A-42CB-804E-0673F5FDD98D}"/>
    <cellStyle name="Normal 5 2 3 3 3" xfId="911" xr:uid="{00000000-0005-0000-0000-000000030000}"/>
    <cellStyle name="Normal 5 2 3 3 3 2" xfId="4386" xr:uid="{019DD39A-CE08-46D8-9A0C-6C91AC780AB4}"/>
    <cellStyle name="Normal 5 2 3 3 3 2 2" xfId="8604" xr:uid="{31E25788-84DE-4CF9-B7E2-563BA96A5F62}"/>
    <cellStyle name="Normal 5 2 3 3 3 3" xfId="6459" xr:uid="{7ECC764A-CA26-4F30-ACF1-3B9EDA367200}"/>
    <cellStyle name="Normal 5 2 3 3 3 4" xfId="2157" xr:uid="{5E014C59-878E-43C9-9AA4-B6E02D6A1E93}"/>
    <cellStyle name="Normal 5 2 3 3 4" xfId="1328" xr:uid="{0BD89546-D984-47E3-BB4C-964248EE45DE}"/>
    <cellStyle name="Normal 5 2 3 3 4 2" xfId="4799" xr:uid="{6A79916F-4B90-4071-A644-8EF71E11612A}"/>
    <cellStyle name="Normal 5 2 3 3 4 2 2" xfId="9017" xr:uid="{ADB415F2-6397-4537-ADCA-EB00B845AA10}"/>
    <cellStyle name="Normal 5 2 3 3 4 3" xfId="6872" xr:uid="{F926AB1D-99A7-491E-8F84-B82EABBAC122}"/>
    <cellStyle name="Normal 5 2 3 3 4 4" xfId="2570" xr:uid="{F297F99E-B212-4EB9-8D5F-28210D5254F2}"/>
    <cellStyle name="Normal 5 2 3 3 5" xfId="2983" xr:uid="{75DF2BCF-A5E2-4843-BE84-F9C6B4155AD3}"/>
    <cellStyle name="Normal 5 2 3 3 5 2" xfId="5212" xr:uid="{FBC97B65-56DB-4901-99CB-6F34620A5D13}"/>
    <cellStyle name="Normal 5 2 3 3 5 2 2" xfId="9430" xr:uid="{83FC643E-B664-4E17-B0EA-58D8C35224DC}"/>
    <cellStyle name="Normal 5 2 3 3 5 3" xfId="7285" xr:uid="{31FFB7C6-FC2F-4572-A1FA-67761C30A7A2}"/>
    <cellStyle name="Normal 5 2 3 3 6" xfId="3396" xr:uid="{7FF381A4-1CB6-4D9C-8632-BCC985B5037F}"/>
    <cellStyle name="Normal 5 2 3 3 6 2" xfId="5625" xr:uid="{B82707E7-EC2D-42FA-95FE-58B3C439BB4D}"/>
    <cellStyle name="Normal 5 2 3 3 6 2 2" xfId="9843" xr:uid="{BB6961AD-39DB-4591-AEB1-A0EFBBBF465C}"/>
    <cellStyle name="Normal 5 2 3 3 6 3" xfId="7698" xr:uid="{9348F856-5521-4AE1-8ADF-4E361090F259}"/>
    <cellStyle name="Normal 5 2 3 3 7" xfId="3832" xr:uid="{9A9E607F-D4AD-4BCC-906D-92D28F3CB123}"/>
    <cellStyle name="Normal 5 2 3 3 7 2" xfId="8111" xr:uid="{A69ECC1C-CE1D-44D5-8146-6BBBB6CD92BC}"/>
    <cellStyle name="Normal 5 2 3 3 8" xfId="6046" xr:uid="{B458358C-8C05-4125-9922-26FEF677BC66}"/>
    <cellStyle name="Normal 5 2 3 3 9" xfId="1742" xr:uid="{6B58E44F-418E-4542-B0B4-AD95528A75D1}"/>
    <cellStyle name="Normal 5 2 3 4" xfId="434" xr:uid="{00000000-0005-0000-0000-000001030000}"/>
    <cellStyle name="Normal 5 2 3 4 2" xfId="913" xr:uid="{00000000-0005-0000-0000-000002030000}"/>
    <cellStyle name="Normal 5 2 3 4 2 2" xfId="4388" xr:uid="{88044A17-6F0C-413C-B8E5-7EC4DFE54015}"/>
    <cellStyle name="Normal 5 2 3 4 2 2 2" xfId="8606" xr:uid="{AB44F565-E4B6-48AF-A5A7-7FFECD242579}"/>
    <cellStyle name="Normal 5 2 3 4 2 3" xfId="6461" xr:uid="{1112EBC5-D014-4713-834E-4F152C26E239}"/>
    <cellStyle name="Normal 5 2 3 4 2 4" xfId="2159" xr:uid="{C64710F9-6BA2-4FBE-8C14-7A046D8B1FF4}"/>
    <cellStyle name="Normal 5 2 3 4 3" xfId="1330" xr:uid="{1253C699-9024-49D2-970F-3A4C5C3AB561}"/>
    <cellStyle name="Normal 5 2 3 4 3 2" xfId="4801" xr:uid="{3DE71412-3358-445B-B62F-B20D469D2730}"/>
    <cellStyle name="Normal 5 2 3 4 3 2 2" xfId="9019" xr:uid="{63608DF0-6F2B-40F7-BC2A-6546189BBD15}"/>
    <cellStyle name="Normal 5 2 3 4 3 3" xfId="6874" xr:uid="{75906574-5856-49D1-B701-D55E9D125105}"/>
    <cellStyle name="Normal 5 2 3 4 3 4" xfId="2572" xr:uid="{F82BF0BE-A9FC-46AA-A6C1-5C8FC25CF275}"/>
    <cellStyle name="Normal 5 2 3 4 4" xfId="2985" xr:uid="{63311E94-6368-4C03-80B8-516FC377EF85}"/>
    <cellStyle name="Normal 5 2 3 4 4 2" xfId="5214" xr:uid="{4AEC6944-7E4F-4DC6-88AE-E7034EEF78FE}"/>
    <cellStyle name="Normal 5 2 3 4 4 2 2" xfId="9432" xr:uid="{4F263E76-62D6-4D9C-8A1F-840215937D71}"/>
    <cellStyle name="Normal 5 2 3 4 4 3" xfId="7287" xr:uid="{053977B9-9F27-4905-B5E4-406CB68FD037}"/>
    <cellStyle name="Normal 5 2 3 4 5" xfId="3398" xr:uid="{B5CE6FCF-CC90-4377-8CE2-E79458D73833}"/>
    <cellStyle name="Normal 5 2 3 4 5 2" xfId="5627" xr:uid="{54F0ECF2-5940-487A-AF7C-402F802EF1AD}"/>
    <cellStyle name="Normal 5 2 3 4 5 2 2" xfId="9845" xr:uid="{D5F44F88-EA2C-46E0-A56E-B3281AE02FA6}"/>
    <cellStyle name="Normal 5 2 3 4 5 3" xfId="7700" xr:uid="{798A3598-7E12-4719-BBA6-7ABF202FA7A9}"/>
    <cellStyle name="Normal 5 2 3 4 6" xfId="3834" xr:uid="{DDF46B75-E944-4DDA-B9AD-A97A4F50BA9F}"/>
    <cellStyle name="Normal 5 2 3 4 6 2" xfId="8113" xr:uid="{E8BF031A-FB88-4A65-926E-0DC60E0DBB1C}"/>
    <cellStyle name="Normal 5 2 3 4 7" xfId="6048" xr:uid="{B46D3516-0732-424C-9F3D-5F285CE9B53B}"/>
    <cellStyle name="Normal 5 2 3 4 8" xfId="1744" xr:uid="{CD1650BC-85F7-4C2D-BDFE-255DADB1319E}"/>
    <cellStyle name="Normal 5 2 3 5" xfId="906" xr:uid="{00000000-0005-0000-0000-000003030000}"/>
    <cellStyle name="Normal 5 2 3 5 2" xfId="4381" xr:uid="{95F2E0A6-EDB6-4109-8E17-862CB83B2E79}"/>
    <cellStyle name="Normal 5 2 3 5 2 2" xfId="8599" xr:uid="{047FC179-AD19-4094-9FE3-E43F02EBE51A}"/>
    <cellStyle name="Normal 5 2 3 5 3" xfId="6454" xr:uid="{B223FE29-01A6-47DD-A850-E1B52D6DB699}"/>
    <cellStyle name="Normal 5 2 3 5 4" xfId="2152" xr:uid="{F442E47B-9F68-44D5-BC8E-6D45E5C0888E}"/>
    <cellStyle name="Normal 5 2 3 6" xfId="1323" xr:uid="{8ABC65D6-0601-486D-BC12-505E9418FB4A}"/>
    <cellStyle name="Normal 5 2 3 6 2" xfId="4794" xr:uid="{DA2D61D6-348C-45AF-A0C5-C3568D76BE88}"/>
    <cellStyle name="Normal 5 2 3 6 2 2" xfId="9012" xr:uid="{F6287243-0655-48D2-BD0E-6EB61D598A38}"/>
    <cellStyle name="Normal 5 2 3 6 3" xfId="6867" xr:uid="{DBB645EC-0EF1-4501-8F95-6CCB9D406ED4}"/>
    <cellStyle name="Normal 5 2 3 6 4" xfId="2565" xr:uid="{516E9EDB-6D2C-4993-8ACB-4F7510B4B50E}"/>
    <cellStyle name="Normal 5 2 3 7" xfId="2978" xr:uid="{270BA488-A259-49D4-A66F-EB6DAE92FCC8}"/>
    <cellStyle name="Normal 5 2 3 7 2" xfId="5207" xr:uid="{310BA096-E262-487B-8A8F-246C6135B3DD}"/>
    <cellStyle name="Normal 5 2 3 7 2 2" xfId="9425" xr:uid="{66982099-722D-40B5-8793-38CB2A2379C2}"/>
    <cellStyle name="Normal 5 2 3 7 3" xfId="7280" xr:uid="{6DF6A806-F439-4BD7-8589-55940447C8A6}"/>
    <cellStyle name="Normal 5 2 3 8" xfId="3391" xr:uid="{E6EAE384-413E-4A33-9C03-A1F5A1393FFC}"/>
    <cellStyle name="Normal 5 2 3 8 2" xfId="5620" xr:uid="{25F6EC05-3653-44BF-895D-69372C064560}"/>
    <cellStyle name="Normal 5 2 3 8 2 2" xfId="9838" xr:uid="{87B9D6AD-0BF2-419D-9557-030853349B56}"/>
    <cellStyle name="Normal 5 2 3 8 3" xfId="7693" xr:uid="{6E79A437-7C22-4283-9FBA-10F8175B8A8B}"/>
    <cellStyle name="Normal 5 2 3 9" xfId="3827" xr:uid="{C9B5582E-4A89-468A-9F6F-472C62307CCE}"/>
    <cellStyle name="Normal 5 2 3 9 2" xfId="8106" xr:uid="{5037694E-C489-4BB1-A06F-3D1B79C8CDD2}"/>
    <cellStyle name="Normal 5 2 4" xfId="435" xr:uid="{00000000-0005-0000-0000-000004030000}"/>
    <cellStyle name="Normal 5 2 4 10" xfId="1745" xr:uid="{0501C559-A2CB-4348-89D4-5EAA5E51A161}"/>
    <cellStyle name="Normal 5 2 4 2" xfId="436" xr:uid="{00000000-0005-0000-0000-000005030000}"/>
    <cellStyle name="Normal 5 2 4 2 2" xfId="437" xr:uid="{00000000-0005-0000-0000-000006030000}"/>
    <cellStyle name="Normal 5 2 4 2 2 2" xfId="916" xr:uid="{00000000-0005-0000-0000-000007030000}"/>
    <cellStyle name="Normal 5 2 4 2 2 2 2" xfId="4391" xr:uid="{0D919DA0-C530-4194-88CB-DD19D3A236BB}"/>
    <cellStyle name="Normal 5 2 4 2 2 2 2 2" xfId="8609" xr:uid="{AEAFDE73-6939-4E4C-90D7-DAB04D89A8DC}"/>
    <cellStyle name="Normal 5 2 4 2 2 2 3" xfId="6464" xr:uid="{F76111D9-2044-401D-BF2F-6CFF9003FCC8}"/>
    <cellStyle name="Normal 5 2 4 2 2 2 4" xfId="2162" xr:uid="{44ED5147-B967-457E-AF24-96611B9C36E8}"/>
    <cellStyle name="Normal 5 2 4 2 2 3" xfId="1333" xr:uid="{DF20F86A-BAA7-4FEC-998B-5B5A4C991A9B}"/>
    <cellStyle name="Normal 5 2 4 2 2 3 2" xfId="4804" xr:uid="{C14CCC65-AD36-47C9-910B-90E175F7A6F7}"/>
    <cellStyle name="Normal 5 2 4 2 2 3 2 2" xfId="9022" xr:uid="{982DDE01-6543-4D69-9899-3AA5BCE14868}"/>
    <cellStyle name="Normal 5 2 4 2 2 3 3" xfId="6877" xr:uid="{5E5A4C3B-3AF4-4697-B48C-608D38B10063}"/>
    <cellStyle name="Normal 5 2 4 2 2 3 4" xfId="2575" xr:uid="{43F21FC3-DAA3-4DDF-8106-D7E15897B2D7}"/>
    <cellStyle name="Normal 5 2 4 2 2 4" xfId="2988" xr:uid="{80FAE363-A90F-4842-9513-EEB654C35BBA}"/>
    <cellStyle name="Normal 5 2 4 2 2 4 2" xfId="5217" xr:uid="{C0733EE0-793D-4B79-A3C5-66F1CDFFB37A}"/>
    <cellStyle name="Normal 5 2 4 2 2 4 2 2" xfId="9435" xr:uid="{73DB3D56-C864-4357-8CC5-406F62B3E38A}"/>
    <cellStyle name="Normal 5 2 4 2 2 4 3" xfId="7290" xr:uid="{E7092518-00F2-4647-B856-1FC8ECB1586B}"/>
    <cellStyle name="Normal 5 2 4 2 2 5" xfId="3401" xr:uid="{41E66997-AA30-43CD-9728-8D5EE2694203}"/>
    <cellStyle name="Normal 5 2 4 2 2 5 2" xfId="5630" xr:uid="{8590F0B6-2A79-4991-844F-53AC79A86037}"/>
    <cellStyle name="Normal 5 2 4 2 2 5 2 2" xfId="9848" xr:uid="{584D5F50-C2D1-469C-970C-5473AD85161B}"/>
    <cellStyle name="Normal 5 2 4 2 2 5 3" xfId="7703" xr:uid="{7BDDCBE0-DA5A-40D5-AC72-1D19CB1FD497}"/>
    <cellStyle name="Normal 5 2 4 2 2 6" xfId="3837" xr:uid="{E468E39C-E225-41BB-ADDD-2B26F0C28A08}"/>
    <cellStyle name="Normal 5 2 4 2 2 6 2" xfId="8116" xr:uid="{1116F23D-0753-4A26-BBCB-46EB83325148}"/>
    <cellStyle name="Normal 5 2 4 2 2 7" xfId="6051" xr:uid="{322A9CA9-C632-4A09-8228-53B4E87B5ED3}"/>
    <cellStyle name="Normal 5 2 4 2 2 8" xfId="1747" xr:uid="{2F80FA2E-0807-44BD-9504-11924C85306A}"/>
    <cellStyle name="Normal 5 2 4 2 3" xfId="915" xr:uid="{00000000-0005-0000-0000-000008030000}"/>
    <cellStyle name="Normal 5 2 4 2 3 2" xfId="4390" xr:uid="{E83FB28A-6B7E-4A9F-ABFD-1E810CC26E30}"/>
    <cellStyle name="Normal 5 2 4 2 3 2 2" xfId="8608" xr:uid="{147FD2E4-9074-4674-B5DB-AB77FC95DDB7}"/>
    <cellStyle name="Normal 5 2 4 2 3 3" xfId="6463" xr:uid="{1297DA35-3411-4DC8-893A-7BA41832DAE3}"/>
    <cellStyle name="Normal 5 2 4 2 3 4" xfId="2161" xr:uid="{CD64BC9F-030C-4B33-A6EA-EF6B594A2BE9}"/>
    <cellStyle name="Normal 5 2 4 2 4" xfId="1332" xr:uid="{EF61C7F9-B081-47FF-BF23-E806BBCD477D}"/>
    <cellStyle name="Normal 5 2 4 2 4 2" xfId="4803" xr:uid="{F448D378-8345-44FC-B6A3-4630A37C6FBB}"/>
    <cellStyle name="Normal 5 2 4 2 4 2 2" xfId="9021" xr:uid="{D5FFF9A7-DCC5-4F56-A06A-1F090C37371E}"/>
    <cellStyle name="Normal 5 2 4 2 4 3" xfId="6876" xr:uid="{D0A590B7-0B61-4565-B3DD-62211063D4E2}"/>
    <cellStyle name="Normal 5 2 4 2 4 4" xfId="2574" xr:uid="{034B915A-C7A4-420B-A118-77D8F246DA9A}"/>
    <cellStyle name="Normal 5 2 4 2 5" xfId="2987" xr:uid="{32F90867-326A-42ED-8449-8D5C485F564F}"/>
    <cellStyle name="Normal 5 2 4 2 5 2" xfId="5216" xr:uid="{2B0E7FA7-AC8E-4FCD-8CF0-2E2B37431DFB}"/>
    <cellStyle name="Normal 5 2 4 2 5 2 2" xfId="9434" xr:uid="{2CAB897F-A534-4CCF-9022-FECAFA9E4132}"/>
    <cellStyle name="Normal 5 2 4 2 5 3" xfId="7289" xr:uid="{B465D87E-BD2C-4A79-BE8A-97FB8CA39DE9}"/>
    <cellStyle name="Normal 5 2 4 2 6" xfId="3400" xr:uid="{6D263C34-A261-4E8B-9C34-88BE466B1094}"/>
    <cellStyle name="Normal 5 2 4 2 6 2" xfId="5629" xr:uid="{D25ED4E1-577A-4681-AF10-62715D3CAC37}"/>
    <cellStyle name="Normal 5 2 4 2 6 2 2" xfId="9847" xr:uid="{FA746CD6-F9A4-449E-A14C-1734F1E4DA14}"/>
    <cellStyle name="Normal 5 2 4 2 6 3" xfId="7702" xr:uid="{862E07AB-E254-43C3-A52E-6DF501295CD8}"/>
    <cellStyle name="Normal 5 2 4 2 7" xfId="3836" xr:uid="{CE05E212-0CB4-47B0-9D1B-25FE1D3F9619}"/>
    <cellStyle name="Normal 5 2 4 2 7 2" xfId="8115" xr:uid="{1CF13BB5-FFF2-479A-AC0A-650FE65326A5}"/>
    <cellStyle name="Normal 5 2 4 2 8" xfId="6050" xr:uid="{019A4FD4-5C15-42CB-8A50-BA7F7F553FC1}"/>
    <cellStyle name="Normal 5 2 4 2 9" xfId="1746" xr:uid="{D97ECB0A-D7A4-4E26-B09F-6E98324778BF}"/>
    <cellStyle name="Normal 5 2 4 3" xfId="438" xr:uid="{00000000-0005-0000-0000-000009030000}"/>
    <cellStyle name="Normal 5 2 4 3 2" xfId="917" xr:uid="{00000000-0005-0000-0000-00000A030000}"/>
    <cellStyle name="Normal 5 2 4 3 2 2" xfId="4392" xr:uid="{27DA46C5-22D0-40A8-8442-10A49457193F}"/>
    <cellStyle name="Normal 5 2 4 3 2 2 2" xfId="8610" xr:uid="{744F1111-41ED-4773-891D-B21F99936DF2}"/>
    <cellStyle name="Normal 5 2 4 3 2 3" xfId="6465" xr:uid="{44270EE9-F644-459B-8181-E2F27B5B2496}"/>
    <cellStyle name="Normal 5 2 4 3 2 4" xfId="2163" xr:uid="{48D72D3B-1CDB-4971-B780-3B83D1C9C7B8}"/>
    <cellStyle name="Normal 5 2 4 3 3" xfId="1334" xr:uid="{65647118-C3CC-4C73-8BAB-8062AA784873}"/>
    <cellStyle name="Normal 5 2 4 3 3 2" xfId="4805" xr:uid="{386073A3-5630-4D23-B864-E862717CE519}"/>
    <cellStyle name="Normal 5 2 4 3 3 2 2" xfId="9023" xr:uid="{E0EC412C-131B-4576-B826-C14695E2D39A}"/>
    <cellStyle name="Normal 5 2 4 3 3 3" xfId="6878" xr:uid="{3D3E24A1-63A9-4BAB-8354-23A14D7D5BF1}"/>
    <cellStyle name="Normal 5 2 4 3 3 4" xfId="2576" xr:uid="{CD4EB296-2233-41DC-9713-291974C40F7D}"/>
    <cellStyle name="Normal 5 2 4 3 4" xfId="2989" xr:uid="{35A18737-E685-4FD0-B36D-577EEB48384C}"/>
    <cellStyle name="Normal 5 2 4 3 4 2" xfId="5218" xr:uid="{398A2B88-5E34-4F90-9A65-40DCE2AB45C0}"/>
    <cellStyle name="Normal 5 2 4 3 4 2 2" xfId="9436" xr:uid="{DD587544-56E6-4EEC-AA20-FE5ED783B4E3}"/>
    <cellStyle name="Normal 5 2 4 3 4 3" xfId="7291" xr:uid="{862FA463-E754-4442-8CAE-815AB881739C}"/>
    <cellStyle name="Normal 5 2 4 3 5" xfId="3402" xr:uid="{6A7B818D-EDED-4650-B432-04DA4230840A}"/>
    <cellStyle name="Normal 5 2 4 3 5 2" xfId="5631" xr:uid="{05F853C8-F797-4FD4-8907-5AB6E140AF6A}"/>
    <cellStyle name="Normal 5 2 4 3 5 2 2" xfId="9849" xr:uid="{88A08D71-87C3-42F8-B5BA-8B68A1BE02F0}"/>
    <cellStyle name="Normal 5 2 4 3 5 3" xfId="7704" xr:uid="{F1D4E24D-79CF-487F-83FF-E3145CE11ECB}"/>
    <cellStyle name="Normal 5 2 4 3 6" xfId="3838" xr:uid="{F317708D-052F-41CF-BC6C-916951F3DEE6}"/>
    <cellStyle name="Normal 5 2 4 3 6 2" xfId="8117" xr:uid="{011309EB-06DC-4CD5-B15A-F404AF4A9265}"/>
    <cellStyle name="Normal 5 2 4 3 7" xfId="6052" xr:uid="{9ACDD39D-FEC1-4286-8B5F-564B4D2EA5B4}"/>
    <cellStyle name="Normal 5 2 4 3 8" xfId="1748" xr:uid="{6A9E7CA9-B409-482C-BF02-DF8105C0806B}"/>
    <cellStyle name="Normal 5 2 4 4" xfId="914" xr:uid="{00000000-0005-0000-0000-00000B030000}"/>
    <cellStyle name="Normal 5 2 4 4 2" xfId="4389" xr:uid="{8EBED6A9-3938-45E9-A7BF-3D682C76199F}"/>
    <cellStyle name="Normal 5 2 4 4 2 2" xfId="8607" xr:uid="{CBFBA352-11C5-4FE9-A0D7-FA7E71CC8697}"/>
    <cellStyle name="Normal 5 2 4 4 3" xfId="6462" xr:uid="{CC79EA3A-7370-4145-A9D0-DC73B6D92E71}"/>
    <cellStyle name="Normal 5 2 4 4 4" xfId="2160" xr:uid="{AC02C8D6-CD65-4725-AFCB-6F12CB608252}"/>
    <cellStyle name="Normal 5 2 4 5" xfId="1331" xr:uid="{3AB941CE-892F-4563-8BC3-01EC762C06FB}"/>
    <cellStyle name="Normal 5 2 4 5 2" xfId="4802" xr:uid="{3B971E9F-9234-4733-8CE2-5C3CE5C4B9FC}"/>
    <cellStyle name="Normal 5 2 4 5 2 2" xfId="9020" xr:uid="{4C8BC643-50F3-48F5-9734-F36B5D9F9A22}"/>
    <cellStyle name="Normal 5 2 4 5 3" xfId="6875" xr:uid="{0DFF26B0-A657-4013-AA14-30FDFEB12EB6}"/>
    <cellStyle name="Normal 5 2 4 5 4" xfId="2573" xr:uid="{760CA3DB-B1F3-4D77-BDCD-D20D2CDECBCB}"/>
    <cellStyle name="Normal 5 2 4 6" xfId="2986" xr:uid="{03D589FD-FC15-4119-A281-29CCB4C3731A}"/>
    <cellStyle name="Normal 5 2 4 6 2" xfId="5215" xr:uid="{B6D83B1B-53CB-4372-AAF0-42987978EBF5}"/>
    <cellStyle name="Normal 5 2 4 6 2 2" xfId="9433" xr:uid="{2E61FCCD-F06E-4EDE-B762-DFB14005955B}"/>
    <cellStyle name="Normal 5 2 4 6 3" xfId="7288" xr:uid="{984271FF-867D-4AEB-BF46-82F3F935AF5D}"/>
    <cellStyle name="Normal 5 2 4 7" xfId="3399" xr:uid="{9E2E600D-BB20-4E1B-9523-0688C55CE066}"/>
    <cellStyle name="Normal 5 2 4 7 2" xfId="5628" xr:uid="{A0943966-4FD5-4865-8B0B-53322A6A9117}"/>
    <cellStyle name="Normal 5 2 4 7 2 2" xfId="9846" xr:uid="{47D326E9-1FF9-4406-AB87-A20B2698400F}"/>
    <cellStyle name="Normal 5 2 4 7 3" xfId="7701" xr:uid="{BA036043-E310-4931-A0C3-6B35051CB64F}"/>
    <cellStyle name="Normal 5 2 4 8" xfId="3835" xr:uid="{8F345157-6DE4-4EF6-A50A-01E88A046C37}"/>
    <cellStyle name="Normal 5 2 4 8 2" xfId="8114" xr:uid="{D3331FD0-17F2-4829-9068-C079DFA14306}"/>
    <cellStyle name="Normal 5 2 4 9" xfId="6049" xr:uid="{B657B105-1C04-4AFF-93EA-71BF9A782695}"/>
    <cellStyle name="Normal 5 2 5" xfId="439" xr:uid="{00000000-0005-0000-0000-00000C030000}"/>
    <cellStyle name="Normal 5 2 5 2" xfId="440" xr:uid="{00000000-0005-0000-0000-00000D030000}"/>
    <cellStyle name="Normal 5 2 5 2 2" xfId="919" xr:uid="{00000000-0005-0000-0000-00000E030000}"/>
    <cellStyle name="Normal 5 2 5 2 2 2" xfId="4394" xr:uid="{650465C0-11C3-4EA5-AC84-068A9D01F95F}"/>
    <cellStyle name="Normal 5 2 5 2 2 2 2" xfId="8612" xr:uid="{D035BC9E-3B48-4E4C-86D9-789EA859FA00}"/>
    <cellStyle name="Normal 5 2 5 2 2 3" xfId="6467" xr:uid="{83C3668E-E270-4EB3-A7E1-22EA3A7D04BD}"/>
    <cellStyle name="Normal 5 2 5 2 2 4" xfId="2165" xr:uid="{E0446CF9-4AC2-4787-B340-FF959EA6E9BF}"/>
    <cellStyle name="Normal 5 2 5 2 3" xfId="1336" xr:uid="{4831027B-74A9-408C-9AF2-ED57770E386F}"/>
    <cellStyle name="Normal 5 2 5 2 3 2" xfId="4807" xr:uid="{679C81A9-CAF5-4FCF-946F-FB2169AC5EB2}"/>
    <cellStyle name="Normal 5 2 5 2 3 2 2" xfId="9025" xr:uid="{E4C41B1A-97A5-4A6E-A816-D3BC9F45E83E}"/>
    <cellStyle name="Normal 5 2 5 2 3 3" xfId="6880" xr:uid="{D7AD9843-D628-4C60-B8E5-84DF403758B5}"/>
    <cellStyle name="Normal 5 2 5 2 3 4" xfId="2578" xr:uid="{32D77B53-2CAA-43CD-AE02-29064106EDC8}"/>
    <cellStyle name="Normal 5 2 5 2 4" xfId="2991" xr:uid="{CD2E1179-FE0E-40F9-B6CA-E55D37AC64D2}"/>
    <cellStyle name="Normal 5 2 5 2 4 2" xfId="5220" xr:uid="{2DCA5123-4C02-4723-99F3-A222467A92B9}"/>
    <cellStyle name="Normal 5 2 5 2 4 2 2" xfId="9438" xr:uid="{27EC8AE5-50CB-46C5-ADE1-0C781682AB0C}"/>
    <cellStyle name="Normal 5 2 5 2 4 3" xfId="7293" xr:uid="{E9D24F2C-1D27-4CCB-8F2F-4291CE46ED92}"/>
    <cellStyle name="Normal 5 2 5 2 5" xfId="3404" xr:uid="{B5D3B2D9-4655-453E-AF87-E6FBF6ECD43D}"/>
    <cellStyle name="Normal 5 2 5 2 5 2" xfId="5633" xr:uid="{087EC8B8-F83F-4306-B745-A91640CFA393}"/>
    <cellStyle name="Normal 5 2 5 2 5 2 2" xfId="9851" xr:uid="{3BE39949-F539-434A-B0E0-F86234F19E01}"/>
    <cellStyle name="Normal 5 2 5 2 5 3" xfId="7706" xr:uid="{20B19CF2-E669-46BB-AAEC-39B45D8BD4C8}"/>
    <cellStyle name="Normal 5 2 5 2 6" xfId="3840" xr:uid="{47897E0C-3D95-49FC-9A1E-E0DB712DD8C3}"/>
    <cellStyle name="Normal 5 2 5 2 6 2" xfId="8119" xr:uid="{C2E3CA7B-065A-459E-A65C-6E22FDFA5C15}"/>
    <cellStyle name="Normal 5 2 5 2 7" xfId="6054" xr:uid="{0B477777-AAE3-4652-B3E5-F260EBD2BAF2}"/>
    <cellStyle name="Normal 5 2 5 2 8" xfId="1750" xr:uid="{54DFD092-9D09-40D8-8D27-77E5A0AD50C4}"/>
    <cellStyle name="Normal 5 2 5 3" xfId="918" xr:uid="{00000000-0005-0000-0000-00000F030000}"/>
    <cellStyle name="Normal 5 2 5 3 2" xfId="4393" xr:uid="{3FEF5A1C-443B-4C86-8DD7-0B51E043E8E9}"/>
    <cellStyle name="Normal 5 2 5 3 2 2" xfId="8611" xr:uid="{620A0810-0E02-4FF2-B327-21DF1F10CE94}"/>
    <cellStyle name="Normal 5 2 5 3 3" xfId="6466" xr:uid="{3D3997F1-6D75-4DE7-8AA1-53CBFB1FF253}"/>
    <cellStyle name="Normal 5 2 5 3 4" xfId="2164" xr:uid="{FA4EB1CF-A2BE-4314-BF52-CE2581BC1550}"/>
    <cellStyle name="Normal 5 2 5 4" xfId="1335" xr:uid="{32DF81AD-5D51-42B3-B77A-2128D74C1DE8}"/>
    <cellStyle name="Normal 5 2 5 4 2" xfId="4806" xr:uid="{2B2A2593-13BB-4A73-90FB-7FACEE439476}"/>
    <cellStyle name="Normal 5 2 5 4 2 2" xfId="9024" xr:uid="{1DBCBC7B-DFD8-40D8-A377-42483201BC97}"/>
    <cellStyle name="Normal 5 2 5 4 3" xfId="6879" xr:uid="{60E45BEB-974C-418A-8F15-5607BA1B381C}"/>
    <cellStyle name="Normal 5 2 5 4 4" xfId="2577" xr:uid="{D40B82DE-2483-4E9E-A427-8A773FDB0A14}"/>
    <cellStyle name="Normal 5 2 5 5" xfId="2990" xr:uid="{0E39623B-E179-49BE-9568-ED28AFA45DB3}"/>
    <cellStyle name="Normal 5 2 5 5 2" xfId="5219" xr:uid="{EF1D4130-9AA1-4E4D-8C7F-8B9B2494418F}"/>
    <cellStyle name="Normal 5 2 5 5 2 2" xfId="9437" xr:uid="{9E03DC7A-C0B6-4683-B8BD-EF3BA786771E}"/>
    <cellStyle name="Normal 5 2 5 5 3" xfId="7292" xr:uid="{E07A59B6-1F98-41FE-A8EA-38ED5FA31826}"/>
    <cellStyle name="Normal 5 2 5 6" xfId="3403" xr:uid="{40E39476-7800-4F98-82C2-482458974235}"/>
    <cellStyle name="Normal 5 2 5 6 2" xfId="5632" xr:uid="{276A25D1-FDEC-448F-8B03-F452DAFFABFC}"/>
    <cellStyle name="Normal 5 2 5 6 2 2" xfId="9850" xr:uid="{E738E9B9-297F-43BE-95F2-B08C8632EACC}"/>
    <cellStyle name="Normal 5 2 5 6 3" xfId="7705" xr:uid="{2D526CDD-6C6C-4F3A-BC28-609F67E0F1BC}"/>
    <cellStyle name="Normal 5 2 5 7" xfId="3839" xr:uid="{E088CDA0-5535-4B6B-B8B5-F2884FD208D1}"/>
    <cellStyle name="Normal 5 2 5 7 2" xfId="8118" xr:uid="{50474C2C-F678-4F32-A811-C2EDB290F2BC}"/>
    <cellStyle name="Normal 5 2 5 8" xfId="6053" xr:uid="{ED8125F3-5437-45DF-9573-9A11C097E6F2}"/>
    <cellStyle name="Normal 5 2 5 9" xfId="1749" xr:uid="{9741DFD4-A026-4AA7-95ED-72964F8DBFDA}"/>
    <cellStyle name="Normal 5 2 6" xfId="441" xr:uid="{00000000-0005-0000-0000-000010030000}"/>
    <cellStyle name="Normal 5 2 6 2" xfId="920" xr:uid="{00000000-0005-0000-0000-000011030000}"/>
    <cellStyle name="Normal 5 2 6 2 2" xfId="4395" xr:uid="{A9EBE308-50DF-4251-AF72-C0296E9F2D2C}"/>
    <cellStyle name="Normal 5 2 6 2 2 2" xfId="8613" xr:uid="{5F3D76EC-5E08-4A0B-8271-0F728FB0A8FC}"/>
    <cellStyle name="Normal 5 2 6 2 3" xfId="6468" xr:uid="{A25C98F4-8CB5-4676-B0F9-3355D613D77C}"/>
    <cellStyle name="Normal 5 2 6 2 4" xfId="2166" xr:uid="{B9AEC90D-4061-40A8-82C9-E41AE112A906}"/>
    <cellStyle name="Normal 5 2 6 3" xfId="1337" xr:uid="{414B2FB0-EDF7-479C-88EF-83E6EB59F9C4}"/>
    <cellStyle name="Normal 5 2 6 3 2" xfId="4808" xr:uid="{95E4ED04-3564-4990-9E0D-37646EA0695D}"/>
    <cellStyle name="Normal 5 2 6 3 2 2" xfId="9026" xr:uid="{AB4FF12B-488D-4EB1-A419-3EA6D2BFE6F1}"/>
    <cellStyle name="Normal 5 2 6 3 3" xfId="6881" xr:uid="{4741876C-5B0B-47FB-95A3-5BD0939221A2}"/>
    <cellStyle name="Normal 5 2 6 3 4" xfId="2579" xr:uid="{7A423F4C-6843-4768-8814-9B75EE3F08E1}"/>
    <cellStyle name="Normal 5 2 6 4" xfId="2992" xr:uid="{E7150DB2-AEDB-449B-8868-EBBD09BA101F}"/>
    <cellStyle name="Normal 5 2 6 4 2" xfId="5221" xr:uid="{6DC3D9F8-BBA8-4ABC-87DA-B026D844ECF9}"/>
    <cellStyle name="Normal 5 2 6 4 2 2" xfId="9439" xr:uid="{70EBE456-0225-4780-86DD-B0E7EA473883}"/>
    <cellStyle name="Normal 5 2 6 4 3" xfId="7294" xr:uid="{21213566-4452-4351-AB4C-9C3E9068CCBF}"/>
    <cellStyle name="Normal 5 2 6 5" xfId="3405" xr:uid="{A31FB089-BF8F-4254-96E9-6E1DA8D6A6DC}"/>
    <cellStyle name="Normal 5 2 6 5 2" xfId="5634" xr:uid="{36BF2DE9-747F-4F71-9643-B655EA9A1F50}"/>
    <cellStyle name="Normal 5 2 6 5 2 2" xfId="9852" xr:uid="{EC80B32F-0736-44CB-8632-093AA03D4BC5}"/>
    <cellStyle name="Normal 5 2 6 5 3" xfId="7707" xr:uid="{C523CEE6-3B50-4F0B-9ABB-929870C87B16}"/>
    <cellStyle name="Normal 5 2 6 6" xfId="3841" xr:uid="{8E6DB2ED-98DC-4453-9976-9E8736EF4A87}"/>
    <cellStyle name="Normal 5 2 6 6 2" xfId="8120" xr:uid="{BA4D6044-D676-4176-BC11-39231728E6A9}"/>
    <cellStyle name="Normal 5 2 6 7" xfId="6055" xr:uid="{BD4C75A0-F5DB-4526-9CFE-15F44A87BFBA}"/>
    <cellStyle name="Normal 5 2 6 8" xfId="1751" xr:uid="{834AED96-9DFE-4756-8306-9AAABC3EBBCF}"/>
    <cellStyle name="Normal 5 2 7" xfId="889" xr:uid="{00000000-0005-0000-0000-000012030000}"/>
    <cellStyle name="Normal 5 2 7 2" xfId="4364" xr:uid="{74A8AEB2-272F-4E20-BF55-8E93A822C322}"/>
    <cellStyle name="Normal 5 2 7 2 2" xfId="8582" xr:uid="{B6BA248D-854A-4156-99B4-E2B4852057BA}"/>
    <cellStyle name="Normal 5 2 7 3" xfId="6437" xr:uid="{CE3B6354-4F8E-4308-A39B-10290262FAD6}"/>
    <cellStyle name="Normal 5 2 7 4" xfId="2135" xr:uid="{9BA08517-0423-4910-8C4E-27D8B461B124}"/>
    <cellStyle name="Normal 5 2 8" xfId="1306" xr:uid="{003D1D92-DF74-4D63-A75B-027687CF2D2A}"/>
    <cellStyle name="Normal 5 2 8 2" xfId="4777" xr:uid="{E74E2B9B-05A5-4912-B743-9DF4AD4DB131}"/>
    <cellStyle name="Normal 5 2 8 2 2" xfId="8995" xr:uid="{6D0AD76A-639E-4D56-96AB-5F5EFF2F31AC}"/>
    <cellStyle name="Normal 5 2 8 3" xfId="6850" xr:uid="{EC06D6BA-C508-4B10-9C46-477E05DC7D94}"/>
    <cellStyle name="Normal 5 2 8 4" xfId="2548" xr:uid="{78F016DD-1B95-46FF-A692-1BE0303BE9B6}"/>
    <cellStyle name="Normal 5 2 9" xfId="2961" xr:uid="{412D0A44-96D6-4592-84B5-64AE2646F808}"/>
    <cellStyle name="Normal 5 2 9 2" xfId="5190" xr:uid="{6C18D5C5-7B7D-40DF-BA96-673F549022CC}"/>
    <cellStyle name="Normal 5 2 9 2 2" xfId="9408" xr:uid="{DF74220A-2356-42AE-93C1-F1677BB78CED}"/>
    <cellStyle name="Normal 5 2 9 3" xfId="7263" xr:uid="{60294D67-B337-44C1-980F-6DBE1F046875}"/>
    <cellStyle name="Normal 5 3" xfId="442" xr:uid="{00000000-0005-0000-0000-000013030000}"/>
    <cellStyle name="Normal 5 3 10" xfId="3406" xr:uid="{1AC9B296-88EA-4BA6-ADB8-98278D05F8D0}"/>
    <cellStyle name="Normal 5 3 10 2" xfId="5635" xr:uid="{AED15DCD-D7AB-4E07-A3B6-2EDD6F5D647E}"/>
    <cellStyle name="Normal 5 3 10 2 2" xfId="9853" xr:uid="{0053A788-DEF0-49F6-B7BE-C32CF3788658}"/>
    <cellStyle name="Normal 5 3 10 3" xfId="7708" xr:uid="{32DFA1E6-C057-46E0-B9A0-FAE87655F87A}"/>
    <cellStyle name="Normal 5 3 11" xfId="3842" xr:uid="{7B7392B5-A68D-420E-B1AF-B08DB0A4FDA2}"/>
    <cellStyle name="Normal 5 3 11 2" xfId="8121" xr:uid="{4D01D76A-C1DD-49E5-B783-56616780D88B}"/>
    <cellStyle name="Normal 5 3 12" xfId="6056" xr:uid="{4447C791-F9C0-4134-91C3-BD6916335C03}"/>
    <cellStyle name="Normal 5 3 13" xfId="1752" xr:uid="{5C6FF624-B32F-4AE6-851E-49D0D6D017DC}"/>
    <cellStyle name="Normal 5 3 2" xfId="443" xr:uid="{00000000-0005-0000-0000-000014030000}"/>
    <cellStyle name="Normal 5 3 2 2" xfId="922" xr:uid="{00000000-0005-0000-0000-000015030000}"/>
    <cellStyle name="Normal 5 3 3" xfId="444" xr:uid="{00000000-0005-0000-0000-000016030000}"/>
    <cellStyle name="Normal 5 3 3 10" xfId="6057" xr:uid="{44B1B024-C580-4C3B-9327-EB0D3065ED11}"/>
    <cellStyle name="Normal 5 3 3 11" xfId="1753" xr:uid="{396D4313-1E92-4C9D-BFE0-147FC8F815A7}"/>
    <cellStyle name="Normal 5 3 3 2" xfId="445" xr:uid="{00000000-0005-0000-0000-000017030000}"/>
    <cellStyle name="Normal 5 3 3 2 10" xfId="1754" xr:uid="{4F205BC7-0F8F-4BA1-8F56-5FCD614D884F}"/>
    <cellStyle name="Normal 5 3 3 2 2" xfId="446" xr:uid="{00000000-0005-0000-0000-000018030000}"/>
    <cellStyle name="Normal 5 3 3 2 2 2" xfId="447" xr:uid="{00000000-0005-0000-0000-000019030000}"/>
    <cellStyle name="Normal 5 3 3 2 2 2 2" xfId="926" xr:uid="{00000000-0005-0000-0000-00001A030000}"/>
    <cellStyle name="Normal 5 3 3 2 2 2 2 2" xfId="4400" xr:uid="{DE2D8453-6BBE-412F-A9A4-D30B39DD732C}"/>
    <cellStyle name="Normal 5 3 3 2 2 2 2 2 2" xfId="8618" xr:uid="{E52626B5-D928-46DD-B668-A95BDD189DDA}"/>
    <cellStyle name="Normal 5 3 3 2 2 2 2 3" xfId="6473" xr:uid="{EF2B5CBC-47DE-45AA-89D4-623302730B00}"/>
    <cellStyle name="Normal 5 3 3 2 2 2 2 4" xfId="2171" xr:uid="{EDE93346-3EFE-461B-AEFE-C74A5A6DDE6A}"/>
    <cellStyle name="Normal 5 3 3 2 2 2 3" xfId="1342" xr:uid="{65B9750E-780B-48F5-B6B6-0730557ECCB8}"/>
    <cellStyle name="Normal 5 3 3 2 2 2 3 2" xfId="4813" xr:uid="{7E491090-BA4B-4CD6-ABA3-E3E93164C4A0}"/>
    <cellStyle name="Normal 5 3 3 2 2 2 3 2 2" xfId="9031" xr:uid="{B28B7A58-EBC0-4A5B-A830-BC32D4176546}"/>
    <cellStyle name="Normal 5 3 3 2 2 2 3 3" xfId="6886" xr:uid="{EDE37F1B-DD5E-4FAD-9990-E86B5F225F0A}"/>
    <cellStyle name="Normal 5 3 3 2 2 2 3 4" xfId="2584" xr:uid="{02366B89-D4CE-4F24-9CC1-9720DD4B026D}"/>
    <cellStyle name="Normal 5 3 3 2 2 2 4" xfId="2997" xr:uid="{A199CB5A-8EE2-4D66-8499-35AAF4C21EC5}"/>
    <cellStyle name="Normal 5 3 3 2 2 2 4 2" xfId="5226" xr:uid="{ED2C7A8A-3D8B-44F7-BA06-743E330E0343}"/>
    <cellStyle name="Normal 5 3 3 2 2 2 4 2 2" xfId="9444" xr:uid="{1DCC9237-E7D9-4513-85A5-4F2D6870C0E2}"/>
    <cellStyle name="Normal 5 3 3 2 2 2 4 3" xfId="7299" xr:uid="{8475D1B8-A9B0-49B7-8109-076E3412924E}"/>
    <cellStyle name="Normal 5 3 3 2 2 2 5" xfId="3410" xr:uid="{8DD96355-2B34-4451-8443-DB6CCDB96E7E}"/>
    <cellStyle name="Normal 5 3 3 2 2 2 5 2" xfId="5639" xr:uid="{89E73858-DFF2-4220-98A9-3FEAA7068D0C}"/>
    <cellStyle name="Normal 5 3 3 2 2 2 5 2 2" xfId="9857" xr:uid="{D7CE129D-6CF2-4956-9A9E-8CD882A6B83D}"/>
    <cellStyle name="Normal 5 3 3 2 2 2 5 3" xfId="7712" xr:uid="{7D0DF28E-E1DC-4186-A740-94C0BAF0620F}"/>
    <cellStyle name="Normal 5 3 3 2 2 2 6" xfId="3846" xr:uid="{778AA912-476E-4572-902C-DB921BFA40E0}"/>
    <cellStyle name="Normal 5 3 3 2 2 2 6 2" xfId="8125" xr:uid="{A5A37619-94D5-4FA8-972B-390A070A63F2}"/>
    <cellStyle name="Normal 5 3 3 2 2 2 7" xfId="6060" xr:uid="{181FACDE-DB8E-4CB2-A880-E94FCA80808B}"/>
    <cellStyle name="Normal 5 3 3 2 2 2 8" xfId="1756" xr:uid="{72C7F9FB-D192-47B9-B269-EF91719283F1}"/>
    <cellStyle name="Normal 5 3 3 2 2 3" xfId="925" xr:uid="{00000000-0005-0000-0000-00001B030000}"/>
    <cellStyle name="Normal 5 3 3 2 2 3 2" xfId="4399" xr:uid="{503EB390-2EA8-4F6B-A3FA-7954C58F2253}"/>
    <cellStyle name="Normal 5 3 3 2 2 3 2 2" xfId="8617" xr:uid="{7371468C-ECAF-429C-AC15-B5FC65FDDBF0}"/>
    <cellStyle name="Normal 5 3 3 2 2 3 3" xfId="6472" xr:uid="{06DAF3A9-ABA4-42FC-AFAB-842A4B024644}"/>
    <cellStyle name="Normal 5 3 3 2 2 3 4" xfId="2170" xr:uid="{7DADD7AD-D897-4B30-A76E-8708AE91B6BD}"/>
    <cellStyle name="Normal 5 3 3 2 2 4" xfId="1341" xr:uid="{20A57D37-237E-4137-B407-415D4A83B292}"/>
    <cellStyle name="Normal 5 3 3 2 2 4 2" xfId="4812" xr:uid="{5030C0E3-D6DE-4F5B-856A-80CFCF0E4114}"/>
    <cellStyle name="Normal 5 3 3 2 2 4 2 2" xfId="9030" xr:uid="{0177444B-9B68-4F25-A7A9-F2271DC9C9EF}"/>
    <cellStyle name="Normal 5 3 3 2 2 4 3" xfId="6885" xr:uid="{64068770-933D-4B99-9230-7A0FD23462BD}"/>
    <cellStyle name="Normal 5 3 3 2 2 4 4" xfId="2583" xr:uid="{198A4A8A-2C3D-4C77-B54A-ECCE8D20953A}"/>
    <cellStyle name="Normal 5 3 3 2 2 5" xfId="2996" xr:uid="{8B4E2A18-B42B-4360-9A80-7AEA13DCB6DA}"/>
    <cellStyle name="Normal 5 3 3 2 2 5 2" xfId="5225" xr:uid="{93934EC6-AE54-4F10-9C33-F127A1798687}"/>
    <cellStyle name="Normal 5 3 3 2 2 5 2 2" xfId="9443" xr:uid="{EC7AF15D-5917-4428-B854-AA8E9C64CB4A}"/>
    <cellStyle name="Normal 5 3 3 2 2 5 3" xfId="7298" xr:uid="{39CE8CC6-26FE-43AF-8DEB-D8F4BD5F28B4}"/>
    <cellStyle name="Normal 5 3 3 2 2 6" xfId="3409" xr:uid="{61898F4A-50DB-4DDF-A582-38CF8F82ADED}"/>
    <cellStyle name="Normal 5 3 3 2 2 6 2" xfId="5638" xr:uid="{AF0A3EB7-1610-402A-B16D-BE2937CB5C8E}"/>
    <cellStyle name="Normal 5 3 3 2 2 6 2 2" xfId="9856" xr:uid="{EC184E43-DB52-4EF9-A9B9-B78F4F40F34F}"/>
    <cellStyle name="Normal 5 3 3 2 2 6 3" xfId="7711" xr:uid="{83697BE1-CE7C-42EC-9630-DD35695694CA}"/>
    <cellStyle name="Normal 5 3 3 2 2 7" xfId="3845" xr:uid="{EB25C5B0-2127-4648-AE65-009C88C19190}"/>
    <cellStyle name="Normal 5 3 3 2 2 7 2" xfId="8124" xr:uid="{FA68476F-EF6E-439B-B5CD-5299471869C3}"/>
    <cellStyle name="Normal 5 3 3 2 2 8" xfId="6059" xr:uid="{46E5A7D3-0B56-44A8-81FC-EF5AED3541E6}"/>
    <cellStyle name="Normal 5 3 3 2 2 9" xfId="1755" xr:uid="{41E01BB0-7AF7-4305-B3B1-527960CC5A89}"/>
    <cellStyle name="Normal 5 3 3 2 3" xfId="448" xr:uid="{00000000-0005-0000-0000-00001C030000}"/>
    <cellStyle name="Normal 5 3 3 2 3 2" xfId="927" xr:uid="{00000000-0005-0000-0000-00001D030000}"/>
    <cellStyle name="Normal 5 3 3 2 3 2 2" xfId="4401" xr:uid="{4EF7C09F-DC51-4C2C-9C58-54C2F25F82C8}"/>
    <cellStyle name="Normal 5 3 3 2 3 2 2 2" xfId="8619" xr:uid="{CE48E94B-7A80-4006-96AC-3885F95A05C7}"/>
    <cellStyle name="Normal 5 3 3 2 3 2 3" xfId="6474" xr:uid="{3796DD5B-B4BB-4C90-9B6C-8FCA4053565E}"/>
    <cellStyle name="Normal 5 3 3 2 3 2 4" xfId="2172" xr:uid="{C961D491-09D0-41F0-AFEB-5E543FACF57B}"/>
    <cellStyle name="Normal 5 3 3 2 3 3" xfId="1343" xr:uid="{2459C1F7-5102-466A-AB9F-1DBFC1A87632}"/>
    <cellStyle name="Normal 5 3 3 2 3 3 2" xfId="4814" xr:uid="{0B2052B8-A85E-4D3A-AE11-E834EFCAA733}"/>
    <cellStyle name="Normal 5 3 3 2 3 3 2 2" xfId="9032" xr:uid="{E02A14EA-A068-40E0-AF1F-82E5F0119393}"/>
    <cellStyle name="Normal 5 3 3 2 3 3 3" xfId="6887" xr:uid="{AB1DE57F-2135-451E-8910-3681CF74D483}"/>
    <cellStyle name="Normal 5 3 3 2 3 3 4" xfId="2585" xr:uid="{E02AC4D3-E14B-4731-A8DF-FE010D0FB91D}"/>
    <cellStyle name="Normal 5 3 3 2 3 4" xfId="2998" xr:uid="{185DD2F8-3631-4A89-A7D3-CE310F6D61B4}"/>
    <cellStyle name="Normal 5 3 3 2 3 4 2" xfId="5227" xr:uid="{98DA22BA-1F05-4FEC-BF79-6CA05F053C9A}"/>
    <cellStyle name="Normal 5 3 3 2 3 4 2 2" xfId="9445" xr:uid="{5AC2F701-B6C8-49B9-9FF4-EA011F972516}"/>
    <cellStyle name="Normal 5 3 3 2 3 4 3" xfId="7300" xr:uid="{7340FD6C-E7AB-4045-BBAB-C4A37D50DBAC}"/>
    <cellStyle name="Normal 5 3 3 2 3 5" xfId="3411" xr:uid="{0C20F0E6-6284-4FC5-B8A9-23BD00117B7E}"/>
    <cellStyle name="Normal 5 3 3 2 3 5 2" xfId="5640" xr:uid="{7DB5E173-8353-4A70-AE71-5A68F7403B09}"/>
    <cellStyle name="Normal 5 3 3 2 3 5 2 2" xfId="9858" xr:uid="{0736066D-5835-4DE8-BABC-98C158B9BD19}"/>
    <cellStyle name="Normal 5 3 3 2 3 5 3" xfId="7713" xr:uid="{D16C8577-96B4-4A6B-B67A-81AF09DDE857}"/>
    <cellStyle name="Normal 5 3 3 2 3 6" xfId="3847" xr:uid="{DB3A1C66-EAF7-40FE-8D5A-9A42911B0D19}"/>
    <cellStyle name="Normal 5 3 3 2 3 6 2" xfId="8126" xr:uid="{016B3EEC-582A-47D1-A800-AFF251DF071E}"/>
    <cellStyle name="Normal 5 3 3 2 3 7" xfId="6061" xr:uid="{E33B9C6D-C279-4C0A-AE38-945B47BC14EC}"/>
    <cellStyle name="Normal 5 3 3 2 3 8" xfId="1757" xr:uid="{D93BD5F1-F7A1-4402-B0C0-D1A3DC2BB1AA}"/>
    <cellStyle name="Normal 5 3 3 2 4" xfId="924" xr:uid="{00000000-0005-0000-0000-00001E030000}"/>
    <cellStyle name="Normal 5 3 3 2 4 2" xfId="4398" xr:uid="{3A379980-C4ED-40A9-984E-539DB68EBB14}"/>
    <cellStyle name="Normal 5 3 3 2 4 2 2" xfId="8616" xr:uid="{87B0CE48-AA48-4ED6-A44E-ADCAD66E8DC3}"/>
    <cellStyle name="Normal 5 3 3 2 4 3" xfId="6471" xr:uid="{89755AB8-E4EF-4377-8C4D-15F486DD17D1}"/>
    <cellStyle name="Normal 5 3 3 2 4 4" xfId="2169" xr:uid="{5F5BB14E-F73D-4175-9AA3-6B74690D89D2}"/>
    <cellStyle name="Normal 5 3 3 2 5" xfId="1340" xr:uid="{587DACE8-86BD-4FEC-9DA2-FB98B2A54A29}"/>
    <cellStyle name="Normal 5 3 3 2 5 2" xfId="4811" xr:uid="{E99E0FDC-558F-44A4-A2F6-6006DB9A0128}"/>
    <cellStyle name="Normal 5 3 3 2 5 2 2" xfId="9029" xr:uid="{8BBECF56-69A9-486E-B742-599374056AE8}"/>
    <cellStyle name="Normal 5 3 3 2 5 3" xfId="6884" xr:uid="{0555FF83-9FDE-4F92-AD6B-DF226E0D0777}"/>
    <cellStyle name="Normal 5 3 3 2 5 4" xfId="2582" xr:uid="{EF1B3D57-FF19-455B-87ED-BB181211560F}"/>
    <cellStyle name="Normal 5 3 3 2 6" xfId="2995" xr:uid="{3F1163D3-09F1-4D1E-A929-65C0B8BEE498}"/>
    <cellStyle name="Normal 5 3 3 2 6 2" xfId="5224" xr:uid="{012A9F2A-37F1-4B53-8729-750AC70BFB78}"/>
    <cellStyle name="Normal 5 3 3 2 6 2 2" xfId="9442" xr:uid="{70FD5892-5EAE-4BD5-A3A7-096C0AE4BB41}"/>
    <cellStyle name="Normal 5 3 3 2 6 3" xfId="7297" xr:uid="{53FB9FB6-FC7B-4F52-9D77-D94E8F38EA9B}"/>
    <cellStyle name="Normal 5 3 3 2 7" xfId="3408" xr:uid="{DD40CF5E-70F0-466A-BA78-1C5183C27DEF}"/>
    <cellStyle name="Normal 5 3 3 2 7 2" xfId="5637" xr:uid="{1DC6EB38-D3B5-4F32-9E16-C5A6C67ED855}"/>
    <cellStyle name="Normal 5 3 3 2 7 2 2" xfId="9855" xr:uid="{CA77AA50-EBAB-4DF6-95ED-BFE231022789}"/>
    <cellStyle name="Normal 5 3 3 2 7 3" xfId="7710" xr:uid="{F85F7ECD-C182-405A-BF5D-279AE2D3B48D}"/>
    <cellStyle name="Normal 5 3 3 2 8" xfId="3844" xr:uid="{4BC63B5B-D7BA-4DF7-995E-0BE4600F691F}"/>
    <cellStyle name="Normal 5 3 3 2 8 2" xfId="8123" xr:uid="{82EA8063-1D3E-45AA-9EBA-0F3F96650162}"/>
    <cellStyle name="Normal 5 3 3 2 9" xfId="6058" xr:uid="{290860C0-6A6F-4131-86E0-B343F855D68D}"/>
    <cellStyle name="Normal 5 3 3 3" xfId="449" xr:uid="{00000000-0005-0000-0000-00001F030000}"/>
    <cellStyle name="Normal 5 3 3 3 2" xfId="450" xr:uid="{00000000-0005-0000-0000-000020030000}"/>
    <cellStyle name="Normal 5 3 3 3 2 2" xfId="929" xr:uid="{00000000-0005-0000-0000-000021030000}"/>
    <cellStyle name="Normal 5 3 3 3 2 2 2" xfId="4403" xr:uid="{B6568FEC-47EC-4338-B376-37ABCC65EF36}"/>
    <cellStyle name="Normal 5 3 3 3 2 2 2 2" xfId="8621" xr:uid="{D363DE5D-5A68-4521-AA51-D5BC424E5D2B}"/>
    <cellStyle name="Normal 5 3 3 3 2 2 3" xfId="6476" xr:uid="{27E1288F-6D32-42A3-B6B7-A80E97048826}"/>
    <cellStyle name="Normal 5 3 3 3 2 2 4" xfId="2174" xr:uid="{D50DE859-69F0-440B-86EA-6E971DDF3DE0}"/>
    <cellStyle name="Normal 5 3 3 3 2 3" xfId="1345" xr:uid="{F2110BE5-5561-4A28-B762-7043DA0E3EE6}"/>
    <cellStyle name="Normal 5 3 3 3 2 3 2" xfId="4816" xr:uid="{0D4726F3-BE91-4BDD-BAE8-5ACD26237F3C}"/>
    <cellStyle name="Normal 5 3 3 3 2 3 2 2" xfId="9034" xr:uid="{8B656FFA-B2A2-4CF5-A0FE-CAD6BCFCCC3F}"/>
    <cellStyle name="Normal 5 3 3 3 2 3 3" xfId="6889" xr:uid="{B25B7AE8-0947-4C5A-B73A-CB85636010B6}"/>
    <cellStyle name="Normal 5 3 3 3 2 3 4" xfId="2587" xr:uid="{7492CF71-5E2D-42DE-A8F3-8EF6870219AA}"/>
    <cellStyle name="Normal 5 3 3 3 2 4" xfId="3000" xr:uid="{76869C13-C8A4-481D-ACC9-1449346E96B1}"/>
    <cellStyle name="Normal 5 3 3 3 2 4 2" xfId="5229" xr:uid="{92D02E45-41B8-4EAE-BF6C-7948F0AE0896}"/>
    <cellStyle name="Normal 5 3 3 3 2 4 2 2" xfId="9447" xr:uid="{79ECFBC6-345B-40F7-BC51-7C8E02874094}"/>
    <cellStyle name="Normal 5 3 3 3 2 4 3" xfId="7302" xr:uid="{F06346C4-8DB5-42A7-A785-9A4BB5117E28}"/>
    <cellStyle name="Normal 5 3 3 3 2 5" xfId="3413" xr:uid="{819D0FB4-A111-4905-8689-0150BAE647C7}"/>
    <cellStyle name="Normal 5 3 3 3 2 5 2" xfId="5642" xr:uid="{F5894A7C-BA8B-4052-BD9B-30F5F9CC675B}"/>
    <cellStyle name="Normal 5 3 3 3 2 5 2 2" xfId="9860" xr:uid="{D3124E8D-8CEE-4C2B-B449-F9BCBF2185FF}"/>
    <cellStyle name="Normal 5 3 3 3 2 5 3" xfId="7715" xr:uid="{8DCED7D6-46FC-459F-B10D-4701531F526D}"/>
    <cellStyle name="Normal 5 3 3 3 2 6" xfId="3849" xr:uid="{5B77BBD4-8331-46D5-9104-F2D946CCD59D}"/>
    <cellStyle name="Normal 5 3 3 3 2 6 2" xfId="8128" xr:uid="{AFA7134E-D67F-4246-8863-0C2669993007}"/>
    <cellStyle name="Normal 5 3 3 3 2 7" xfId="6063" xr:uid="{ED581092-C1EB-4661-88BF-A7F21CA26F1D}"/>
    <cellStyle name="Normal 5 3 3 3 2 8" xfId="1759" xr:uid="{CC700565-4B68-4C17-83D4-2DF0471137CB}"/>
    <cellStyle name="Normal 5 3 3 3 3" xfId="928" xr:uid="{00000000-0005-0000-0000-000022030000}"/>
    <cellStyle name="Normal 5 3 3 3 3 2" xfId="4402" xr:uid="{83BB136E-5284-488F-9869-1E8C73539DBC}"/>
    <cellStyle name="Normal 5 3 3 3 3 2 2" xfId="8620" xr:uid="{070EB702-9173-4B76-B190-EFC522F19C3A}"/>
    <cellStyle name="Normal 5 3 3 3 3 3" xfId="6475" xr:uid="{8DB59B32-D951-4F5A-B9E6-A16BF5CCB6D3}"/>
    <cellStyle name="Normal 5 3 3 3 3 4" xfId="2173" xr:uid="{1ED3261C-A115-4E2A-8C6E-25B8A995F141}"/>
    <cellStyle name="Normal 5 3 3 3 4" xfId="1344" xr:uid="{E26DE84C-C5D3-4550-A04F-58BE2A9C31C1}"/>
    <cellStyle name="Normal 5 3 3 3 4 2" xfId="4815" xr:uid="{2B9C98FB-A35A-405F-8C45-CA1E4EAF243F}"/>
    <cellStyle name="Normal 5 3 3 3 4 2 2" xfId="9033" xr:uid="{8FAFE3E2-5710-4878-A837-AD21194C8945}"/>
    <cellStyle name="Normal 5 3 3 3 4 3" xfId="6888" xr:uid="{86C99D49-E935-48F7-A0E8-3B4A4E7083D6}"/>
    <cellStyle name="Normal 5 3 3 3 4 4" xfId="2586" xr:uid="{B07E93BE-350A-40FE-80E4-AFE97865D6F4}"/>
    <cellStyle name="Normal 5 3 3 3 5" xfId="2999" xr:uid="{B925EC60-134B-456A-BD64-37F3679F6340}"/>
    <cellStyle name="Normal 5 3 3 3 5 2" xfId="5228" xr:uid="{D71290FB-967B-403C-BE3D-A39DA038AC3B}"/>
    <cellStyle name="Normal 5 3 3 3 5 2 2" xfId="9446" xr:uid="{864BB7DC-1119-4638-8E70-D1F31DA5C2AF}"/>
    <cellStyle name="Normal 5 3 3 3 5 3" xfId="7301" xr:uid="{8DB3BC64-A997-4224-8590-7BF03D6C2ED7}"/>
    <cellStyle name="Normal 5 3 3 3 6" xfId="3412" xr:uid="{934179B7-8E69-451D-8E36-D8E4F32CD673}"/>
    <cellStyle name="Normal 5 3 3 3 6 2" xfId="5641" xr:uid="{B59973FF-BFED-48F0-92E8-7E2BD6AA9B77}"/>
    <cellStyle name="Normal 5 3 3 3 6 2 2" xfId="9859" xr:uid="{AAC45DF0-1D4F-48B2-AFAD-770105BC1ADA}"/>
    <cellStyle name="Normal 5 3 3 3 6 3" xfId="7714" xr:uid="{D3C2E607-5B03-4182-9DDA-DB7DAC9B2AF1}"/>
    <cellStyle name="Normal 5 3 3 3 7" xfId="3848" xr:uid="{49385529-A65C-4DFF-BCA5-0F57EFED32BF}"/>
    <cellStyle name="Normal 5 3 3 3 7 2" xfId="8127" xr:uid="{0A433FE2-CC72-484C-B950-5102439DEC93}"/>
    <cellStyle name="Normal 5 3 3 3 8" xfId="6062" xr:uid="{FA9DA787-31C4-419B-B291-A5E3A7BCFD41}"/>
    <cellStyle name="Normal 5 3 3 3 9" xfId="1758" xr:uid="{131856D7-373C-47B3-9885-4CDC7F5FCE19}"/>
    <cellStyle name="Normal 5 3 3 4" xfId="451" xr:uid="{00000000-0005-0000-0000-000023030000}"/>
    <cellStyle name="Normal 5 3 3 4 2" xfId="930" xr:uid="{00000000-0005-0000-0000-000024030000}"/>
    <cellStyle name="Normal 5 3 3 4 2 2" xfId="4404" xr:uid="{0BE2D0B0-CF8F-4179-896B-D33F1C136E5F}"/>
    <cellStyle name="Normal 5 3 3 4 2 2 2" xfId="8622" xr:uid="{BD61D2C7-034A-4495-86E4-D675747FE0AB}"/>
    <cellStyle name="Normal 5 3 3 4 2 3" xfId="6477" xr:uid="{6F70C7BA-A71E-46FF-9BBA-B0839AB4364E}"/>
    <cellStyle name="Normal 5 3 3 4 2 4" xfId="2175" xr:uid="{F897B0BC-420D-40E5-8B4A-73EB28DEDB4F}"/>
    <cellStyle name="Normal 5 3 3 4 3" xfId="1346" xr:uid="{DB3080D9-455C-437E-89F9-E292B39A0433}"/>
    <cellStyle name="Normal 5 3 3 4 3 2" xfId="4817" xr:uid="{909765F2-78C3-4B58-86E7-C927A363694F}"/>
    <cellStyle name="Normal 5 3 3 4 3 2 2" xfId="9035" xr:uid="{01058AAE-30DB-40D6-B7CF-0D21B87CB9E1}"/>
    <cellStyle name="Normal 5 3 3 4 3 3" xfId="6890" xr:uid="{A2232D9D-6044-47A0-9969-7E15EAC51A5B}"/>
    <cellStyle name="Normal 5 3 3 4 3 4" xfId="2588" xr:uid="{F53B67EC-3AED-41D9-A511-06CE4BDA2B4C}"/>
    <cellStyle name="Normal 5 3 3 4 4" xfId="3001" xr:uid="{65FAC8B6-18AB-49A3-BC6B-38170E52847A}"/>
    <cellStyle name="Normal 5 3 3 4 4 2" xfId="5230" xr:uid="{D3E77ED8-2AA9-48A7-B136-8BB64E658485}"/>
    <cellStyle name="Normal 5 3 3 4 4 2 2" xfId="9448" xr:uid="{55EB8131-1E10-4A5D-8566-572D614DD52B}"/>
    <cellStyle name="Normal 5 3 3 4 4 3" xfId="7303" xr:uid="{B3146EC3-837A-4EBB-9851-09EA830EFDB2}"/>
    <cellStyle name="Normal 5 3 3 4 5" xfId="3414" xr:uid="{30DE9D01-DBD9-4190-8833-C7017A2E00E0}"/>
    <cellStyle name="Normal 5 3 3 4 5 2" xfId="5643" xr:uid="{DAB4CCB0-66AC-44F3-BD6E-1D141D08D1B0}"/>
    <cellStyle name="Normal 5 3 3 4 5 2 2" xfId="9861" xr:uid="{8C8ECF11-2918-4039-B6DA-353BE56CE124}"/>
    <cellStyle name="Normal 5 3 3 4 5 3" xfId="7716" xr:uid="{B836E478-A21A-4B75-BC42-111696162D69}"/>
    <cellStyle name="Normal 5 3 3 4 6" xfId="3850" xr:uid="{63732F3A-D55A-49B5-A597-37CF8ECA19D8}"/>
    <cellStyle name="Normal 5 3 3 4 6 2" xfId="8129" xr:uid="{8206B0FA-561F-4594-95D7-B510F6B3CE9E}"/>
    <cellStyle name="Normal 5 3 3 4 7" xfId="6064" xr:uid="{93789186-3525-431F-97EB-9A84B78F3B05}"/>
    <cellStyle name="Normal 5 3 3 4 8" xfId="1760" xr:uid="{9930C764-CFB4-4307-82D3-9FE653846282}"/>
    <cellStyle name="Normal 5 3 3 5" xfId="923" xr:uid="{00000000-0005-0000-0000-000025030000}"/>
    <cellStyle name="Normal 5 3 3 5 2" xfId="4397" xr:uid="{6F407F57-BE8B-417F-9C6F-E8E27F977B60}"/>
    <cellStyle name="Normal 5 3 3 5 2 2" xfId="8615" xr:uid="{708705A9-5B51-4ACD-B8E5-60FF1C3D8537}"/>
    <cellStyle name="Normal 5 3 3 5 3" xfId="6470" xr:uid="{B00F5856-574C-47A7-A3F1-F5529A46594B}"/>
    <cellStyle name="Normal 5 3 3 5 4" xfId="2168" xr:uid="{28C1F8AB-E100-40E9-A88F-15D44CCAEDC8}"/>
    <cellStyle name="Normal 5 3 3 6" xfId="1339" xr:uid="{1AF93A90-04DF-4773-9CA3-1D8A85EA87E2}"/>
    <cellStyle name="Normal 5 3 3 6 2" xfId="4810" xr:uid="{BBE020A8-5112-4B34-A4AD-CED898E61B2C}"/>
    <cellStyle name="Normal 5 3 3 6 2 2" xfId="9028" xr:uid="{FCFD10CC-EDCB-4D5E-AD24-B9110732FF87}"/>
    <cellStyle name="Normal 5 3 3 6 3" xfId="6883" xr:uid="{2BA3974E-E314-47FE-A289-4B8FCCE4F889}"/>
    <cellStyle name="Normal 5 3 3 6 4" xfId="2581" xr:uid="{4CCF3AA7-42B6-46E8-852C-A23EE1BCC13E}"/>
    <cellStyle name="Normal 5 3 3 7" xfId="2994" xr:uid="{3A8684AD-A84B-4A2E-ACA4-49D583EC0823}"/>
    <cellStyle name="Normal 5 3 3 7 2" xfId="5223" xr:uid="{108F823D-2D8C-4C99-8F59-8548DAAC3E93}"/>
    <cellStyle name="Normal 5 3 3 7 2 2" xfId="9441" xr:uid="{370E6CBF-0D13-4AD2-A3C8-10005FA17E7A}"/>
    <cellStyle name="Normal 5 3 3 7 3" xfId="7296" xr:uid="{0840DCC3-2408-4205-8271-E3FFBC654597}"/>
    <cellStyle name="Normal 5 3 3 8" xfId="3407" xr:uid="{7F9C257F-21E4-468C-ADEA-30F80331C687}"/>
    <cellStyle name="Normal 5 3 3 8 2" xfId="5636" xr:uid="{C7A11D07-E42A-4AC5-9D53-1ED52770E8B5}"/>
    <cellStyle name="Normal 5 3 3 8 2 2" xfId="9854" xr:uid="{B789D489-778C-4224-8353-5E79DD005D45}"/>
    <cellStyle name="Normal 5 3 3 8 3" xfId="7709" xr:uid="{525888ED-CE9C-4E31-BAE0-34A0AA490E18}"/>
    <cellStyle name="Normal 5 3 3 9" xfId="3843" xr:uid="{64DF5141-EDCB-4926-9585-FD56D043312D}"/>
    <cellStyle name="Normal 5 3 3 9 2" xfId="8122" xr:uid="{334D75AE-7FA5-4C09-A27A-ACBA45E1EB34}"/>
    <cellStyle name="Normal 5 3 4" xfId="452" xr:uid="{00000000-0005-0000-0000-000026030000}"/>
    <cellStyle name="Normal 5 3 4 10" xfId="1761" xr:uid="{1F1DD1D3-6F47-41F7-9F04-07CCA42084FE}"/>
    <cellStyle name="Normal 5 3 4 2" xfId="453" xr:uid="{00000000-0005-0000-0000-000027030000}"/>
    <cellStyle name="Normal 5 3 4 2 2" xfId="454" xr:uid="{00000000-0005-0000-0000-000028030000}"/>
    <cellStyle name="Normal 5 3 4 2 2 2" xfId="933" xr:uid="{00000000-0005-0000-0000-000029030000}"/>
    <cellStyle name="Normal 5 3 4 2 2 2 2" xfId="4407" xr:uid="{1FA16CFA-3D69-4498-831F-6C88FD14B047}"/>
    <cellStyle name="Normal 5 3 4 2 2 2 2 2" xfId="8625" xr:uid="{4BE8FE68-0356-46A5-A14F-F4949264ACA9}"/>
    <cellStyle name="Normal 5 3 4 2 2 2 3" xfId="6480" xr:uid="{AEB4AD7B-04A6-41EA-B483-0ED9A24B354E}"/>
    <cellStyle name="Normal 5 3 4 2 2 2 4" xfId="2178" xr:uid="{4C202E67-CEEC-4F18-BDD3-845AAAB58D8C}"/>
    <cellStyle name="Normal 5 3 4 2 2 3" xfId="1349" xr:uid="{DEF52E52-34C0-47E8-BFA2-CFAEA9781FAB}"/>
    <cellStyle name="Normal 5 3 4 2 2 3 2" xfId="4820" xr:uid="{B6DA6CC4-6FCF-46A2-85C9-851BBD27A3A8}"/>
    <cellStyle name="Normal 5 3 4 2 2 3 2 2" xfId="9038" xr:uid="{CEEAA460-2AA0-4686-89A9-C3839A4CD1D1}"/>
    <cellStyle name="Normal 5 3 4 2 2 3 3" xfId="6893" xr:uid="{534924B3-876F-40DB-9805-1DDD02034BBA}"/>
    <cellStyle name="Normal 5 3 4 2 2 3 4" xfId="2591" xr:uid="{0E2ED3C6-0CA3-4B4B-BE6F-3E7A13A07F42}"/>
    <cellStyle name="Normal 5 3 4 2 2 4" xfId="3004" xr:uid="{1630DE98-42C0-49BB-B703-A76FC6A8BB54}"/>
    <cellStyle name="Normal 5 3 4 2 2 4 2" xfId="5233" xr:uid="{73C4EEC5-97B4-4B6B-B964-7B7B537F978E}"/>
    <cellStyle name="Normal 5 3 4 2 2 4 2 2" xfId="9451" xr:uid="{EB119664-5832-46FA-ADD1-3CA185C112B4}"/>
    <cellStyle name="Normal 5 3 4 2 2 4 3" xfId="7306" xr:uid="{BAB961BE-7FE3-41FD-8221-8A88B8B0F980}"/>
    <cellStyle name="Normal 5 3 4 2 2 5" xfId="3417" xr:uid="{8410336B-01D2-43A5-B1C5-F58E1794A6EE}"/>
    <cellStyle name="Normal 5 3 4 2 2 5 2" xfId="5646" xr:uid="{A93D2BED-7AAE-411D-8A32-949C405CB0F6}"/>
    <cellStyle name="Normal 5 3 4 2 2 5 2 2" xfId="9864" xr:uid="{18219E26-9AA5-413F-832A-94C83F241957}"/>
    <cellStyle name="Normal 5 3 4 2 2 5 3" xfId="7719" xr:uid="{A904B5B4-6B47-48BF-9F8D-6984D1BEF2B0}"/>
    <cellStyle name="Normal 5 3 4 2 2 6" xfId="3853" xr:uid="{B0A50A6F-9798-40CA-A57F-7FF6D5A8C105}"/>
    <cellStyle name="Normal 5 3 4 2 2 6 2" xfId="8132" xr:uid="{801F2540-7F42-4753-9713-955F5BF01CE9}"/>
    <cellStyle name="Normal 5 3 4 2 2 7" xfId="6067" xr:uid="{E8A8469A-4B97-4C13-AAA5-A67CD34F1295}"/>
    <cellStyle name="Normal 5 3 4 2 2 8" xfId="1763" xr:uid="{123AB439-0A16-4640-BBBC-0312B2EBF527}"/>
    <cellStyle name="Normal 5 3 4 2 3" xfId="932" xr:uid="{00000000-0005-0000-0000-00002A030000}"/>
    <cellStyle name="Normal 5 3 4 2 3 2" xfId="4406" xr:uid="{33DBB425-B149-4FBC-8A06-F4323FFD0439}"/>
    <cellStyle name="Normal 5 3 4 2 3 2 2" xfId="8624" xr:uid="{4440A47F-1895-41EF-8FCF-045E1C309EBF}"/>
    <cellStyle name="Normal 5 3 4 2 3 3" xfId="6479" xr:uid="{F6010A1C-E5CE-4CFD-847C-192713254D8F}"/>
    <cellStyle name="Normal 5 3 4 2 3 4" xfId="2177" xr:uid="{75DCFFCA-29E0-4953-9DA5-98774E1146C8}"/>
    <cellStyle name="Normal 5 3 4 2 4" xfId="1348" xr:uid="{DC4D56B7-003B-46F5-A70D-3890841FD779}"/>
    <cellStyle name="Normal 5 3 4 2 4 2" xfId="4819" xr:uid="{6BE66E74-5118-4252-A5CB-596D3A4BC8A5}"/>
    <cellStyle name="Normal 5 3 4 2 4 2 2" xfId="9037" xr:uid="{4FF3AF26-A930-4189-8D03-E114FAF8B80B}"/>
    <cellStyle name="Normal 5 3 4 2 4 3" xfId="6892" xr:uid="{5E087180-6E89-4BC9-9F9E-BAB6114D330A}"/>
    <cellStyle name="Normal 5 3 4 2 4 4" xfId="2590" xr:uid="{C6CE2737-2F59-4216-9C9F-0CD59DCEEB3F}"/>
    <cellStyle name="Normal 5 3 4 2 5" xfId="3003" xr:uid="{D1F995FB-4A91-440F-BEE3-7062687D7425}"/>
    <cellStyle name="Normal 5 3 4 2 5 2" xfId="5232" xr:uid="{C9980399-DC80-429C-A277-710FEB43DDE4}"/>
    <cellStyle name="Normal 5 3 4 2 5 2 2" xfId="9450" xr:uid="{608545A2-69BF-4EE2-8422-BBE8D88BFB0E}"/>
    <cellStyle name="Normal 5 3 4 2 5 3" xfId="7305" xr:uid="{3B913A2D-6DB5-4DEA-B53B-5BA6C794D01C}"/>
    <cellStyle name="Normal 5 3 4 2 6" xfId="3416" xr:uid="{D0010978-1C58-4BBB-8945-63A8A2049893}"/>
    <cellStyle name="Normal 5 3 4 2 6 2" xfId="5645" xr:uid="{D92EF54F-3231-404B-87D6-B87144EDF6C9}"/>
    <cellStyle name="Normal 5 3 4 2 6 2 2" xfId="9863" xr:uid="{343FA44E-11B3-45D8-B328-775FA4903BC2}"/>
    <cellStyle name="Normal 5 3 4 2 6 3" xfId="7718" xr:uid="{3668D7FE-9551-4C86-9D78-5666CD838032}"/>
    <cellStyle name="Normal 5 3 4 2 7" xfId="3852" xr:uid="{BE296BD5-1338-48CB-A10D-D9219F914738}"/>
    <cellStyle name="Normal 5 3 4 2 7 2" xfId="8131" xr:uid="{206E4A99-F577-465B-B01B-BDE833429DA8}"/>
    <cellStyle name="Normal 5 3 4 2 8" xfId="6066" xr:uid="{33CB3101-2152-41F1-979E-22B243FDF2E5}"/>
    <cellStyle name="Normal 5 3 4 2 9" xfId="1762" xr:uid="{34A0A3F9-9FB6-45A4-94E6-3EC075A03CED}"/>
    <cellStyle name="Normal 5 3 4 3" xfId="455" xr:uid="{00000000-0005-0000-0000-00002B030000}"/>
    <cellStyle name="Normal 5 3 4 3 2" xfId="934" xr:uid="{00000000-0005-0000-0000-00002C030000}"/>
    <cellStyle name="Normal 5 3 4 3 2 2" xfId="4408" xr:uid="{3EF89C3F-4616-440F-AF7E-6F2E5B2960D7}"/>
    <cellStyle name="Normal 5 3 4 3 2 2 2" xfId="8626" xr:uid="{B4A12ED0-7AF3-4643-A0D2-B551FFE7E16D}"/>
    <cellStyle name="Normal 5 3 4 3 2 3" xfId="6481" xr:uid="{48346C5C-1C85-45AC-9363-382EC9826A86}"/>
    <cellStyle name="Normal 5 3 4 3 2 4" xfId="2179" xr:uid="{58DC1176-8034-4991-AA33-0E441320FDED}"/>
    <cellStyle name="Normal 5 3 4 3 3" xfId="1350" xr:uid="{288E7C4A-FCC1-4635-A5FC-324CA9E8B8E4}"/>
    <cellStyle name="Normal 5 3 4 3 3 2" xfId="4821" xr:uid="{DB0FF73C-A50A-4E9B-B896-378134502FDC}"/>
    <cellStyle name="Normal 5 3 4 3 3 2 2" xfId="9039" xr:uid="{2F803C7A-58DD-4FDB-BEEE-191784D9178F}"/>
    <cellStyle name="Normal 5 3 4 3 3 3" xfId="6894" xr:uid="{FAC6A60C-8B26-4118-B633-7301BCDE059C}"/>
    <cellStyle name="Normal 5 3 4 3 3 4" xfId="2592" xr:uid="{2F22284A-451F-473B-92F5-F53157B261AD}"/>
    <cellStyle name="Normal 5 3 4 3 4" xfId="3005" xr:uid="{E5D75351-11A4-4BCD-B59F-D673B6FCBE2B}"/>
    <cellStyle name="Normal 5 3 4 3 4 2" xfId="5234" xr:uid="{44981286-4284-4F96-ABB3-4B901DF26B17}"/>
    <cellStyle name="Normal 5 3 4 3 4 2 2" xfId="9452" xr:uid="{5CEE3478-79B4-4DF6-B918-9826FDD455E1}"/>
    <cellStyle name="Normal 5 3 4 3 4 3" xfId="7307" xr:uid="{4C18BE7D-EECB-42D9-91FD-EC437936FD39}"/>
    <cellStyle name="Normal 5 3 4 3 5" xfId="3418" xr:uid="{47AF6459-D6DE-4940-8CA8-CA949B3B4B3D}"/>
    <cellStyle name="Normal 5 3 4 3 5 2" xfId="5647" xr:uid="{D8C35D22-B91D-4264-BFDB-F73A7C17BA08}"/>
    <cellStyle name="Normal 5 3 4 3 5 2 2" xfId="9865" xr:uid="{4E4CCC94-F8B6-4881-8CFA-7419B41539EE}"/>
    <cellStyle name="Normal 5 3 4 3 5 3" xfId="7720" xr:uid="{4DF79D45-6D80-46AF-B8D4-0C85F3DBAB2B}"/>
    <cellStyle name="Normal 5 3 4 3 6" xfId="3854" xr:uid="{86907F6D-6707-467A-923F-094CCBBD1475}"/>
    <cellStyle name="Normal 5 3 4 3 6 2" xfId="8133" xr:uid="{AFA4BE36-69D0-468B-9F22-24D1D62E8D6D}"/>
    <cellStyle name="Normal 5 3 4 3 7" xfId="6068" xr:uid="{625FD9FB-9045-40C4-BA16-C1B7FB7884B3}"/>
    <cellStyle name="Normal 5 3 4 3 8" xfId="1764" xr:uid="{47675C88-20B5-4B08-911A-B4DE297B4CCE}"/>
    <cellStyle name="Normal 5 3 4 4" xfId="931" xr:uid="{00000000-0005-0000-0000-00002D030000}"/>
    <cellStyle name="Normal 5 3 4 4 2" xfId="4405" xr:uid="{87ABEFD0-6259-4254-895F-6480918F5391}"/>
    <cellStyle name="Normal 5 3 4 4 2 2" xfId="8623" xr:uid="{977CFDDA-08A6-4009-9B6B-CD91DFE98FBB}"/>
    <cellStyle name="Normal 5 3 4 4 3" xfId="6478" xr:uid="{93A20FE2-5127-44D2-93E5-37A8F2A3CFE6}"/>
    <cellStyle name="Normal 5 3 4 4 4" xfId="2176" xr:uid="{F77E49CE-DB90-4345-8B99-3BEB628EAF68}"/>
    <cellStyle name="Normal 5 3 4 5" xfId="1347" xr:uid="{0268B9A8-4092-49E9-A0AC-25E88D36172F}"/>
    <cellStyle name="Normal 5 3 4 5 2" xfId="4818" xr:uid="{70877BD8-ACF4-4397-892C-2F2C5BE4BB91}"/>
    <cellStyle name="Normal 5 3 4 5 2 2" xfId="9036" xr:uid="{E56135E5-3E55-4334-AA2D-6D4426B11DA8}"/>
    <cellStyle name="Normal 5 3 4 5 3" xfId="6891" xr:uid="{DEB94ED8-AB49-496C-AE3B-1F8D573DA1B3}"/>
    <cellStyle name="Normal 5 3 4 5 4" xfId="2589" xr:uid="{3A736257-8DA2-4253-8292-27589BFE0B82}"/>
    <cellStyle name="Normal 5 3 4 6" xfId="3002" xr:uid="{79565CA1-8A7B-48F4-AEF0-FCE47B772EED}"/>
    <cellStyle name="Normal 5 3 4 6 2" xfId="5231" xr:uid="{B91CD935-3220-4C47-8DF3-82DF9F8906B1}"/>
    <cellStyle name="Normal 5 3 4 6 2 2" xfId="9449" xr:uid="{A5EA51AA-2BE9-4B7A-838F-5A7AE25B0DED}"/>
    <cellStyle name="Normal 5 3 4 6 3" xfId="7304" xr:uid="{5CFAE10B-F4FE-4B19-8056-FC61DA035D5A}"/>
    <cellStyle name="Normal 5 3 4 7" xfId="3415" xr:uid="{8F64545F-1912-41B6-B55A-19D6EAD4B590}"/>
    <cellStyle name="Normal 5 3 4 7 2" xfId="5644" xr:uid="{41E00DFC-6451-47A4-A60E-2746223B9620}"/>
    <cellStyle name="Normal 5 3 4 7 2 2" xfId="9862" xr:uid="{71FFA271-395B-42C3-B1A9-5E904FA3ED8F}"/>
    <cellStyle name="Normal 5 3 4 7 3" xfId="7717" xr:uid="{6D9097E2-6022-4BD3-8509-6D3C8B5E92B5}"/>
    <cellStyle name="Normal 5 3 4 8" xfId="3851" xr:uid="{099C5D85-D9AF-45A8-9477-9A7EAFA6A2AA}"/>
    <cellStyle name="Normal 5 3 4 8 2" xfId="8130" xr:uid="{7F29A851-A5DF-4BEB-AB7B-3EDA77E0E2C7}"/>
    <cellStyle name="Normal 5 3 4 9" xfId="6065" xr:uid="{D0BDB50C-A1D6-475B-9760-4A265D965CD4}"/>
    <cellStyle name="Normal 5 3 5" xfId="456" xr:uid="{00000000-0005-0000-0000-00002E030000}"/>
    <cellStyle name="Normal 5 3 5 2" xfId="457" xr:uid="{00000000-0005-0000-0000-00002F030000}"/>
    <cellStyle name="Normal 5 3 5 2 2" xfId="936" xr:uid="{00000000-0005-0000-0000-000030030000}"/>
    <cellStyle name="Normal 5 3 5 2 2 2" xfId="4410" xr:uid="{E78F3514-B276-435E-A554-7487E9FFE053}"/>
    <cellStyle name="Normal 5 3 5 2 2 2 2" xfId="8628" xr:uid="{EAEA9338-BF49-4A62-8BA3-2704BA4A0486}"/>
    <cellStyle name="Normal 5 3 5 2 2 3" xfId="6483" xr:uid="{42CA3E7D-0073-42BC-A667-70135C3A20AF}"/>
    <cellStyle name="Normal 5 3 5 2 2 4" xfId="2181" xr:uid="{BEB4333D-035B-4BF6-901A-D6B64DAF5C26}"/>
    <cellStyle name="Normal 5 3 5 2 3" xfId="1352" xr:uid="{D52D2361-DE3D-4FFB-A776-170F8764E08D}"/>
    <cellStyle name="Normal 5 3 5 2 3 2" xfId="4823" xr:uid="{D32DB577-B650-4FE2-A050-F285CB95A980}"/>
    <cellStyle name="Normal 5 3 5 2 3 2 2" xfId="9041" xr:uid="{F7584CE8-B0F8-46E0-9E62-9F56354539F5}"/>
    <cellStyle name="Normal 5 3 5 2 3 3" xfId="6896" xr:uid="{89122201-93C0-4D6C-A93E-FCF2FBC0EDDD}"/>
    <cellStyle name="Normal 5 3 5 2 3 4" xfId="2594" xr:uid="{6BE63D25-9F06-4430-80A9-4F0A76534BE0}"/>
    <cellStyle name="Normal 5 3 5 2 4" xfId="3007" xr:uid="{36D0BE20-D8DE-40CB-A6C3-6D83FB84CCEF}"/>
    <cellStyle name="Normal 5 3 5 2 4 2" xfId="5236" xr:uid="{A29A6E86-2F6B-4FDE-9771-29073460AF6E}"/>
    <cellStyle name="Normal 5 3 5 2 4 2 2" xfId="9454" xr:uid="{8E76035D-362D-4769-86E8-ABD60F80BF1B}"/>
    <cellStyle name="Normal 5 3 5 2 4 3" xfId="7309" xr:uid="{278425AF-EECD-4217-8A63-F2C74B6A03D6}"/>
    <cellStyle name="Normal 5 3 5 2 5" xfId="3420" xr:uid="{7B7E3708-B571-4900-9035-94AA5C50EC5E}"/>
    <cellStyle name="Normal 5 3 5 2 5 2" xfId="5649" xr:uid="{67753BFD-3242-4810-AC2D-3BAA0B72F3AB}"/>
    <cellStyle name="Normal 5 3 5 2 5 2 2" xfId="9867" xr:uid="{07BEE23D-FFB5-4761-B19E-FE5B24C26AF7}"/>
    <cellStyle name="Normal 5 3 5 2 5 3" xfId="7722" xr:uid="{DC03FBE4-A4A1-43B0-9989-B9EC9E67A329}"/>
    <cellStyle name="Normal 5 3 5 2 6" xfId="3856" xr:uid="{59CEE03D-6D8D-485F-A1C8-9EC221F06980}"/>
    <cellStyle name="Normal 5 3 5 2 6 2" xfId="8135" xr:uid="{122295B5-4264-447B-B22C-F7CCE7422C08}"/>
    <cellStyle name="Normal 5 3 5 2 7" xfId="6070" xr:uid="{5A20372D-9A4F-4B1E-AB54-D0A7133474FC}"/>
    <cellStyle name="Normal 5 3 5 2 8" xfId="1766" xr:uid="{969721C9-001D-4698-B043-EE4E9FD254ED}"/>
    <cellStyle name="Normal 5 3 5 3" xfId="935" xr:uid="{00000000-0005-0000-0000-000031030000}"/>
    <cellStyle name="Normal 5 3 5 3 2" xfId="4409" xr:uid="{DD364490-EEE9-4CB8-B8C7-3431BA1DF73F}"/>
    <cellStyle name="Normal 5 3 5 3 2 2" xfId="8627" xr:uid="{AAC7A614-1FBC-4508-BF55-A3C1542643FD}"/>
    <cellStyle name="Normal 5 3 5 3 3" xfId="6482" xr:uid="{45D9F435-DE95-41C1-93B0-A7EE0D5B75C2}"/>
    <cellStyle name="Normal 5 3 5 3 4" xfId="2180" xr:uid="{D0224352-45A1-482E-8F9C-7BF29C7341B6}"/>
    <cellStyle name="Normal 5 3 5 4" xfId="1351" xr:uid="{774D9304-C9C1-4652-A026-BB5F040640AE}"/>
    <cellStyle name="Normal 5 3 5 4 2" xfId="4822" xr:uid="{37A8F052-0C07-4E3E-8BA4-8CAAA4AFAC02}"/>
    <cellStyle name="Normal 5 3 5 4 2 2" xfId="9040" xr:uid="{96463056-242D-4F1B-A1DC-D8A08FA9AD00}"/>
    <cellStyle name="Normal 5 3 5 4 3" xfId="6895" xr:uid="{B1052526-DE1E-43D7-B713-4211922218A6}"/>
    <cellStyle name="Normal 5 3 5 4 4" xfId="2593" xr:uid="{6F413C72-0177-49AD-A923-99098651C777}"/>
    <cellStyle name="Normal 5 3 5 5" xfId="3006" xr:uid="{587157D7-B075-4ED4-ABB4-339054AB4422}"/>
    <cellStyle name="Normal 5 3 5 5 2" xfId="5235" xr:uid="{A8664B8F-480E-473C-89E2-E83A2B338871}"/>
    <cellStyle name="Normal 5 3 5 5 2 2" xfId="9453" xr:uid="{43AB2387-C4FB-473A-A848-3E934B142F9E}"/>
    <cellStyle name="Normal 5 3 5 5 3" xfId="7308" xr:uid="{ABF6571D-6FAC-4DB4-AEC5-209EDBA38F77}"/>
    <cellStyle name="Normal 5 3 5 6" xfId="3419" xr:uid="{434D1773-DC09-4516-8F82-2CDBFA8BF701}"/>
    <cellStyle name="Normal 5 3 5 6 2" xfId="5648" xr:uid="{8B1D7560-08E3-47DC-AE5B-5BC817A82150}"/>
    <cellStyle name="Normal 5 3 5 6 2 2" xfId="9866" xr:uid="{FFE0492A-01D0-4E0C-92AC-E2DC00D8804C}"/>
    <cellStyle name="Normal 5 3 5 6 3" xfId="7721" xr:uid="{B13ADE40-8D33-4795-8DFE-10D2C5419A15}"/>
    <cellStyle name="Normal 5 3 5 7" xfId="3855" xr:uid="{448E5FDB-CAE7-4B8E-8700-BFF61655D28B}"/>
    <cellStyle name="Normal 5 3 5 7 2" xfId="8134" xr:uid="{9B7D69E6-8A8A-429C-9FCA-1F9B49D2BBE7}"/>
    <cellStyle name="Normal 5 3 5 8" xfId="6069" xr:uid="{E925EA79-7BD3-43E4-9027-F36E5D19A78B}"/>
    <cellStyle name="Normal 5 3 5 9" xfId="1765" xr:uid="{F52BFB26-C718-401D-BB64-7F7C36B359C3}"/>
    <cellStyle name="Normal 5 3 6" xfId="458" xr:uid="{00000000-0005-0000-0000-000032030000}"/>
    <cellStyle name="Normal 5 3 6 2" xfId="937" xr:uid="{00000000-0005-0000-0000-000033030000}"/>
    <cellStyle name="Normal 5 3 6 2 2" xfId="4411" xr:uid="{47C083A0-3724-4997-A94A-EBDF984DBBD0}"/>
    <cellStyle name="Normal 5 3 6 2 2 2" xfId="8629" xr:uid="{D2B4E70F-8BB7-4CD5-9493-CE457E192EB1}"/>
    <cellStyle name="Normal 5 3 6 2 3" xfId="6484" xr:uid="{081FF649-A750-4D02-867F-10D72942CB90}"/>
    <cellStyle name="Normal 5 3 6 2 4" xfId="2182" xr:uid="{6C39D23D-88B5-4422-A730-4F0F81105867}"/>
    <cellStyle name="Normal 5 3 6 3" xfId="1353" xr:uid="{54195614-33E0-4340-BEB6-F4B2E2E03474}"/>
    <cellStyle name="Normal 5 3 6 3 2" xfId="4824" xr:uid="{671C3137-9BB5-4123-869D-DBB051221B0F}"/>
    <cellStyle name="Normal 5 3 6 3 2 2" xfId="9042" xr:uid="{93C3AFDC-804E-41BF-B4E8-499A2FFF424A}"/>
    <cellStyle name="Normal 5 3 6 3 3" xfId="6897" xr:uid="{80F17B77-6543-42C2-AB9C-05231562B99A}"/>
    <cellStyle name="Normal 5 3 6 3 4" xfId="2595" xr:uid="{6942C94C-E215-4D62-BEE7-6FA01E729984}"/>
    <cellStyle name="Normal 5 3 6 4" xfId="3008" xr:uid="{4E07DD46-AD04-4A15-BB82-6DB667216D1B}"/>
    <cellStyle name="Normal 5 3 6 4 2" xfId="5237" xr:uid="{F4A19868-7951-430F-B2C2-2A4E2393A278}"/>
    <cellStyle name="Normal 5 3 6 4 2 2" xfId="9455" xr:uid="{E05CCCA1-5793-463C-8359-703EABB6A6C0}"/>
    <cellStyle name="Normal 5 3 6 4 3" xfId="7310" xr:uid="{E4F38A64-C60A-4BE1-A2DA-0A17A5F2C28C}"/>
    <cellStyle name="Normal 5 3 6 5" xfId="3421" xr:uid="{4C3BEC7B-C7FD-4F15-97B0-81381D8E0816}"/>
    <cellStyle name="Normal 5 3 6 5 2" xfId="5650" xr:uid="{F3C7DA2F-CAB4-405C-AC4C-4F28042CC9AE}"/>
    <cellStyle name="Normal 5 3 6 5 2 2" xfId="9868" xr:uid="{4276E56F-37B1-4DDA-B728-2EEA4BAE82D4}"/>
    <cellStyle name="Normal 5 3 6 5 3" xfId="7723" xr:uid="{B97BC74C-6A95-4E78-98D1-3F20773DF476}"/>
    <cellStyle name="Normal 5 3 6 6" xfId="3857" xr:uid="{E9F04786-9256-4D92-BEBD-E2841AD11034}"/>
    <cellStyle name="Normal 5 3 6 6 2" xfId="8136" xr:uid="{A9DEAD74-5276-4A23-A1E7-06198C251BF9}"/>
    <cellStyle name="Normal 5 3 6 7" xfId="6071" xr:uid="{B9C14FB7-CEBD-466A-98C6-0830A07B42E7}"/>
    <cellStyle name="Normal 5 3 6 8" xfId="1767" xr:uid="{E83C8C91-786F-4975-9C9C-814A761F0193}"/>
    <cellStyle name="Normal 5 3 7" xfId="921" xr:uid="{00000000-0005-0000-0000-000034030000}"/>
    <cellStyle name="Normal 5 3 7 2" xfId="4396" xr:uid="{113A266C-6785-4254-917D-423105CB7289}"/>
    <cellStyle name="Normal 5 3 7 2 2" xfId="8614" xr:uid="{A0A5CB22-9467-43DA-A34A-4EC858F14527}"/>
    <cellStyle name="Normal 5 3 7 3" xfId="6469" xr:uid="{7DAB1D26-BEBA-45E0-8808-69FCBA505D49}"/>
    <cellStyle name="Normal 5 3 7 4" xfId="2167" xr:uid="{D4AF5237-7327-4336-89D0-8472950BBD90}"/>
    <cellStyle name="Normal 5 3 8" xfId="1338" xr:uid="{2A70F516-C180-41C7-B0BA-A698B8BA201D}"/>
    <cellStyle name="Normal 5 3 8 2" xfId="4809" xr:uid="{B37E9E7F-640F-401B-BAB0-201021B2A6FD}"/>
    <cellStyle name="Normal 5 3 8 2 2" xfId="9027" xr:uid="{9BA7E837-86E6-4494-95C2-A221F2F8F0B9}"/>
    <cellStyle name="Normal 5 3 8 3" xfId="6882" xr:uid="{ECA8E577-9BC1-410E-9913-2DBE87A5A453}"/>
    <cellStyle name="Normal 5 3 8 4" xfId="2580" xr:uid="{09F2EF2F-046C-4210-BAE5-38B786D24540}"/>
    <cellStyle name="Normal 5 3 9" xfId="2993" xr:uid="{C9A20E37-7D74-415D-B17D-11538D33CF7A}"/>
    <cellStyle name="Normal 5 3 9 2" xfId="5222" xr:uid="{EB67DA61-26D9-4C6E-BFFA-0B7D07D0B298}"/>
    <cellStyle name="Normal 5 3 9 2 2" xfId="9440" xr:uid="{26E07FDD-6589-4458-B6ED-44ABC4A16EB2}"/>
    <cellStyle name="Normal 5 3 9 3" xfId="7295" xr:uid="{71226869-D491-4ED0-893C-E96D631B78CD}"/>
    <cellStyle name="Normal 5 4" xfId="459" xr:uid="{00000000-0005-0000-0000-000035030000}"/>
    <cellStyle name="Normal 5 4 10" xfId="6072" xr:uid="{ABDA74E5-6BBD-4246-86D7-1FAB7EFEBC3E}"/>
    <cellStyle name="Normal 5 4 11" xfId="1768" xr:uid="{F24BFB05-44F1-4BFC-9DC0-4BD68EE1DEBB}"/>
    <cellStyle name="Normal 5 4 2" xfId="460" xr:uid="{00000000-0005-0000-0000-000036030000}"/>
    <cellStyle name="Normal 5 4 2 10" xfId="1769" xr:uid="{73D0C557-13F7-4465-82E0-1DD24A5770FB}"/>
    <cellStyle name="Normal 5 4 2 2" xfId="461" xr:uid="{00000000-0005-0000-0000-000037030000}"/>
    <cellStyle name="Normal 5 4 2 2 2" xfId="462" xr:uid="{00000000-0005-0000-0000-000038030000}"/>
    <cellStyle name="Normal 5 4 2 2 2 2" xfId="941" xr:uid="{00000000-0005-0000-0000-000039030000}"/>
    <cellStyle name="Normal 5 4 2 2 2 2 2" xfId="4415" xr:uid="{88C9D0EC-C4B1-4BBB-80D3-1CA0821953AC}"/>
    <cellStyle name="Normal 5 4 2 2 2 2 2 2" xfId="8633" xr:uid="{FD003CE1-5F9D-4363-88FA-22C82C1F02AC}"/>
    <cellStyle name="Normal 5 4 2 2 2 2 3" xfId="6488" xr:uid="{4FBD3900-9FF3-4559-804C-44211E7F14AC}"/>
    <cellStyle name="Normal 5 4 2 2 2 2 4" xfId="2186" xr:uid="{1CCE8638-47A5-43CF-9A2E-BFEE214F58D4}"/>
    <cellStyle name="Normal 5 4 2 2 2 3" xfId="1357" xr:uid="{51817399-9A7E-4299-A4C1-39A9D01E2DFB}"/>
    <cellStyle name="Normal 5 4 2 2 2 3 2" xfId="4828" xr:uid="{7120F00F-3E23-4771-BCFC-EE5D2EB4B79E}"/>
    <cellStyle name="Normal 5 4 2 2 2 3 2 2" xfId="9046" xr:uid="{DB4B39DC-9D01-4D48-A418-FBA3870A9028}"/>
    <cellStyle name="Normal 5 4 2 2 2 3 3" xfId="6901" xr:uid="{942DFC70-8EC0-44B3-99BE-3E25E7BA9A3D}"/>
    <cellStyle name="Normal 5 4 2 2 2 3 4" xfId="2599" xr:uid="{8AED5027-D27E-476D-87FE-D032E6098B0A}"/>
    <cellStyle name="Normal 5 4 2 2 2 4" xfId="3012" xr:uid="{8FED3277-154A-4CAF-8BA2-8A700F9D1144}"/>
    <cellStyle name="Normal 5 4 2 2 2 4 2" xfId="5241" xr:uid="{764B4840-D1CC-4966-86FA-C8612718FF37}"/>
    <cellStyle name="Normal 5 4 2 2 2 4 2 2" xfId="9459" xr:uid="{30383389-1226-441C-9E8F-E8B8F03B9BEB}"/>
    <cellStyle name="Normal 5 4 2 2 2 4 3" xfId="7314" xr:uid="{27B320D7-7AAF-4619-9E36-97CB6D49FB66}"/>
    <cellStyle name="Normal 5 4 2 2 2 5" xfId="3425" xr:uid="{75504835-9103-4F11-9E6D-D99E5FD929BD}"/>
    <cellStyle name="Normal 5 4 2 2 2 5 2" xfId="5654" xr:uid="{C26F34AD-B0B4-48CC-99C5-F2ACCC849EA3}"/>
    <cellStyle name="Normal 5 4 2 2 2 5 2 2" xfId="9872" xr:uid="{AEB0DA31-E66B-49A0-8E8F-0D69E420E7D1}"/>
    <cellStyle name="Normal 5 4 2 2 2 5 3" xfId="7727" xr:uid="{F067F350-74AB-431B-9F49-63E27A1D4AD9}"/>
    <cellStyle name="Normal 5 4 2 2 2 6" xfId="3861" xr:uid="{29D942DF-CD7D-486B-8F74-E46E78ACFA52}"/>
    <cellStyle name="Normal 5 4 2 2 2 6 2" xfId="8140" xr:uid="{5E73B126-2D30-4D21-8069-D76E560C2FFF}"/>
    <cellStyle name="Normal 5 4 2 2 2 7" xfId="6075" xr:uid="{3D25CF01-63D0-408C-8410-5B596CA33DAE}"/>
    <cellStyle name="Normal 5 4 2 2 2 8" xfId="1771" xr:uid="{8A5E3847-63BC-4238-B3BC-07F5EA7B7521}"/>
    <cellStyle name="Normal 5 4 2 2 3" xfId="940" xr:uid="{00000000-0005-0000-0000-00003A030000}"/>
    <cellStyle name="Normal 5 4 2 2 3 2" xfId="4414" xr:uid="{1C937C3C-7789-49B1-B3A9-E7F17813F4CC}"/>
    <cellStyle name="Normal 5 4 2 2 3 2 2" xfId="8632" xr:uid="{3CB71130-648F-4000-82C6-8582BEA72812}"/>
    <cellStyle name="Normal 5 4 2 2 3 3" xfId="6487" xr:uid="{14FB81F4-0EF1-4212-B069-12EF02CBF073}"/>
    <cellStyle name="Normal 5 4 2 2 3 4" xfId="2185" xr:uid="{46561DE6-E82D-4D81-AB3A-623EF3182DF3}"/>
    <cellStyle name="Normal 5 4 2 2 4" xfId="1356" xr:uid="{875CDFA3-CA6C-4188-AFC8-8A57FD2555E5}"/>
    <cellStyle name="Normal 5 4 2 2 4 2" xfId="4827" xr:uid="{B03C8A52-6758-48BC-AA34-FA1F301F9986}"/>
    <cellStyle name="Normal 5 4 2 2 4 2 2" xfId="9045" xr:uid="{2C7F361E-A6C7-44A2-BD38-80EED89670FF}"/>
    <cellStyle name="Normal 5 4 2 2 4 3" xfId="6900" xr:uid="{0A4F47B0-8546-46D1-BF79-E0F184B8365B}"/>
    <cellStyle name="Normal 5 4 2 2 4 4" xfId="2598" xr:uid="{75B348C3-F8A1-4EE1-90A3-067D381724F2}"/>
    <cellStyle name="Normal 5 4 2 2 5" xfId="3011" xr:uid="{38B7421E-7EA6-4B11-A8E1-B091C4B66DC7}"/>
    <cellStyle name="Normal 5 4 2 2 5 2" xfId="5240" xr:uid="{796DD4F5-8E5F-42C8-88AB-7A651A2297E7}"/>
    <cellStyle name="Normal 5 4 2 2 5 2 2" xfId="9458" xr:uid="{5A4729DF-8508-486A-A44E-1CB4F31C73D7}"/>
    <cellStyle name="Normal 5 4 2 2 5 3" xfId="7313" xr:uid="{0C577030-E552-4C59-80E6-13444914B81B}"/>
    <cellStyle name="Normal 5 4 2 2 6" xfId="3424" xr:uid="{51BF8B73-CDD6-48F8-B686-E30C232B4173}"/>
    <cellStyle name="Normal 5 4 2 2 6 2" xfId="5653" xr:uid="{E7211DEB-7004-4C6A-B81C-F9B44CE1B362}"/>
    <cellStyle name="Normal 5 4 2 2 6 2 2" xfId="9871" xr:uid="{79928F4A-279F-4E03-8B8B-2B2DA60D9999}"/>
    <cellStyle name="Normal 5 4 2 2 6 3" xfId="7726" xr:uid="{53B98238-DDAA-4495-93CB-3F52B3C70A52}"/>
    <cellStyle name="Normal 5 4 2 2 7" xfId="3860" xr:uid="{A74AA866-890C-4FD9-B410-402CEAF6B99D}"/>
    <cellStyle name="Normal 5 4 2 2 7 2" xfId="8139" xr:uid="{B5DFDD2C-D2D8-4CFF-9995-A214291F1897}"/>
    <cellStyle name="Normal 5 4 2 2 8" xfId="6074" xr:uid="{EBD2F730-6459-4CF1-BAFF-6EF38AB15B46}"/>
    <cellStyle name="Normal 5 4 2 2 9" xfId="1770" xr:uid="{3F6D8B2F-47F9-4E6F-810A-95A8F5D7533F}"/>
    <cellStyle name="Normal 5 4 2 3" xfId="463" xr:uid="{00000000-0005-0000-0000-00003B030000}"/>
    <cellStyle name="Normal 5 4 2 3 2" xfId="942" xr:uid="{00000000-0005-0000-0000-00003C030000}"/>
    <cellStyle name="Normal 5 4 2 3 2 2" xfId="4416" xr:uid="{20D75428-3892-43F5-86B0-8C99B8E53AE6}"/>
    <cellStyle name="Normal 5 4 2 3 2 2 2" xfId="8634" xr:uid="{F0E7BA77-986F-4CB4-BD85-192A021F1645}"/>
    <cellStyle name="Normal 5 4 2 3 2 3" xfId="6489" xr:uid="{54F6D10F-8F98-4425-A4FA-289E5730D060}"/>
    <cellStyle name="Normal 5 4 2 3 2 4" xfId="2187" xr:uid="{9A44C284-18D5-497B-A570-195DA6FC83E0}"/>
    <cellStyle name="Normal 5 4 2 3 3" xfId="1358" xr:uid="{6D3329C2-84A7-4B3D-A806-78734A50D83D}"/>
    <cellStyle name="Normal 5 4 2 3 3 2" xfId="4829" xr:uid="{A5C09326-718E-4AAA-AF0B-CD9684BFD09F}"/>
    <cellStyle name="Normal 5 4 2 3 3 2 2" xfId="9047" xr:uid="{33ECD2C4-3962-407F-A39C-21FC43977542}"/>
    <cellStyle name="Normal 5 4 2 3 3 3" xfId="6902" xr:uid="{A190843D-91CE-485D-8EDA-39CCE001D96D}"/>
    <cellStyle name="Normal 5 4 2 3 3 4" xfId="2600" xr:uid="{C8FE19FA-A004-4824-9AF9-4AAC8AE5B4F8}"/>
    <cellStyle name="Normal 5 4 2 3 4" xfId="3013" xr:uid="{482A6ADF-8E6A-4447-82EB-64DCBB022F47}"/>
    <cellStyle name="Normal 5 4 2 3 4 2" xfId="5242" xr:uid="{5A30C0E4-9215-487A-A593-E908FEA3D43E}"/>
    <cellStyle name="Normal 5 4 2 3 4 2 2" xfId="9460" xr:uid="{8F413ED2-135E-4348-B39F-A748CAF23BCD}"/>
    <cellStyle name="Normal 5 4 2 3 4 3" xfId="7315" xr:uid="{2F1FED8F-CC48-4955-BE79-BBB54A2C9990}"/>
    <cellStyle name="Normal 5 4 2 3 5" xfId="3426" xr:uid="{8A9981FE-8ECA-43A8-B314-26ADC18A1F85}"/>
    <cellStyle name="Normal 5 4 2 3 5 2" xfId="5655" xr:uid="{D1D0F1F0-6879-4AC5-9167-156279261DDC}"/>
    <cellStyle name="Normal 5 4 2 3 5 2 2" xfId="9873" xr:uid="{56E76F43-F9FA-42DA-B71B-DEEA83E67DD9}"/>
    <cellStyle name="Normal 5 4 2 3 5 3" xfId="7728" xr:uid="{CC99D022-4135-4B16-8879-EB93D0921BFF}"/>
    <cellStyle name="Normal 5 4 2 3 6" xfId="3862" xr:uid="{7CEBD477-5113-4381-8151-F34864F43EB1}"/>
    <cellStyle name="Normal 5 4 2 3 6 2" xfId="8141" xr:uid="{FDCFD1B4-1FCA-46F4-8FD7-A822C3DE2357}"/>
    <cellStyle name="Normal 5 4 2 3 7" xfId="6076" xr:uid="{50A56307-0114-40EF-9264-AEA2043ABB4B}"/>
    <cellStyle name="Normal 5 4 2 3 8" xfId="1772" xr:uid="{2CB6F383-52C4-49E0-ACB5-D341C88F70C0}"/>
    <cellStyle name="Normal 5 4 2 4" xfId="939" xr:uid="{00000000-0005-0000-0000-00003D030000}"/>
    <cellStyle name="Normal 5 4 2 4 2" xfId="4413" xr:uid="{E0DC9112-E6D0-4789-9A12-B7D4AEA8CC95}"/>
    <cellStyle name="Normal 5 4 2 4 2 2" xfId="8631" xr:uid="{5C6D9C16-A17B-4D20-B46E-95220A0654D5}"/>
    <cellStyle name="Normal 5 4 2 4 3" xfId="6486" xr:uid="{1F71D54F-F7F3-4E6C-8046-D942564F54B6}"/>
    <cellStyle name="Normal 5 4 2 4 4" xfId="2184" xr:uid="{BD536E84-5552-42F8-A947-EE9CE90748DC}"/>
    <cellStyle name="Normal 5 4 2 5" xfId="1355" xr:uid="{ED352E22-EA50-4A32-8794-A75427EC9713}"/>
    <cellStyle name="Normal 5 4 2 5 2" xfId="4826" xr:uid="{BED845DC-747B-4E02-AD09-A21BEE023D48}"/>
    <cellStyle name="Normal 5 4 2 5 2 2" xfId="9044" xr:uid="{0655E91D-D87C-448B-81EA-17C8CE686FCE}"/>
    <cellStyle name="Normal 5 4 2 5 3" xfId="6899" xr:uid="{F3EAB1E2-09E4-4F4C-9B48-13D3054DD901}"/>
    <cellStyle name="Normal 5 4 2 5 4" xfId="2597" xr:uid="{B2131B67-F78D-4EF2-87F4-62366F54EDD2}"/>
    <cellStyle name="Normal 5 4 2 6" xfId="3010" xr:uid="{9DC6A6CA-AE96-4F4F-A096-8E4D68F63CC0}"/>
    <cellStyle name="Normal 5 4 2 6 2" xfId="5239" xr:uid="{1C0A3036-13F4-4A2D-88A9-36780A52AB08}"/>
    <cellStyle name="Normal 5 4 2 6 2 2" xfId="9457" xr:uid="{1054CE0F-A98A-4682-BCD1-186E8B489060}"/>
    <cellStyle name="Normal 5 4 2 6 3" xfId="7312" xr:uid="{65DE38E5-D615-4BAA-A2C0-DE38019F84B1}"/>
    <cellStyle name="Normal 5 4 2 7" xfId="3423" xr:uid="{F55FC1E3-DD42-4501-A604-61F845596E4D}"/>
    <cellStyle name="Normal 5 4 2 7 2" xfId="5652" xr:uid="{B3ACC7C8-9A49-41B9-972A-79DD715C605B}"/>
    <cellStyle name="Normal 5 4 2 7 2 2" xfId="9870" xr:uid="{C7E38054-EFB5-4970-8361-52C84CC4B84F}"/>
    <cellStyle name="Normal 5 4 2 7 3" xfId="7725" xr:uid="{EE598DB0-1C60-4973-985A-D79BC18217A4}"/>
    <cellStyle name="Normal 5 4 2 8" xfId="3859" xr:uid="{BDB33A80-50A9-47EE-ABE0-4EBC24D3EDD4}"/>
    <cellStyle name="Normal 5 4 2 8 2" xfId="8138" xr:uid="{99F25D46-781B-4A4A-BB61-7F7A3E15B859}"/>
    <cellStyle name="Normal 5 4 2 9" xfId="6073" xr:uid="{25367BBA-3CD1-4E74-B1BA-70425CE287ED}"/>
    <cellStyle name="Normal 5 4 3" xfId="464" xr:uid="{00000000-0005-0000-0000-00003E030000}"/>
    <cellStyle name="Normal 5 4 3 2" xfId="465" xr:uid="{00000000-0005-0000-0000-00003F030000}"/>
    <cellStyle name="Normal 5 4 3 2 2" xfId="944" xr:uid="{00000000-0005-0000-0000-000040030000}"/>
    <cellStyle name="Normal 5 4 3 2 2 2" xfId="4418" xr:uid="{95A770FE-E8AB-43EE-A600-E44237B39303}"/>
    <cellStyle name="Normal 5 4 3 2 2 2 2" xfId="8636" xr:uid="{7C706E24-35A1-4BCD-A09E-E02F2B32AB0D}"/>
    <cellStyle name="Normal 5 4 3 2 2 3" xfId="6491" xr:uid="{99345612-D584-462C-B938-2C2A7C178CBD}"/>
    <cellStyle name="Normal 5 4 3 2 2 4" xfId="2189" xr:uid="{547010E6-42B3-4543-A14A-4C77470209D3}"/>
    <cellStyle name="Normal 5 4 3 2 3" xfId="1360" xr:uid="{BDE4D3DB-2F23-4AAA-83FE-A8C4993375DA}"/>
    <cellStyle name="Normal 5 4 3 2 3 2" xfId="4831" xr:uid="{C158A94A-1E96-49CD-8248-4766693EDCDE}"/>
    <cellStyle name="Normal 5 4 3 2 3 2 2" xfId="9049" xr:uid="{D366026A-2702-48AE-AB41-7FDD7A18E956}"/>
    <cellStyle name="Normal 5 4 3 2 3 3" xfId="6904" xr:uid="{B4660EF5-AD84-4B09-A468-7437C1BE1A62}"/>
    <cellStyle name="Normal 5 4 3 2 3 4" xfId="2602" xr:uid="{8CF362AD-3156-4CF5-BD1B-AA09ED66E442}"/>
    <cellStyle name="Normal 5 4 3 2 4" xfId="3015" xr:uid="{6B7E46E4-3EB6-4723-9B6F-289C816C06BB}"/>
    <cellStyle name="Normal 5 4 3 2 4 2" xfId="5244" xr:uid="{C1AE4963-98AF-4967-B125-848FAF6A501C}"/>
    <cellStyle name="Normal 5 4 3 2 4 2 2" xfId="9462" xr:uid="{1368980A-38DC-468A-B152-C808EAE650E0}"/>
    <cellStyle name="Normal 5 4 3 2 4 3" xfId="7317" xr:uid="{746B3793-A587-438B-B6E3-7AC27924E097}"/>
    <cellStyle name="Normal 5 4 3 2 5" xfId="3428" xr:uid="{0503113E-CE0E-4FFC-B19B-E292EB29C5F7}"/>
    <cellStyle name="Normal 5 4 3 2 5 2" xfId="5657" xr:uid="{7EB15D53-1C56-4C21-8718-B9D2E737B2CB}"/>
    <cellStyle name="Normal 5 4 3 2 5 2 2" xfId="9875" xr:uid="{562EE467-224F-4665-BC5C-1368C564E395}"/>
    <cellStyle name="Normal 5 4 3 2 5 3" xfId="7730" xr:uid="{38BA4F4F-9B4C-456F-9987-72860E04F92D}"/>
    <cellStyle name="Normal 5 4 3 2 6" xfId="3864" xr:uid="{9A6FCA1D-BEE8-4D07-B624-A997712E2B51}"/>
    <cellStyle name="Normal 5 4 3 2 6 2" xfId="8143" xr:uid="{CAE0DB70-9494-43DE-9FA2-FF2E8854F6D8}"/>
    <cellStyle name="Normal 5 4 3 2 7" xfId="6078" xr:uid="{069A8F5B-17A4-427E-B677-9C733375D97D}"/>
    <cellStyle name="Normal 5 4 3 2 8" xfId="1774" xr:uid="{89C41F6A-9991-4405-9B10-3EED6B9BEE6E}"/>
    <cellStyle name="Normal 5 4 3 3" xfId="943" xr:uid="{00000000-0005-0000-0000-000041030000}"/>
    <cellStyle name="Normal 5 4 3 3 2" xfId="4417" xr:uid="{2D373F84-4721-40F0-8683-AE11ECD3F806}"/>
    <cellStyle name="Normal 5 4 3 3 2 2" xfId="8635" xr:uid="{D47F19C1-B2DB-4ACD-8EDE-1328C75540E5}"/>
    <cellStyle name="Normal 5 4 3 3 3" xfId="6490" xr:uid="{206C43C9-CFA9-435E-85C1-FA074CCB603E}"/>
    <cellStyle name="Normal 5 4 3 3 4" xfId="2188" xr:uid="{08416508-615B-4F7B-915F-F502A4D4D007}"/>
    <cellStyle name="Normal 5 4 3 4" xfId="1359" xr:uid="{F44B6410-B6FC-4A70-B7BF-057FF17EDF2E}"/>
    <cellStyle name="Normal 5 4 3 4 2" xfId="4830" xr:uid="{4F33245A-9DF7-416D-9E76-95CAFAF73AD0}"/>
    <cellStyle name="Normal 5 4 3 4 2 2" xfId="9048" xr:uid="{011DE1F7-934F-41A5-8BDF-3E37AF08395D}"/>
    <cellStyle name="Normal 5 4 3 4 3" xfId="6903" xr:uid="{DD0C0801-EA90-430F-8B7D-805761402D7E}"/>
    <cellStyle name="Normal 5 4 3 4 4" xfId="2601" xr:uid="{BC119AC7-0DD6-4A1B-92FF-679DEB830F60}"/>
    <cellStyle name="Normal 5 4 3 5" xfId="3014" xr:uid="{8DA3308F-A632-4125-BAB3-DD0166775E51}"/>
    <cellStyle name="Normal 5 4 3 5 2" xfId="5243" xr:uid="{6E69A3C4-7C35-4EE3-BF07-AA05951B2B72}"/>
    <cellStyle name="Normal 5 4 3 5 2 2" xfId="9461" xr:uid="{C6C9FAB6-B621-456B-B454-3985F97D54DC}"/>
    <cellStyle name="Normal 5 4 3 5 3" xfId="7316" xr:uid="{5F466101-ADA8-4EBF-A827-0D38A5532954}"/>
    <cellStyle name="Normal 5 4 3 6" xfId="3427" xr:uid="{4705482C-10AA-493F-BAFA-9184F26E668D}"/>
    <cellStyle name="Normal 5 4 3 6 2" xfId="5656" xr:uid="{95865662-33C9-4288-A35B-BE0DB3AC19BC}"/>
    <cellStyle name="Normal 5 4 3 6 2 2" xfId="9874" xr:uid="{C21BE152-A2BE-44D6-ABFD-0C017CADABA0}"/>
    <cellStyle name="Normal 5 4 3 6 3" xfId="7729" xr:uid="{959F0C9A-3245-4477-955D-AB4123480FB8}"/>
    <cellStyle name="Normal 5 4 3 7" xfId="3863" xr:uid="{CDDD2439-95C7-4441-8792-159B1FE3A13B}"/>
    <cellStyle name="Normal 5 4 3 7 2" xfId="8142" xr:uid="{1C7CB4BC-116B-414F-92F8-156FADDE54B6}"/>
    <cellStyle name="Normal 5 4 3 8" xfId="6077" xr:uid="{D741F8A4-A68D-48C2-8BF9-FAC43D80AD81}"/>
    <cellStyle name="Normal 5 4 3 9" xfId="1773" xr:uid="{F8F63DEE-8857-40AC-8E4D-F8C4C85052DD}"/>
    <cellStyle name="Normal 5 4 4" xfId="466" xr:uid="{00000000-0005-0000-0000-000042030000}"/>
    <cellStyle name="Normal 5 4 4 2" xfId="945" xr:uid="{00000000-0005-0000-0000-000043030000}"/>
    <cellStyle name="Normal 5 4 4 2 2" xfId="4419" xr:uid="{462F8EF7-2B4B-4FF7-BE9F-23D701CDBD1B}"/>
    <cellStyle name="Normal 5 4 4 2 2 2" xfId="8637" xr:uid="{A2FEF668-322E-4BAB-9CBC-C5112D116DDE}"/>
    <cellStyle name="Normal 5 4 4 2 3" xfId="6492" xr:uid="{AD385158-A579-4C03-8B8D-32FD26077A61}"/>
    <cellStyle name="Normal 5 4 4 2 4" xfId="2190" xr:uid="{ABBEB5CB-42CD-41E4-850C-82A491C0685E}"/>
    <cellStyle name="Normal 5 4 4 3" xfId="1361" xr:uid="{334D0DAD-ED10-46A8-BA4B-2B6B14AE0823}"/>
    <cellStyle name="Normal 5 4 4 3 2" xfId="4832" xr:uid="{F69D4D2F-BFAB-4A9C-A03C-1441A99559A9}"/>
    <cellStyle name="Normal 5 4 4 3 2 2" xfId="9050" xr:uid="{B611C6FF-EDD3-4D14-9911-8F89568CAA35}"/>
    <cellStyle name="Normal 5 4 4 3 3" xfId="6905" xr:uid="{0A747644-CA80-40E2-B535-D8A0CACE44B4}"/>
    <cellStyle name="Normal 5 4 4 3 4" xfId="2603" xr:uid="{194A2277-892B-47A1-8714-C8FBBF8EA1A0}"/>
    <cellStyle name="Normal 5 4 4 4" xfId="3016" xr:uid="{3B21C19B-9BD6-4675-B86B-BE92055E3ADE}"/>
    <cellStyle name="Normal 5 4 4 4 2" xfId="5245" xr:uid="{5F71DD79-B8FA-437B-B0F0-16C4569CB03D}"/>
    <cellStyle name="Normal 5 4 4 4 2 2" xfId="9463" xr:uid="{1C785A7A-BAF1-4A41-9BB6-E514D3BE5F98}"/>
    <cellStyle name="Normal 5 4 4 4 3" xfId="7318" xr:uid="{5733B212-A804-4474-878B-C9DFA270E360}"/>
    <cellStyle name="Normal 5 4 4 5" xfId="3429" xr:uid="{C01D6BA9-92EA-4D5F-9908-174118D89898}"/>
    <cellStyle name="Normal 5 4 4 5 2" xfId="5658" xr:uid="{D6FCD079-C5A5-49AD-A6E4-E2E449DA04A7}"/>
    <cellStyle name="Normal 5 4 4 5 2 2" xfId="9876" xr:uid="{880C4000-3EE3-48AD-86B5-D82473F94FDE}"/>
    <cellStyle name="Normal 5 4 4 5 3" xfId="7731" xr:uid="{BA3AB5EB-135C-4E78-A625-BA856E61D15F}"/>
    <cellStyle name="Normal 5 4 4 6" xfId="3865" xr:uid="{E8BDF859-DFDC-4BF8-93B1-EF614D89C10F}"/>
    <cellStyle name="Normal 5 4 4 6 2" xfId="8144" xr:uid="{7DBA98D3-CCC8-41D9-9E9F-8C65927CD81C}"/>
    <cellStyle name="Normal 5 4 4 7" xfId="6079" xr:uid="{E560559D-7B71-4DFE-AB97-EA446EBA4AD0}"/>
    <cellStyle name="Normal 5 4 4 8" xfId="1775" xr:uid="{D9A5793B-F51E-4C6A-8187-CB91A3E0E424}"/>
    <cellStyle name="Normal 5 4 5" xfId="938" xr:uid="{00000000-0005-0000-0000-000044030000}"/>
    <cellStyle name="Normal 5 4 5 2" xfId="4412" xr:uid="{7822E03B-3CED-4E2C-B177-AF1ABFE534B2}"/>
    <cellStyle name="Normal 5 4 5 2 2" xfId="8630" xr:uid="{209BA358-B45C-4C96-BB8B-CC4D98BE524D}"/>
    <cellStyle name="Normal 5 4 5 3" xfId="6485" xr:uid="{FFBD8733-61AD-40FA-BAF0-E5A6AF18CEFC}"/>
    <cellStyle name="Normal 5 4 5 4" xfId="2183" xr:uid="{80BB892C-AE14-44CB-B72F-C11468BD0BDA}"/>
    <cellStyle name="Normal 5 4 6" xfId="1354" xr:uid="{22B930D8-488F-4D8B-8394-5D951225B98F}"/>
    <cellStyle name="Normal 5 4 6 2" xfId="4825" xr:uid="{61C7ED33-DBA7-48F3-A9F2-B8B5DD0E1896}"/>
    <cellStyle name="Normal 5 4 6 2 2" xfId="9043" xr:uid="{9DE318EA-C29F-4C07-9D1C-C0A69128972E}"/>
    <cellStyle name="Normal 5 4 6 3" xfId="6898" xr:uid="{851E831C-DA93-4EAC-AA1F-ACEF913CB3EF}"/>
    <cellStyle name="Normal 5 4 6 4" xfId="2596" xr:uid="{F702F4BA-3740-482D-BEDA-0757DBB5BF43}"/>
    <cellStyle name="Normal 5 4 7" xfId="3009" xr:uid="{5A38A49C-51AC-400D-B566-B856132CE4DF}"/>
    <cellStyle name="Normal 5 4 7 2" xfId="5238" xr:uid="{19C5FAD1-0298-4D71-AB4E-65ECF2F74837}"/>
    <cellStyle name="Normal 5 4 7 2 2" xfId="9456" xr:uid="{4DBC8B00-91DC-4938-A4C6-E7ACE8AA4CD7}"/>
    <cellStyle name="Normal 5 4 7 3" xfId="7311" xr:uid="{D4B84E6A-6F37-4B85-80EA-2B9A6C5B672D}"/>
    <cellStyle name="Normal 5 4 8" xfId="3422" xr:uid="{10E56718-5573-46C6-99ED-51DD4DC5F91C}"/>
    <cellStyle name="Normal 5 4 8 2" xfId="5651" xr:uid="{EF8670C5-67DD-43F3-8FFC-4E21178AAFBD}"/>
    <cellStyle name="Normal 5 4 8 2 2" xfId="9869" xr:uid="{95D3E416-AEB6-4843-A279-25F11F6D7AA5}"/>
    <cellStyle name="Normal 5 4 8 3" xfId="7724" xr:uid="{028A81AF-3EB0-4260-9789-A9B512C40D1A}"/>
    <cellStyle name="Normal 5 4 9" xfId="3858" xr:uid="{8A86140E-09B2-4798-9481-398EFA4592A2}"/>
    <cellStyle name="Normal 5 4 9 2" xfId="8137" xr:uid="{508F8F45-864D-43CD-85C9-BA5B0F88C367}"/>
    <cellStyle name="Normal 5 5" xfId="467" xr:uid="{00000000-0005-0000-0000-000045030000}"/>
    <cellStyle name="Normal 5 5 10" xfId="1776" xr:uid="{68FFC12A-4D3F-46C4-8A3F-AF87085760C1}"/>
    <cellStyle name="Normal 5 5 2" xfId="468" xr:uid="{00000000-0005-0000-0000-000046030000}"/>
    <cellStyle name="Normal 5 5 2 2" xfId="469" xr:uid="{00000000-0005-0000-0000-000047030000}"/>
    <cellStyle name="Normal 5 5 2 2 2" xfId="948" xr:uid="{00000000-0005-0000-0000-000048030000}"/>
    <cellStyle name="Normal 5 5 2 2 2 2" xfId="4422" xr:uid="{698B0B34-3596-4236-B7B6-681C46F9A07F}"/>
    <cellStyle name="Normal 5 5 2 2 2 2 2" xfId="8640" xr:uid="{D9D24017-E241-42D4-871B-EF977DC995F6}"/>
    <cellStyle name="Normal 5 5 2 2 2 3" xfId="6495" xr:uid="{FA8383B4-BD79-47FC-A6C4-5D688BFEE492}"/>
    <cellStyle name="Normal 5 5 2 2 2 4" xfId="2193" xr:uid="{24262652-5AA8-48BE-A0B6-B2FF2B81A5F0}"/>
    <cellStyle name="Normal 5 5 2 2 3" xfId="1364" xr:uid="{C91F25B7-242B-4F34-B208-647E2101583C}"/>
    <cellStyle name="Normal 5 5 2 2 3 2" xfId="4835" xr:uid="{B47DA084-93CC-474B-BB03-5C72ED31AE56}"/>
    <cellStyle name="Normal 5 5 2 2 3 2 2" xfId="9053" xr:uid="{164E0481-C4DF-4DF8-84F1-8A577A105C3D}"/>
    <cellStyle name="Normal 5 5 2 2 3 3" xfId="6908" xr:uid="{82FA21A1-04FB-446F-8C5C-29E439D590F7}"/>
    <cellStyle name="Normal 5 5 2 2 3 4" xfId="2606" xr:uid="{9051E0DA-F327-4D50-B3EA-47F1170F0F04}"/>
    <cellStyle name="Normal 5 5 2 2 4" xfId="3019" xr:uid="{DD1F4931-2463-417B-B63F-1242DB67DFD7}"/>
    <cellStyle name="Normal 5 5 2 2 4 2" xfId="5248" xr:uid="{C5771A3B-58E1-4DC7-A04D-60099DB1FB0B}"/>
    <cellStyle name="Normal 5 5 2 2 4 2 2" xfId="9466" xr:uid="{1098F15C-71FC-496E-9083-4B70313D4A2E}"/>
    <cellStyle name="Normal 5 5 2 2 4 3" xfId="7321" xr:uid="{E5A3F3B5-BD28-4D5C-A87E-936296606F74}"/>
    <cellStyle name="Normal 5 5 2 2 5" xfId="3432" xr:uid="{798A5BE6-7BD2-4D2A-8D0A-B8E89997B23B}"/>
    <cellStyle name="Normal 5 5 2 2 5 2" xfId="5661" xr:uid="{B27C394E-A6F2-4696-ADDA-C693BEA9B5CA}"/>
    <cellStyle name="Normal 5 5 2 2 5 2 2" xfId="9879" xr:uid="{71C0A524-2DFF-4584-894B-9F314E18B51F}"/>
    <cellStyle name="Normal 5 5 2 2 5 3" xfId="7734" xr:uid="{0660BDA8-6B22-45EA-8838-464800F87A3C}"/>
    <cellStyle name="Normal 5 5 2 2 6" xfId="3868" xr:uid="{471302BA-2F42-4ADE-9AD9-8E1615117DA2}"/>
    <cellStyle name="Normal 5 5 2 2 6 2" xfId="8147" xr:uid="{EDE032FB-4CB5-4EFB-9A09-28B988AE04DE}"/>
    <cellStyle name="Normal 5 5 2 2 7" xfId="6082" xr:uid="{DC88AF9D-81EC-4FF1-ADC4-FB4E1D6E9E2D}"/>
    <cellStyle name="Normal 5 5 2 2 8" xfId="1778" xr:uid="{6436690F-BDC1-4F27-9904-57E1C4F44898}"/>
    <cellStyle name="Normal 5 5 2 3" xfId="947" xr:uid="{00000000-0005-0000-0000-000049030000}"/>
    <cellStyle name="Normal 5 5 2 3 2" xfId="4421" xr:uid="{EC4E2A84-4453-4FB6-AB8F-81E9E3A0F25A}"/>
    <cellStyle name="Normal 5 5 2 3 2 2" xfId="8639" xr:uid="{E5CF0710-788D-4FDF-9C3B-42B811244296}"/>
    <cellStyle name="Normal 5 5 2 3 3" xfId="6494" xr:uid="{C17FE064-A3F0-42C0-9BC7-14C658F85EC1}"/>
    <cellStyle name="Normal 5 5 2 3 4" xfId="2192" xr:uid="{4BD20A45-4941-406B-A46A-958957E1C3D3}"/>
    <cellStyle name="Normal 5 5 2 4" xfId="1363" xr:uid="{E590A159-1D97-4EA7-BF5D-66DD2008BC3E}"/>
    <cellStyle name="Normal 5 5 2 4 2" xfId="4834" xr:uid="{5C4D2ECE-4D6F-407E-A000-6BCCEBD2954D}"/>
    <cellStyle name="Normal 5 5 2 4 2 2" xfId="9052" xr:uid="{5821D27B-CAA1-4778-A1FE-C89B84803BDD}"/>
    <cellStyle name="Normal 5 5 2 4 3" xfId="6907" xr:uid="{080D301F-99E7-4183-BA52-BE139BEA8CF9}"/>
    <cellStyle name="Normal 5 5 2 4 4" xfId="2605" xr:uid="{C4E4EFF9-73A4-49A6-90A6-BE6B2326EB74}"/>
    <cellStyle name="Normal 5 5 2 5" xfId="3018" xr:uid="{D5A9C863-2088-4650-911D-A6FA1E2DC19B}"/>
    <cellStyle name="Normal 5 5 2 5 2" xfId="5247" xr:uid="{04F4EA18-41A2-4160-8B92-D3CBAD6FABFF}"/>
    <cellStyle name="Normal 5 5 2 5 2 2" xfId="9465" xr:uid="{A7BE8679-1A46-4102-9673-BF7DB13B7C69}"/>
    <cellStyle name="Normal 5 5 2 5 3" xfId="7320" xr:uid="{1E01A08A-8CCA-46A8-AD23-6DA350358A57}"/>
    <cellStyle name="Normal 5 5 2 6" xfId="3431" xr:uid="{D53E8C98-2FD3-44CC-AF61-27E78B09BA06}"/>
    <cellStyle name="Normal 5 5 2 6 2" xfId="5660" xr:uid="{349A20B7-1437-4E75-8DE6-3C913889D556}"/>
    <cellStyle name="Normal 5 5 2 6 2 2" xfId="9878" xr:uid="{14B70B55-2F3E-47E1-B618-29B64795D6C3}"/>
    <cellStyle name="Normal 5 5 2 6 3" xfId="7733" xr:uid="{52960E09-D3AB-4646-BDE6-6F74DFD2E1D4}"/>
    <cellStyle name="Normal 5 5 2 7" xfId="3867" xr:uid="{E0821540-C1B1-4097-8B9C-852D58F74C22}"/>
    <cellStyle name="Normal 5 5 2 7 2" xfId="8146" xr:uid="{A154CB16-9945-4FFC-95AB-3AED13235E1F}"/>
    <cellStyle name="Normal 5 5 2 8" xfId="6081" xr:uid="{F8F3DE3A-68B3-4194-B39E-BF6BE42953DA}"/>
    <cellStyle name="Normal 5 5 2 9" xfId="1777" xr:uid="{54CD7007-C034-4B9B-88D2-EE1AAB5AC458}"/>
    <cellStyle name="Normal 5 5 3" xfId="470" xr:uid="{00000000-0005-0000-0000-00004A030000}"/>
    <cellStyle name="Normal 5 5 3 2" xfId="949" xr:uid="{00000000-0005-0000-0000-00004B030000}"/>
    <cellStyle name="Normal 5 5 3 2 2" xfId="4423" xr:uid="{3BA95C7C-0279-4D2C-81B9-83B4DFE68279}"/>
    <cellStyle name="Normal 5 5 3 2 2 2" xfId="8641" xr:uid="{9E58BFF8-7327-447D-9CA2-B34E83C69543}"/>
    <cellStyle name="Normal 5 5 3 2 3" xfId="6496" xr:uid="{6BBEAD9D-5E97-46DD-A4C1-6BD3EE9AB7E0}"/>
    <cellStyle name="Normal 5 5 3 2 4" xfId="2194" xr:uid="{C6213AA5-5A2F-45EA-94D8-DBC0310743C1}"/>
    <cellStyle name="Normal 5 5 3 3" xfId="1365" xr:uid="{9A2678E6-CA21-4E24-9BAD-92E503B60C27}"/>
    <cellStyle name="Normal 5 5 3 3 2" xfId="4836" xr:uid="{F7A071F7-C2CB-4DA2-BFF8-E75416C38C26}"/>
    <cellStyle name="Normal 5 5 3 3 2 2" xfId="9054" xr:uid="{225A36B8-10E0-40B3-A38E-27AC00D73E4D}"/>
    <cellStyle name="Normal 5 5 3 3 3" xfId="6909" xr:uid="{8A97CFA3-0E41-4466-89DD-1A6C5F4F3674}"/>
    <cellStyle name="Normal 5 5 3 3 4" xfId="2607" xr:uid="{CB433305-374B-410A-98D8-7E2270B21F0F}"/>
    <cellStyle name="Normal 5 5 3 4" xfId="3020" xr:uid="{7F58F719-B0AD-4621-A8D9-070CF11B1B21}"/>
    <cellStyle name="Normal 5 5 3 4 2" xfId="5249" xr:uid="{637BBFDA-BDDF-4259-9EBD-B1902EEF8EC8}"/>
    <cellStyle name="Normal 5 5 3 4 2 2" xfId="9467" xr:uid="{395BA27C-2C9D-4ED3-8AFE-14B60A399052}"/>
    <cellStyle name="Normal 5 5 3 4 3" xfId="7322" xr:uid="{949CBF2C-D8E7-4E24-808A-E890B55C0905}"/>
    <cellStyle name="Normal 5 5 3 5" xfId="3433" xr:uid="{0765D744-8338-41DC-AFE3-B9C04137BB92}"/>
    <cellStyle name="Normal 5 5 3 5 2" xfId="5662" xr:uid="{6FE4EA18-BC9E-4905-AA03-D268720C8486}"/>
    <cellStyle name="Normal 5 5 3 5 2 2" xfId="9880" xr:uid="{93DE8014-4031-4426-84E1-FF8AF3782AB6}"/>
    <cellStyle name="Normal 5 5 3 5 3" xfId="7735" xr:uid="{9FE4905E-3720-485D-A84C-C2D177BE8CB8}"/>
    <cellStyle name="Normal 5 5 3 6" xfId="3869" xr:uid="{B2D80B87-177E-4C39-B426-1B91A484A6B3}"/>
    <cellStyle name="Normal 5 5 3 6 2" xfId="8148" xr:uid="{3ADF10D7-4A1C-47A6-852A-6EDF1135D7BD}"/>
    <cellStyle name="Normal 5 5 3 7" xfId="6083" xr:uid="{74332E97-CAAF-495C-A7CF-503A2BE4D9D0}"/>
    <cellStyle name="Normal 5 5 3 8" xfId="1779" xr:uid="{C55CC164-78C3-4968-A2A5-AD9CBA334A02}"/>
    <cellStyle name="Normal 5 5 4" xfId="946" xr:uid="{00000000-0005-0000-0000-00004C030000}"/>
    <cellStyle name="Normal 5 5 4 2" xfId="4420" xr:uid="{A773C0B2-C121-49A5-A582-DE12FF93CBC2}"/>
    <cellStyle name="Normal 5 5 4 2 2" xfId="8638" xr:uid="{8EB8B896-570A-420B-A16C-6D06FDA631A4}"/>
    <cellStyle name="Normal 5 5 4 3" xfId="6493" xr:uid="{AD239630-99DC-4D3E-A26B-AE9E88805E7F}"/>
    <cellStyle name="Normal 5 5 4 4" xfId="2191" xr:uid="{B1B744B1-863E-49F6-A5AD-617E64305F1E}"/>
    <cellStyle name="Normal 5 5 5" xfId="1362" xr:uid="{90A085D6-6282-4B64-89BA-68EEED0E8217}"/>
    <cellStyle name="Normal 5 5 5 2" xfId="4833" xr:uid="{D53E13AC-86FD-469F-8BBF-6F87877396A7}"/>
    <cellStyle name="Normal 5 5 5 2 2" xfId="9051" xr:uid="{008BB07E-8B4F-4929-BA80-D407CAEE53B5}"/>
    <cellStyle name="Normal 5 5 5 3" xfId="6906" xr:uid="{F0202008-4C8E-429C-857B-F31B78FC5E03}"/>
    <cellStyle name="Normal 5 5 5 4" xfId="2604" xr:uid="{A1F97B67-7C68-473B-A48E-6BF1D920D74A}"/>
    <cellStyle name="Normal 5 5 6" xfId="3017" xr:uid="{1B983034-48A8-4E17-9E6D-E5BB79BB88F2}"/>
    <cellStyle name="Normal 5 5 6 2" xfId="5246" xr:uid="{E37A5D43-7124-408F-98A5-9EE070E6F437}"/>
    <cellStyle name="Normal 5 5 6 2 2" xfId="9464" xr:uid="{907EA010-3CD0-4D60-958C-8C4F263D07AA}"/>
    <cellStyle name="Normal 5 5 6 3" xfId="7319" xr:uid="{26C86034-41AB-45B2-9F5F-58E7114BB267}"/>
    <cellStyle name="Normal 5 5 7" xfId="3430" xr:uid="{C73F421B-B23B-4BE2-9B89-4485EB5E035E}"/>
    <cellStyle name="Normal 5 5 7 2" xfId="5659" xr:uid="{682EB626-99F7-42C2-9A99-B2A606A542AD}"/>
    <cellStyle name="Normal 5 5 7 2 2" xfId="9877" xr:uid="{EFE1BC84-5FAF-4707-9AFA-10855B321AA9}"/>
    <cellStyle name="Normal 5 5 7 3" xfId="7732" xr:uid="{47D86F77-F820-4EED-820A-40450CBB9357}"/>
    <cellStyle name="Normal 5 5 8" xfId="3866" xr:uid="{168E42E3-F5E8-4381-B20A-B5B580651C95}"/>
    <cellStyle name="Normal 5 5 8 2" xfId="8145" xr:uid="{5DB016B1-0EE9-4963-A138-BC7510EBD5DC}"/>
    <cellStyle name="Normal 5 5 9" xfId="6080" xr:uid="{C2B5C5CC-080F-4099-AF6A-AABCC33C84D8}"/>
    <cellStyle name="Normal 5 6" xfId="471" xr:uid="{00000000-0005-0000-0000-00004D030000}"/>
    <cellStyle name="Normal 5 6 2" xfId="472" xr:uid="{00000000-0005-0000-0000-00004E030000}"/>
    <cellStyle name="Normal 5 6 2 2" xfId="951" xr:uid="{00000000-0005-0000-0000-00004F030000}"/>
    <cellStyle name="Normal 5 6 2 2 2" xfId="4425" xr:uid="{9A8E3E8D-D6A1-4D09-A9BA-1061FE1B4F50}"/>
    <cellStyle name="Normal 5 6 2 2 2 2" xfId="8643" xr:uid="{93DB0A27-1753-47C0-A80B-B65A18A05668}"/>
    <cellStyle name="Normal 5 6 2 2 3" xfId="6498" xr:uid="{691B58FB-5E26-4818-8683-0F9BC0357261}"/>
    <cellStyle name="Normal 5 6 2 2 4" xfId="2196" xr:uid="{FF4FA051-DDFA-4ACF-933F-27C1A440327D}"/>
    <cellStyle name="Normal 5 6 2 3" xfId="1367" xr:uid="{078E84BC-A5B1-499F-BEFE-D9807F8A746C}"/>
    <cellStyle name="Normal 5 6 2 3 2" xfId="4838" xr:uid="{279DD6D5-21F9-4773-896C-DFB4373FC954}"/>
    <cellStyle name="Normal 5 6 2 3 2 2" xfId="9056" xr:uid="{5FA929F6-225E-4E08-A021-B2DAE9EA29C5}"/>
    <cellStyle name="Normal 5 6 2 3 3" xfId="6911" xr:uid="{39BFBDC6-984D-4E74-8548-E273EBE53F29}"/>
    <cellStyle name="Normal 5 6 2 3 4" xfId="2609" xr:uid="{020AD620-A1D5-4F6C-95F2-F59166AF477C}"/>
    <cellStyle name="Normal 5 6 2 4" xfId="3022" xr:uid="{6D38CA5C-10C8-441A-8B21-013260257FBA}"/>
    <cellStyle name="Normal 5 6 2 4 2" xfId="5251" xr:uid="{25659D04-C735-4800-BED3-0C63FA85D466}"/>
    <cellStyle name="Normal 5 6 2 4 2 2" xfId="9469" xr:uid="{78DE9F0B-E71A-460A-B303-19E3C940E443}"/>
    <cellStyle name="Normal 5 6 2 4 3" xfId="7324" xr:uid="{22CCA4F7-0DA5-47AD-8989-F1309A66F812}"/>
    <cellStyle name="Normal 5 6 2 5" xfId="3435" xr:uid="{55C1DDC9-2F55-4B58-903D-1D3B9225A582}"/>
    <cellStyle name="Normal 5 6 2 5 2" xfId="5664" xr:uid="{3D1E7FAB-6101-4864-B8B0-8FCCA38D28BB}"/>
    <cellStyle name="Normal 5 6 2 5 2 2" xfId="9882" xr:uid="{94135645-8DB4-4EA6-98BC-870EC51D4659}"/>
    <cellStyle name="Normal 5 6 2 5 3" xfId="7737" xr:uid="{BCBA8395-7811-4DD4-9999-2A4C9998F3AF}"/>
    <cellStyle name="Normal 5 6 2 6" xfId="3871" xr:uid="{2C0DAEA0-E13A-4F88-8126-70F2AE41C3E4}"/>
    <cellStyle name="Normal 5 6 2 6 2" xfId="8150" xr:uid="{1BF50EA3-61C5-463F-B6A5-2D290241CC22}"/>
    <cellStyle name="Normal 5 6 2 7" xfId="6085" xr:uid="{779E3043-E8AC-4448-BE77-DA751730DDA5}"/>
    <cellStyle name="Normal 5 6 2 8" xfId="1781" xr:uid="{140E1662-D32F-4112-9487-D11443421A8B}"/>
    <cellStyle name="Normal 5 6 3" xfId="950" xr:uid="{00000000-0005-0000-0000-000050030000}"/>
    <cellStyle name="Normal 5 6 3 2" xfId="4424" xr:uid="{8ED19EB0-C3D6-4011-B434-92F27CAC8533}"/>
    <cellStyle name="Normal 5 6 3 2 2" xfId="8642" xr:uid="{6F540EC4-C05F-4CCE-A01B-0905CC172B9F}"/>
    <cellStyle name="Normal 5 6 3 3" xfId="6497" xr:uid="{67757432-773B-419D-BDF3-66267E796BDD}"/>
    <cellStyle name="Normal 5 6 3 4" xfId="2195" xr:uid="{A5B20C4C-2D2D-4928-8852-69CEACFC9D5A}"/>
    <cellStyle name="Normal 5 6 4" xfId="1366" xr:uid="{7B6D7674-B2F7-4A27-8C2E-A24B2616FEEA}"/>
    <cellStyle name="Normal 5 6 4 2" xfId="4837" xr:uid="{FD3B425E-E306-45C8-95D2-7B9824A29DEF}"/>
    <cellStyle name="Normal 5 6 4 2 2" xfId="9055" xr:uid="{BC220FFC-C828-444A-B39B-879DA01323DC}"/>
    <cellStyle name="Normal 5 6 4 3" xfId="6910" xr:uid="{F6DAF879-44C8-4046-ADF7-BD048346BC9A}"/>
    <cellStyle name="Normal 5 6 4 4" xfId="2608" xr:uid="{EAF77D3F-483C-48D0-B9C3-419B0ED1C149}"/>
    <cellStyle name="Normal 5 6 5" xfId="3021" xr:uid="{16120C3C-C52A-4DB8-A833-76DE0B538B56}"/>
    <cellStyle name="Normal 5 6 5 2" xfId="5250" xr:uid="{E62E92A6-1856-4071-89F7-E8CB2F95BA57}"/>
    <cellStyle name="Normal 5 6 5 2 2" xfId="9468" xr:uid="{ED00E146-3A66-4AC2-8BF2-0A64908E8B18}"/>
    <cellStyle name="Normal 5 6 5 3" xfId="7323" xr:uid="{A164A9F3-FA91-4028-A355-74FFDEA86FC8}"/>
    <cellStyle name="Normal 5 6 6" xfId="3434" xr:uid="{1FA9621C-463E-459C-9876-13968B896365}"/>
    <cellStyle name="Normal 5 6 6 2" xfId="5663" xr:uid="{578578A0-DB02-4F34-B6DC-4AFDE7903EE0}"/>
    <cellStyle name="Normal 5 6 6 2 2" xfId="9881" xr:uid="{F54BA750-3DF7-428B-9102-7FC6B1852C57}"/>
    <cellStyle name="Normal 5 6 6 3" xfId="7736" xr:uid="{AE53D13F-772F-4415-BE8D-D5D380905B48}"/>
    <cellStyle name="Normal 5 6 7" xfId="3870" xr:uid="{59943152-DC03-46D4-AA8D-CBDB0D449F8D}"/>
    <cellStyle name="Normal 5 6 7 2" xfId="8149" xr:uid="{B18FD5CC-0BC4-4D9A-87BB-3EDBFE741467}"/>
    <cellStyle name="Normal 5 6 8" xfId="6084" xr:uid="{CEE1A710-824D-46B5-A867-A9BC87614342}"/>
    <cellStyle name="Normal 5 6 9" xfId="1780" xr:uid="{A60CD4DE-4455-4F79-8C8A-6DCD60A66FBB}"/>
    <cellStyle name="Normal 5 7" xfId="473" xr:uid="{00000000-0005-0000-0000-000051030000}"/>
    <cellStyle name="Normal 5 7 2" xfId="952" xr:uid="{00000000-0005-0000-0000-000052030000}"/>
    <cellStyle name="Normal 5 7 2 2" xfId="4426" xr:uid="{53276CF0-1D09-481A-86C0-D689ABFAB45A}"/>
    <cellStyle name="Normal 5 7 2 2 2" xfId="8644" xr:uid="{EED735C6-BFC6-45C9-B28E-7BA88BFB82A7}"/>
    <cellStyle name="Normal 5 7 2 3" xfId="6499" xr:uid="{D3E3126F-7D08-4D74-BFD0-70F8FBEEE468}"/>
    <cellStyle name="Normal 5 7 2 4" xfId="2197" xr:uid="{89C49AD0-C049-40F1-AD4E-F9A4B7AD162F}"/>
    <cellStyle name="Normal 5 7 3" xfId="1368" xr:uid="{505D5A02-2909-406A-9B76-5FBAFE5B48B7}"/>
    <cellStyle name="Normal 5 7 3 2" xfId="4839" xr:uid="{211AEB1F-A776-4E95-B5BD-64E4686E5EB6}"/>
    <cellStyle name="Normal 5 7 3 2 2" xfId="9057" xr:uid="{F9326AFA-5E67-47A4-AFA2-17DE518DA3B8}"/>
    <cellStyle name="Normal 5 7 3 3" xfId="6912" xr:uid="{2D925F76-CDE9-4BA0-AB50-F326EC047800}"/>
    <cellStyle name="Normal 5 7 3 4" xfId="2610" xr:uid="{AF952C20-E42C-47AE-A6B7-E6C21873C323}"/>
    <cellStyle name="Normal 5 7 4" xfId="3023" xr:uid="{1E4FE82E-F369-4002-A6B2-99A8D0AB81B7}"/>
    <cellStyle name="Normal 5 7 4 2" xfId="5252" xr:uid="{CA15CEF3-B1C4-4DD2-948C-99F4C609CB0C}"/>
    <cellStyle name="Normal 5 7 4 2 2" xfId="9470" xr:uid="{BCB6DD47-40BC-4D32-BBE8-66191A27069B}"/>
    <cellStyle name="Normal 5 7 4 3" xfId="7325" xr:uid="{686C42C0-5565-4612-ABB3-18DF40EC5B06}"/>
    <cellStyle name="Normal 5 7 5" xfId="3436" xr:uid="{34EB8D1A-AFDA-4F34-853D-883EAAE0D5E0}"/>
    <cellStyle name="Normal 5 7 5 2" xfId="5665" xr:uid="{B5C7AF3F-1656-4C64-90FC-CBC516ACE42D}"/>
    <cellStyle name="Normal 5 7 5 2 2" xfId="9883" xr:uid="{0017F611-0FDB-441C-A1B2-2998DD09B97F}"/>
    <cellStyle name="Normal 5 7 5 3" xfId="7738" xr:uid="{5B23F63C-61F2-4B08-8CB8-575DEDD9DBF6}"/>
    <cellStyle name="Normal 5 7 6" xfId="3872" xr:uid="{5D32E4B2-E8FB-4EC3-A710-68209866E1D1}"/>
    <cellStyle name="Normal 5 7 6 2" xfId="8151" xr:uid="{CA28798B-37CA-4D7F-97C9-9787EF2F9AC1}"/>
    <cellStyle name="Normal 5 7 7" xfId="6086" xr:uid="{501CC008-E27B-4D00-B601-86548380E744}"/>
    <cellStyle name="Normal 5 7 8" xfId="1782" xr:uid="{E19DB68C-C524-423E-94DD-5E9A972A4E84}"/>
    <cellStyle name="Normal 5 8" xfId="888" xr:uid="{00000000-0005-0000-0000-000053030000}"/>
    <cellStyle name="Normal 5 8 2" xfId="4363" xr:uid="{D6E94112-5209-4BF9-B3BC-D81BD7E48051}"/>
    <cellStyle name="Normal 5 8 2 2" xfId="8581" xr:uid="{4484C080-A5E9-4472-926C-1432985EC8CD}"/>
    <cellStyle name="Normal 5 8 3" xfId="6436" xr:uid="{2AEE057C-BB0A-4BC7-A598-3388E6C55657}"/>
    <cellStyle name="Normal 5 8 4" xfId="2134" xr:uid="{0C15DAED-A461-44FE-B956-FDC2622113CD}"/>
    <cellStyle name="Normal 5 9" xfId="1305" xr:uid="{4CF01056-C7DE-4C5F-9562-7EDAF6D600D0}"/>
    <cellStyle name="Normal 5 9 2" xfId="4776" xr:uid="{98F9163A-83F6-49EE-9C89-5DF4401555C8}"/>
    <cellStyle name="Normal 5 9 2 2" xfId="8994" xr:uid="{85A5C6E5-4996-49DD-8523-B127222D9024}"/>
    <cellStyle name="Normal 5 9 3" xfId="6849" xr:uid="{4BECAB87-B0B7-49E7-9776-C44CE93D5D7D}"/>
    <cellStyle name="Normal 5 9 4" xfId="2547" xr:uid="{73BBF052-F7EA-4EAB-AC74-131DC52AEA9F}"/>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437" xr:uid="{8BF45297-A033-4270-9180-855DEAD3157E}"/>
    <cellStyle name="Normal 8 10 2" xfId="5666" xr:uid="{992FC7DF-D95A-4985-83FF-8B6723525590}"/>
    <cellStyle name="Normal 8 10 2 2" xfId="9884" xr:uid="{C6C5162B-BD5F-45C7-9994-51DD85F386E1}"/>
    <cellStyle name="Normal 8 10 3" xfId="7739" xr:uid="{6B88DC10-25CE-4D8A-8FA5-8372AEAC6FE5}"/>
    <cellStyle name="Normal 8 11" xfId="3873" xr:uid="{00648913-785A-468F-A608-A56812C3E228}"/>
    <cellStyle name="Normal 8 11 2" xfId="8152" xr:uid="{C7EA47A1-A3E0-4C55-B208-104D06994856}"/>
    <cellStyle name="Normal 8 12" xfId="6087" xr:uid="{C6D37939-78BC-414C-9506-94E4D2ACA89B}"/>
    <cellStyle name="Normal 8 13" xfId="1783" xr:uid="{1D2E75A9-B4EC-4CEC-8864-7B1D9BE9EF16}"/>
    <cellStyle name="Normal 8 2" xfId="482" xr:uid="{00000000-0005-0000-0000-00005C030000}"/>
    <cellStyle name="Normal 8 2 10" xfId="3874" xr:uid="{FFA54591-6102-4F30-BE1C-C7C7229A3133}"/>
    <cellStyle name="Normal 8 2 10 2" xfId="8153" xr:uid="{B5D4847D-C0BB-4349-ACDF-890FC0AF4412}"/>
    <cellStyle name="Normal 8 2 11" xfId="6088" xr:uid="{C6CADC23-EDAD-4E51-AEAE-4ECF11D26EAC}"/>
    <cellStyle name="Normal 8 2 12" xfId="1784" xr:uid="{B1E46128-E5C5-4625-A312-8BF02D7F0474}"/>
    <cellStyle name="Normal 8 2 2" xfId="483" xr:uid="{00000000-0005-0000-0000-00005D030000}"/>
    <cellStyle name="Normal 8 2 2 10" xfId="6089" xr:uid="{16831750-5483-44EE-AA79-C72C1583BF15}"/>
    <cellStyle name="Normal 8 2 2 11" xfId="1785" xr:uid="{8A46E8FB-32E5-4D3E-A258-EDDE2CA18670}"/>
    <cellStyle name="Normal 8 2 2 2" xfId="484" xr:uid="{00000000-0005-0000-0000-00005E030000}"/>
    <cellStyle name="Normal 8 2 2 2 10" xfId="1786" xr:uid="{DF7F5F6D-34F4-47C8-A4D3-48BBF8B6491B}"/>
    <cellStyle name="Normal 8 2 2 2 2" xfId="485" xr:uid="{00000000-0005-0000-0000-00005F030000}"/>
    <cellStyle name="Normal 8 2 2 2 2 2" xfId="486" xr:uid="{00000000-0005-0000-0000-000060030000}"/>
    <cellStyle name="Normal 8 2 2 2 2 2 2" xfId="958" xr:uid="{00000000-0005-0000-0000-000061030000}"/>
    <cellStyle name="Normal 8 2 2 2 2 2 2 2" xfId="4432" xr:uid="{4CE8976E-D972-4695-B7A6-45735D4222DB}"/>
    <cellStyle name="Normal 8 2 2 2 2 2 2 2 2" xfId="8650" xr:uid="{D3655467-9473-4AA8-87C5-A81524003B81}"/>
    <cellStyle name="Normal 8 2 2 2 2 2 2 3" xfId="6505" xr:uid="{323CCB07-BEEB-4280-BF45-F98B4C3AA650}"/>
    <cellStyle name="Normal 8 2 2 2 2 2 2 4" xfId="2203" xr:uid="{13BFE3F0-AE15-46B1-A715-4892A28BEC44}"/>
    <cellStyle name="Normal 8 2 2 2 2 2 3" xfId="1374" xr:uid="{EDF4C086-75B0-4A2B-81A4-C2A5CD226DB3}"/>
    <cellStyle name="Normal 8 2 2 2 2 2 3 2" xfId="4845" xr:uid="{BB0E7F2C-E3C9-4383-9766-DC10A9BA8866}"/>
    <cellStyle name="Normal 8 2 2 2 2 2 3 2 2" xfId="9063" xr:uid="{7F6D16C3-E3C8-4078-A3AC-F094A4BB0429}"/>
    <cellStyle name="Normal 8 2 2 2 2 2 3 3" xfId="6918" xr:uid="{B1E93898-7142-46C5-BAAA-1E3E0EEE9A01}"/>
    <cellStyle name="Normal 8 2 2 2 2 2 3 4" xfId="2616" xr:uid="{9F43F449-4EA2-4055-9B20-490135100E0C}"/>
    <cellStyle name="Normal 8 2 2 2 2 2 4" xfId="3029" xr:uid="{DB1A0E71-E228-4BC7-BBC1-107EE7D3E05D}"/>
    <cellStyle name="Normal 8 2 2 2 2 2 4 2" xfId="5258" xr:uid="{EA487F8D-58E1-4D6A-8743-4A2E85BA7BB7}"/>
    <cellStyle name="Normal 8 2 2 2 2 2 4 2 2" xfId="9476" xr:uid="{C6816A66-7F5C-4D6B-B61A-D718690F6A58}"/>
    <cellStyle name="Normal 8 2 2 2 2 2 4 3" xfId="7331" xr:uid="{C5925D85-23A6-4E3A-89B9-A7EDA5D85528}"/>
    <cellStyle name="Normal 8 2 2 2 2 2 5" xfId="3442" xr:uid="{8849C75D-6C95-485B-8682-39121DE52593}"/>
    <cellStyle name="Normal 8 2 2 2 2 2 5 2" xfId="5671" xr:uid="{D95824D0-14CE-476A-9D64-6BF290E2401A}"/>
    <cellStyle name="Normal 8 2 2 2 2 2 5 2 2" xfId="9889" xr:uid="{E021A10D-6BDA-4A81-A25E-26F9AC55A825}"/>
    <cellStyle name="Normal 8 2 2 2 2 2 5 3" xfId="7744" xr:uid="{ACBE2BB3-2A34-4DA4-ABA9-24709CF198A7}"/>
    <cellStyle name="Normal 8 2 2 2 2 2 6" xfId="3878" xr:uid="{3416FEB6-A834-4E57-97D3-EC6CA2CB30B2}"/>
    <cellStyle name="Normal 8 2 2 2 2 2 6 2" xfId="8157" xr:uid="{D2523B7C-8A1B-44BF-8565-40D8409E18E3}"/>
    <cellStyle name="Normal 8 2 2 2 2 2 7" xfId="6092" xr:uid="{A3DD2385-8B8C-4750-93F4-16695F4397D9}"/>
    <cellStyle name="Normal 8 2 2 2 2 2 8" xfId="1788" xr:uid="{DC21EB1C-B349-488B-855A-8708FB2DBF10}"/>
    <cellStyle name="Normal 8 2 2 2 2 3" xfId="957" xr:uid="{00000000-0005-0000-0000-000062030000}"/>
    <cellStyle name="Normal 8 2 2 2 2 3 2" xfId="4431" xr:uid="{3BE1086B-BA94-4EB8-9AA9-C3021BDBDD74}"/>
    <cellStyle name="Normal 8 2 2 2 2 3 2 2" xfId="8649" xr:uid="{047D60FA-3235-4721-AC91-85079B54C690}"/>
    <cellStyle name="Normal 8 2 2 2 2 3 3" xfId="6504" xr:uid="{7F5A9B92-0E0F-43F9-81C7-71A713842433}"/>
    <cellStyle name="Normal 8 2 2 2 2 3 4" xfId="2202" xr:uid="{3DAC2694-A8E8-4482-9446-A23FF795FAEC}"/>
    <cellStyle name="Normal 8 2 2 2 2 4" xfId="1373" xr:uid="{816A177E-ED62-4033-B1BE-E044C9331841}"/>
    <cellStyle name="Normal 8 2 2 2 2 4 2" xfId="4844" xr:uid="{5E9BE183-4B23-445F-8363-B7BCAFF8BC4E}"/>
    <cellStyle name="Normal 8 2 2 2 2 4 2 2" xfId="9062" xr:uid="{0D2A721F-E2BA-4775-BA61-DE2456A40AD6}"/>
    <cellStyle name="Normal 8 2 2 2 2 4 3" xfId="6917" xr:uid="{B6E0D0C8-48C5-4956-8EF0-7DCB469EAA5C}"/>
    <cellStyle name="Normal 8 2 2 2 2 4 4" xfId="2615" xr:uid="{53212905-7796-4BB5-9D36-B2425097EE9B}"/>
    <cellStyle name="Normal 8 2 2 2 2 5" xfId="3028" xr:uid="{C0539D56-2E31-4249-BFC8-663D2C73F852}"/>
    <cellStyle name="Normal 8 2 2 2 2 5 2" xfId="5257" xr:uid="{782B22EB-E9B7-4715-8180-1A71974D77CD}"/>
    <cellStyle name="Normal 8 2 2 2 2 5 2 2" xfId="9475" xr:uid="{EB97FA15-2BFB-42C0-BAB3-96C9F8B64060}"/>
    <cellStyle name="Normal 8 2 2 2 2 5 3" xfId="7330" xr:uid="{080A5F74-2823-4081-81FD-0042F88B290D}"/>
    <cellStyle name="Normal 8 2 2 2 2 6" xfId="3441" xr:uid="{8B550729-E6C8-4AFB-86D9-E0EAD08246B9}"/>
    <cellStyle name="Normal 8 2 2 2 2 6 2" xfId="5670" xr:uid="{51E756CD-C3D6-40F7-A785-449C698D0345}"/>
    <cellStyle name="Normal 8 2 2 2 2 6 2 2" xfId="9888" xr:uid="{E3ACC331-4E67-4836-BB95-44DE77BCC526}"/>
    <cellStyle name="Normal 8 2 2 2 2 6 3" xfId="7743" xr:uid="{BC733081-DA67-478E-BC48-29E62A620324}"/>
    <cellStyle name="Normal 8 2 2 2 2 7" xfId="3877" xr:uid="{4720B348-88F5-4BEC-BEB9-DFB3608670F0}"/>
    <cellStyle name="Normal 8 2 2 2 2 7 2" xfId="8156" xr:uid="{0C199C5C-8884-4051-848B-D8E7DE532FF9}"/>
    <cellStyle name="Normal 8 2 2 2 2 8" xfId="6091" xr:uid="{95E2C6C8-8785-4304-B0E3-ADEC6D31C30B}"/>
    <cellStyle name="Normal 8 2 2 2 2 9" xfId="1787" xr:uid="{056A58AE-75FF-4F18-8ED7-7D28836EA5E0}"/>
    <cellStyle name="Normal 8 2 2 2 3" xfId="487" xr:uid="{00000000-0005-0000-0000-000063030000}"/>
    <cellStyle name="Normal 8 2 2 2 3 2" xfId="959" xr:uid="{00000000-0005-0000-0000-000064030000}"/>
    <cellStyle name="Normal 8 2 2 2 3 2 2" xfId="4433" xr:uid="{47AA22B2-E6AD-49E1-B2E8-CD7FA0229DF4}"/>
    <cellStyle name="Normal 8 2 2 2 3 2 2 2" xfId="8651" xr:uid="{1650B0EE-5577-4ACC-97C3-714706F49CE1}"/>
    <cellStyle name="Normal 8 2 2 2 3 2 3" xfId="6506" xr:uid="{62097960-A276-4685-82CC-EAEC5E9F599E}"/>
    <cellStyle name="Normal 8 2 2 2 3 2 4" xfId="2204" xr:uid="{3873708D-B1F2-4A9B-A3AF-3EA803FFD029}"/>
    <cellStyle name="Normal 8 2 2 2 3 3" xfId="1375" xr:uid="{45CFBA2F-ED71-4F8A-A013-43D9CD352D40}"/>
    <cellStyle name="Normal 8 2 2 2 3 3 2" xfId="4846" xr:uid="{9E8640C9-104A-4F1B-9B1B-8B3420C8CED0}"/>
    <cellStyle name="Normal 8 2 2 2 3 3 2 2" xfId="9064" xr:uid="{B6683F09-36D3-4593-8891-F8967032FB56}"/>
    <cellStyle name="Normal 8 2 2 2 3 3 3" xfId="6919" xr:uid="{3D3D080E-2C25-4442-81C6-1D644613B822}"/>
    <cellStyle name="Normal 8 2 2 2 3 3 4" xfId="2617" xr:uid="{1DEC54DC-F00C-44E0-8F59-DA14155228CE}"/>
    <cellStyle name="Normal 8 2 2 2 3 4" xfId="3030" xr:uid="{9B0ACC46-8BD8-4697-968C-7F916F26B1D4}"/>
    <cellStyle name="Normal 8 2 2 2 3 4 2" xfId="5259" xr:uid="{668B6978-1CE6-46DD-98DF-50F7525DE8B0}"/>
    <cellStyle name="Normal 8 2 2 2 3 4 2 2" xfId="9477" xr:uid="{AB6E2596-F4E5-41E0-A3E6-CFBF3BE00985}"/>
    <cellStyle name="Normal 8 2 2 2 3 4 3" xfId="7332" xr:uid="{7C6AD13D-584D-4ED0-94DC-B8EBA8FB9C83}"/>
    <cellStyle name="Normal 8 2 2 2 3 5" xfId="3443" xr:uid="{2A61F985-F0F2-480E-9D41-63C730A340C8}"/>
    <cellStyle name="Normal 8 2 2 2 3 5 2" xfId="5672" xr:uid="{7F1AC30E-E720-4138-8640-DED38AF35AB1}"/>
    <cellStyle name="Normal 8 2 2 2 3 5 2 2" xfId="9890" xr:uid="{FF341767-2CE5-4CF4-870B-A8774635E087}"/>
    <cellStyle name="Normal 8 2 2 2 3 5 3" xfId="7745" xr:uid="{6B9DD645-2F43-4DCA-9226-3AAC58FF1986}"/>
    <cellStyle name="Normal 8 2 2 2 3 6" xfId="3879" xr:uid="{A9159976-469E-4D81-994E-2FF7DA0EA823}"/>
    <cellStyle name="Normal 8 2 2 2 3 6 2" xfId="8158" xr:uid="{AB10D9D2-1438-4B2A-A14A-410C2C297CFD}"/>
    <cellStyle name="Normal 8 2 2 2 3 7" xfId="6093" xr:uid="{EB22F13D-DA94-4697-8F2D-8521498C41E3}"/>
    <cellStyle name="Normal 8 2 2 2 3 8" xfId="1789" xr:uid="{0F072F87-0059-47FA-8F43-88A39FE81B1B}"/>
    <cellStyle name="Normal 8 2 2 2 4" xfId="956" xr:uid="{00000000-0005-0000-0000-000065030000}"/>
    <cellStyle name="Normal 8 2 2 2 4 2" xfId="4430" xr:uid="{D38CDF46-9758-4240-93C1-4062E5815B68}"/>
    <cellStyle name="Normal 8 2 2 2 4 2 2" xfId="8648" xr:uid="{1D30575E-F781-4A06-AC10-E6FDAEBC4CCE}"/>
    <cellStyle name="Normal 8 2 2 2 4 3" xfId="6503" xr:uid="{741C59E5-EAAF-4A9E-9EFF-4873A4C2AF2D}"/>
    <cellStyle name="Normal 8 2 2 2 4 4" xfId="2201" xr:uid="{D057075C-38D2-4F40-9B13-86673A162BBE}"/>
    <cellStyle name="Normal 8 2 2 2 5" xfId="1372" xr:uid="{F6DAD9F3-7A06-4316-9A9A-D51793AA00D8}"/>
    <cellStyle name="Normal 8 2 2 2 5 2" xfId="4843" xr:uid="{1EB636F8-1652-4D33-AFB8-AD42F0952841}"/>
    <cellStyle name="Normal 8 2 2 2 5 2 2" xfId="9061" xr:uid="{BE410A25-7EF7-483D-BEAF-67E6DAD3E150}"/>
    <cellStyle name="Normal 8 2 2 2 5 3" xfId="6916" xr:uid="{76DB86BA-DF5D-46C7-AE16-07034D253482}"/>
    <cellStyle name="Normal 8 2 2 2 5 4" xfId="2614" xr:uid="{371F4208-C29D-474C-A8F3-99F90CDDB8CB}"/>
    <cellStyle name="Normal 8 2 2 2 6" xfId="3027" xr:uid="{54D9DF3D-CEEC-46A1-A422-482EF3B3BDBE}"/>
    <cellStyle name="Normal 8 2 2 2 6 2" xfId="5256" xr:uid="{4578966E-8C1B-4C74-927F-5B6F99BE6FAF}"/>
    <cellStyle name="Normal 8 2 2 2 6 2 2" xfId="9474" xr:uid="{23C47BD9-01B3-43F6-BF28-691CA91197BF}"/>
    <cellStyle name="Normal 8 2 2 2 6 3" xfId="7329" xr:uid="{BE6A029C-C3D6-416B-BE5A-8FB844F1E118}"/>
    <cellStyle name="Normal 8 2 2 2 7" xfId="3440" xr:uid="{18A9DB6B-6727-4B9F-9471-3A09FB9321BD}"/>
    <cellStyle name="Normal 8 2 2 2 7 2" xfId="5669" xr:uid="{323FECE7-B6B8-4164-92F1-8FAC46D6ADB0}"/>
    <cellStyle name="Normal 8 2 2 2 7 2 2" xfId="9887" xr:uid="{311A7344-D90F-4913-8D82-0FC51985F9CC}"/>
    <cellStyle name="Normal 8 2 2 2 7 3" xfId="7742" xr:uid="{F95266FC-FD38-44BB-8F4C-EE726A6420F2}"/>
    <cellStyle name="Normal 8 2 2 2 8" xfId="3876" xr:uid="{58386524-B404-431C-AA0C-B88FF1D817F2}"/>
    <cellStyle name="Normal 8 2 2 2 8 2" xfId="8155" xr:uid="{F9E26943-BB2C-464F-B5DF-BCC801602E72}"/>
    <cellStyle name="Normal 8 2 2 2 9" xfId="6090" xr:uid="{06D2780F-6AAD-401A-9EF9-A88BD68082B8}"/>
    <cellStyle name="Normal 8 2 2 3" xfId="488" xr:uid="{00000000-0005-0000-0000-000066030000}"/>
    <cellStyle name="Normal 8 2 2 3 2" xfId="489" xr:uid="{00000000-0005-0000-0000-000067030000}"/>
    <cellStyle name="Normal 8 2 2 3 2 2" xfId="961" xr:uid="{00000000-0005-0000-0000-000068030000}"/>
    <cellStyle name="Normal 8 2 2 3 2 2 2" xfId="4435" xr:uid="{2CBFA47D-CDA2-422E-A9CB-C2AD358564E2}"/>
    <cellStyle name="Normal 8 2 2 3 2 2 2 2" xfId="8653" xr:uid="{0A338DBE-594D-404F-BDCE-5FE34AC967C6}"/>
    <cellStyle name="Normal 8 2 2 3 2 2 3" xfId="6508" xr:uid="{866D5E0A-C216-4A90-A34D-8E65E558CFFE}"/>
    <cellStyle name="Normal 8 2 2 3 2 2 4" xfId="2206" xr:uid="{6FCDBDDC-D240-4019-BEF8-321168E50324}"/>
    <cellStyle name="Normal 8 2 2 3 2 3" xfId="1377" xr:uid="{90139362-0D68-4114-9D51-6C28A22B812A}"/>
    <cellStyle name="Normal 8 2 2 3 2 3 2" xfId="4848" xr:uid="{187AC7FC-555F-4E21-81A3-EAD7E98742A9}"/>
    <cellStyle name="Normal 8 2 2 3 2 3 2 2" xfId="9066" xr:uid="{B7C77FD8-D75E-4BC1-A22B-0346B3284D6E}"/>
    <cellStyle name="Normal 8 2 2 3 2 3 3" xfId="6921" xr:uid="{49F1D19C-0325-4761-9979-D4D065A27B6D}"/>
    <cellStyle name="Normal 8 2 2 3 2 3 4" xfId="2619" xr:uid="{B6E85DA3-DD7F-4FDC-95D9-18C3FAE4B37B}"/>
    <cellStyle name="Normal 8 2 2 3 2 4" xfId="3032" xr:uid="{9FAF068C-929D-4D72-A83D-6975DC2DCF3B}"/>
    <cellStyle name="Normal 8 2 2 3 2 4 2" xfId="5261" xr:uid="{78CBBF1E-344E-4929-8C5C-335A3FA4476D}"/>
    <cellStyle name="Normal 8 2 2 3 2 4 2 2" xfId="9479" xr:uid="{0524FE50-C6A3-43F0-890A-10A25C9D3C26}"/>
    <cellStyle name="Normal 8 2 2 3 2 4 3" xfId="7334" xr:uid="{CE2A7464-C339-41C1-AFF3-CC92402A69C8}"/>
    <cellStyle name="Normal 8 2 2 3 2 5" xfId="3445" xr:uid="{3A943935-8443-4562-9427-0A4E00682E76}"/>
    <cellStyle name="Normal 8 2 2 3 2 5 2" xfId="5674" xr:uid="{31EC1CD4-5D51-4054-A3A1-A7C83C5DD2CF}"/>
    <cellStyle name="Normal 8 2 2 3 2 5 2 2" xfId="9892" xr:uid="{4EE1FDE2-605B-480D-A1D6-7C0DEBB5014D}"/>
    <cellStyle name="Normal 8 2 2 3 2 5 3" xfId="7747" xr:uid="{752C3C4E-7DD2-4AB4-A610-781CF06B8674}"/>
    <cellStyle name="Normal 8 2 2 3 2 6" xfId="3881" xr:uid="{1F425E75-FCE9-4CB2-8D36-FE84238DF0BE}"/>
    <cellStyle name="Normal 8 2 2 3 2 6 2" xfId="8160" xr:uid="{268CF16E-F4A2-482D-859F-85C147CE4274}"/>
    <cellStyle name="Normal 8 2 2 3 2 7" xfId="6095" xr:uid="{FDD0E923-DCCD-4F03-9522-2C7352A8D4C8}"/>
    <cellStyle name="Normal 8 2 2 3 2 8" xfId="1791" xr:uid="{E1B0ABC7-9BEB-4566-AAAC-D3ECA740C9EF}"/>
    <cellStyle name="Normal 8 2 2 3 3" xfId="960" xr:uid="{00000000-0005-0000-0000-000069030000}"/>
    <cellStyle name="Normal 8 2 2 3 3 2" xfId="4434" xr:uid="{ADF587AC-02FC-4BAE-B654-3F806FF7AA75}"/>
    <cellStyle name="Normal 8 2 2 3 3 2 2" xfId="8652" xr:uid="{7B6C18A7-5E79-47DC-BD23-A398C45C9B67}"/>
    <cellStyle name="Normal 8 2 2 3 3 3" xfId="6507" xr:uid="{E3F72CB0-D2DB-46B2-A40D-3CBEE1718112}"/>
    <cellStyle name="Normal 8 2 2 3 3 4" xfId="2205" xr:uid="{A9A3CEB2-7161-4C11-A176-23F90FE00BC7}"/>
    <cellStyle name="Normal 8 2 2 3 4" xfId="1376" xr:uid="{4D5AD381-2BB6-4057-8378-4E6172F80198}"/>
    <cellStyle name="Normal 8 2 2 3 4 2" xfId="4847" xr:uid="{8D8C672D-870E-4682-894D-98C287769438}"/>
    <cellStyle name="Normal 8 2 2 3 4 2 2" xfId="9065" xr:uid="{B10429BD-A5AB-4ABF-8DA5-E7F3C774FE10}"/>
    <cellStyle name="Normal 8 2 2 3 4 3" xfId="6920" xr:uid="{97B3F9D4-FEC7-41FD-8D1B-2C445AEE669E}"/>
    <cellStyle name="Normal 8 2 2 3 4 4" xfId="2618" xr:uid="{6194FDD1-2120-457F-A4A0-88CBF70021B6}"/>
    <cellStyle name="Normal 8 2 2 3 5" xfId="3031" xr:uid="{BD98651D-2488-488B-8F27-DEB732B9EDE4}"/>
    <cellStyle name="Normal 8 2 2 3 5 2" xfId="5260" xr:uid="{6F87B5D1-B1D3-4916-B86C-8B714FDBA097}"/>
    <cellStyle name="Normal 8 2 2 3 5 2 2" xfId="9478" xr:uid="{A7079E91-58A0-421F-91B1-E0BD25D05DF9}"/>
    <cellStyle name="Normal 8 2 2 3 5 3" xfId="7333" xr:uid="{141A1F0A-80DB-421D-98D9-B71983E73849}"/>
    <cellStyle name="Normal 8 2 2 3 6" xfId="3444" xr:uid="{987EF91A-EE29-4A3B-9E38-28FA381F4B32}"/>
    <cellStyle name="Normal 8 2 2 3 6 2" xfId="5673" xr:uid="{79CEA997-5CDD-40AB-89C3-F7AEEC276B6D}"/>
    <cellStyle name="Normal 8 2 2 3 6 2 2" xfId="9891" xr:uid="{756A2A84-8DE8-4300-AAAD-CF04755F51E7}"/>
    <cellStyle name="Normal 8 2 2 3 6 3" xfId="7746" xr:uid="{70FCC86E-4CA7-48C4-811A-584D8BF29BB7}"/>
    <cellStyle name="Normal 8 2 2 3 7" xfId="3880" xr:uid="{6BFC5B2D-0153-4BC1-B730-E1699B0AB9D5}"/>
    <cellStyle name="Normal 8 2 2 3 7 2" xfId="8159" xr:uid="{F7263A1A-94A7-4907-A694-3FA481766EAD}"/>
    <cellStyle name="Normal 8 2 2 3 8" xfId="6094" xr:uid="{95CC012E-E0FC-4F5F-99F1-399D9A708584}"/>
    <cellStyle name="Normal 8 2 2 3 9" xfId="1790" xr:uid="{366C2D0A-8F4C-4213-86C0-D471118B2178}"/>
    <cellStyle name="Normal 8 2 2 4" xfId="490" xr:uid="{00000000-0005-0000-0000-00006A030000}"/>
    <cellStyle name="Normal 8 2 2 4 2" xfId="962" xr:uid="{00000000-0005-0000-0000-00006B030000}"/>
    <cellStyle name="Normal 8 2 2 4 2 2" xfId="4436" xr:uid="{46BF7AC9-A90E-40C4-9CB6-9E7E5BDCCB19}"/>
    <cellStyle name="Normal 8 2 2 4 2 2 2" xfId="8654" xr:uid="{9A26C957-D035-4274-9327-10422004E9B2}"/>
    <cellStyle name="Normal 8 2 2 4 2 3" xfId="6509" xr:uid="{419185BF-043B-43BC-8E81-6AB1458DFD6D}"/>
    <cellStyle name="Normal 8 2 2 4 2 4" xfId="2207" xr:uid="{86C02486-E60E-4349-8F16-4AB6A9D3E268}"/>
    <cellStyle name="Normal 8 2 2 4 3" xfId="1378" xr:uid="{89B2E7BB-7887-4625-A110-043FBF9D223C}"/>
    <cellStyle name="Normal 8 2 2 4 3 2" xfId="4849" xr:uid="{538F5203-EA24-43E0-BCE2-C7C96BEA218F}"/>
    <cellStyle name="Normal 8 2 2 4 3 2 2" xfId="9067" xr:uid="{38B26D89-C4D5-4D6E-96A9-6CD01977E358}"/>
    <cellStyle name="Normal 8 2 2 4 3 3" xfId="6922" xr:uid="{F75003FF-DDDB-4B0D-A78A-50E0AED0C5B0}"/>
    <cellStyle name="Normal 8 2 2 4 3 4" xfId="2620" xr:uid="{3C9B546D-154A-4DFB-BFCB-C7A6886FE9BB}"/>
    <cellStyle name="Normal 8 2 2 4 4" xfId="3033" xr:uid="{CC068996-9678-4178-A76F-1C4C49E1DE04}"/>
    <cellStyle name="Normal 8 2 2 4 4 2" xfId="5262" xr:uid="{3B366504-E717-47C1-8416-8D04A517456C}"/>
    <cellStyle name="Normal 8 2 2 4 4 2 2" xfId="9480" xr:uid="{44499F26-0E79-491D-8EFD-CF766C50D49F}"/>
    <cellStyle name="Normal 8 2 2 4 4 3" xfId="7335" xr:uid="{81C2DE57-0EC0-4C5D-A047-D106B186C43B}"/>
    <cellStyle name="Normal 8 2 2 4 5" xfId="3446" xr:uid="{F31C88A2-EB8F-4364-B164-8513FB11F9A3}"/>
    <cellStyle name="Normal 8 2 2 4 5 2" xfId="5675" xr:uid="{A9B44456-608E-436C-9BE7-B2322509D47C}"/>
    <cellStyle name="Normal 8 2 2 4 5 2 2" xfId="9893" xr:uid="{A9EA04C6-9A43-4FAB-8004-F05C16434AC7}"/>
    <cellStyle name="Normal 8 2 2 4 5 3" xfId="7748" xr:uid="{3C9743E8-F309-4E65-8FC3-9EC42C035A17}"/>
    <cellStyle name="Normal 8 2 2 4 6" xfId="3882" xr:uid="{2F5504B2-1388-4A7D-B5DA-390CD3232474}"/>
    <cellStyle name="Normal 8 2 2 4 6 2" xfId="8161" xr:uid="{BE7A8F39-D493-4FA9-8AE2-F1B200D07851}"/>
    <cellStyle name="Normal 8 2 2 4 7" xfId="6096" xr:uid="{B8A93EE1-4F09-4768-8AB9-FC3C009E760C}"/>
    <cellStyle name="Normal 8 2 2 4 8" xfId="1792" xr:uid="{5CFC0FB4-E356-41EE-B257-9E0FE2C82A47}"/>
    <cellStyle name="Normal 8 2 2 5" xfId="955" xr:uid="{00000000-0005-0000-0000-00006C030000}"/>
    <cellStyle name="Normal 8 2 2 5 2" xfId="4429" xr:uid="{0D6C6C3E-B47A-4F65-BD42-00677B7F338E}"/>
    <cellStyle name="Normal 8 2 2 5 2 2" xfId="8647" xr:uid="{A93803C3-D1E2-4906-8994-433F33E25234}"/>
    <cellStyle name="Normal 8 2 2 5 3" xfId="6502" xr:uid="{71913E6E-8895-4100-9097-AFD4ADA49396}"/>
    <cellStyle name="Normal 8 2 2 5 4" xfId="2200" xr:uid="{FB9F9BEF-7809-4533-BE6B-94043D5B004C}"/>
    <cellStyle name="Normal 8 2 2 6" xfId="1371" xr:uid="{013AC7E5-5EC6-4676-96DB-A294D8DA61DE}"/>
    <cellStyle name="Normal 8 2 2 6 2" xfId="4842" xr:uid="{EA6EE996-80BE-4E25-809E-C0075EEDF7F6}"/>
    <cellStyle name="Normal 8 2 2 6 2 2" xfId="9060" xr:uid="{B896B4CC-85DB-4711-BC64-20FF8FCBDEA6}"/>
    <cellStyle name="Normal 8 2 2 6 3" xfId="6915" xr:uid="{98864921-9F09-4943-A71D-480889BC8D14}"/>
    <cellStyle name="Normal 8 2 2 6 4" xfId="2613" xr:uid="{D0F3950C-272A-44C4-B638-FDF65C4787D7}"/>
    <cellStyle name="Normal 8 2 2 7" xfId="3026" xr:uid="{27DB9524-F375-4766-8691-E4904DD2BFBA}"/>
    <cellStyle name="Normal 8 2 2 7 2" xfId="5255" xr:uid="{3777215C-697D-4952-B9E2-0A1395B7574B}"/>
    <cellStyle name="Normal 8 2 2 7 2 2" xfId="9473" xr:uid="{BC38A1C5-7C33-4547-9D33-F18006AFD28B}"/>
    <cellStyle name="Normal 8 2 2 7 3" xfId="7328" xr:uid="{408D99E2-8AAF-4B74-85F6-05698F24342E}"/>
    <cellStyle name="Normal 8 2 2 8" xfId="3439" xr:uid="{1AAE47AD-E8DD-4531-B196-D80315D6E2CC}"/>
    <cellStyle name="Normal 8 2 2 8 2" xfId="5668" xr:uid="{991EE599-47DB-482A-ABF2-01D175B0A0F9}"/>
    <cellStyle name="Normal 8 2 2 8 2 2" xfId="9886" xr:uid="{6A9EE152-9437-4B66-B889-E800F334222F}"/>
    <cellStyle name="Normal 8 2 2 8 3" xfId="7741" xr:uid="{2B58EE55-8C51-4542-A127-4EBF00B21415}"/>
    <cellStyle name="Normal 8 2 2 9" xfId="3875" xr:uid="{80B6BEF4-1595-4573-8F05-84531FC7AE5F}"/>
    <cellStyle name="Normal 8 2 2 9 2" xfId="8154" xr:uid="{F2422614-059A-4931-9627-680064C0C53D}"/>
    <cellStyle name="Normal 8 2 3" xfId="491" xr:uid="{00000000-0005-0000-0000-00006D030000}"/>
    <cellStyle name="Normal 8 2 3 10" xfId="1793" xr:uid="{299248C6-657A-405B-B7F5-21F9B29F8F88}"/>
    <cellStyle name="Normal 8 2 3 2" xfId="492" xr:uid="{00000000-0005-0000-0000-00006E030000}"/>
    <cellStyle name="Normal 8 2 3 2 2" xfId="493" xr:uid="{00000000-0005-0000-0000-00006F030000}"/>
    <cellStyle name="Normal 8 2 3 2 2 2" xfId="965" xr:uid="{00000000-0005-0000-0000-000070030000}"/>
    <cellStyle name="Normal 8 2 3 2 2 2 2" xfId="4439" xr:uid="{9CEFEE89-BC7B-48D8-9C79-679F977AAF92}"/>
    <cellStyle name="Normal 8 2 3 2 2 2 2 2" xfId="8657" xr:uid="{BF86C53E-6B3C-4CFA-8D0C-7276C4C42D40}"/>
    <cellStyle name="Normal 8 2 3 2 2 2 3" xfId="6512" xr:uid="{C7F43F78-9C2D-4651-BBCA-5A1D8C0D2613}"/>
    <cellStyle name="Normal 8 2 3 2 2 2 4" xfId="2210" xr:uid="{82F31E41-01BF-4673-8413-354D7E2A35DF}"/>
    <cellStyle name="Normal 8 2 3 2 2 3" xfId="1381" xr:uid="{BF4D5791-8807-428B-9BA5-178F31436267}"/>
    <cellStyle name="Normal 8 2 3 2 2 3 2" xfId="4852" xr:uid="{7EF01CC0-B7DE-4C5E-8198-E149BD3DE956}"/>
    <cellStyle name="Normal 8 2 3 2 2 3 2 2" xfId="9070" xr:uid="{0D4A4326-9BC9-4130-AE13-13841E5EBDAB}"/>
    <cellStyle name="Normal 8 2 3 2 2 3 3" xfId="6925" xr:uid="{F0B02FE3-B158-478B-93C2-33A2742D9578}"/>
    <cellStyle name="Normal 8 2 3 2 2 3 4" xfId="2623" xr:uid="{7EA4CAFC-A7AF-4BAA-BB79-C43350D6661C}"/>
    <cellStyle name="Normal 8 2 3 2 2 4" xfId="3036" xr:uid="{5078D13E-1B5D-4DAF-88C7-06D039F78425}"/>
    <cellStyle name="Normal 8 2 3 2 2 4 2" xfId="5265" xr:uid="{452B75F4-ADF6-4BE5-A7CC-4151FB37455B}"/>
    <cellStyle name="Normal 8 2 3 2 2 4 2 2" xfId="9483" xr:uid="{3F944837-6EDD-4FA3-8228-2ABD4797FC7C}"/>
    <cellStyle name="Normal 8 2 3 2 2 4 3" xfId="7338" xr:uid="{13F4FCE9-704C-40E7-91C3-D1C2925E5375}"/>
    <cellStyle name="Normal 8 2 3 2 2 5" xfId="3449" xr:uid="{D8B6708A-0DC0-42CA-8AFD-0B4C61FA7259}"/>
    <cellStyle name="Normal 8 2 3 2 2 5 2" xfId="5678" xr:uid="{DEB48A4D-562F-4865-B691-EEBBB7A99907}"/>
    <cellStyle name="Normal 8 2 3 2 2 5 2 2" xfId="9896" xr:uid="{34737D09-A385-406E-9648-81A50D5A7E10}"/>
    <cellStyle name="Normal 8 2 3 2 2 5 3" xfId="7751" xr:uid="{945A5844-2B8F-4AD3-907D-E79ACDB59070}"/>
    <cellStyle name="Normal 8 2 3 2 2 6" xfId="3885" xr:uid="{5B77FD48-3128-4075-96C1-6596DF1EE8AC}"/>
    <cellStyle name="Normal 8 2 3 2 2 6 2" xfId="8164" xr:uid="{AC2C50D8-6AA1-4523-BEBF-01149C47F7E8}"/>
    <cellStyle name="Normal 8 2 3 2 2 7" xfId="6099" xr:uid="{7E933F10-B2EF-4782-B17F-80ED74C155CB}"/>
    <cellStyle name="Normal 8 2 3 2 2 8" xfId="1795" xr:uid="{2712E9C7-8434-4F7B-A7D5-392AC9C353DF}"/>
    <cellStyle name="Normal 8 2 3 2 3" xfId="964" xr:uid="{00000000-0005-0000-0000-000071030000}"/>
    <cellStyle name="Normal 8 2 3 2 3 2" xfId="4438" xr:uid="{B6D85FEA-F370-4511-A529-8EF3234422CA}"/>
    <cellStyle name="Normal 8 2 3 2 3 2 2" xfId="8656" xr:uid="{747AD463-3D3E-48DC-9AFA-CEC8E8E51D13}"/>
    <cellStyle name="Normal 8 2 3 2 3 3" xfId="6511" xr:uid="{5BED077D-00B3-44A1-9325-AFF461B7E495}"/>
    <cellStyle name="Normal 8 2 3 2 3 4" xfId="2209" xr:uid="{4DE6BCCF-9BF1-4CE6-A7FF-6D83FD30C3C2}"/>
    <cellStyle name="Normal 8 2 3 2 4" xfId="1380" xr:uid="{C223B960-970C-4274-BEB0-BCF40EECE186}"/>
    <cellStyle name="Normal 8 2 3 2 4 2" xfId="4851" xr:uid="{E9C7EC9B-5298-4A5A-8ECA-CE0B1D894374}"/>
    <cellStyle name="Normal 8 2 3 2 4 2 2" xfId="9069" xr:uid="{9B1D83BE-0F39-4891-A833-7D5312C16FED}"/>
    <cellStyle name="Normal 8 2 3 2 4 3" xfId="6924" xr:uid="{C441774F-555F-429A-8064-26A4A08ED6B9}"/>
    <cellStyle name="Normal 8 2 3 2 4 4" xfId="2622" xr:uid="{70E8B4F8-2F8D-4103-9E46-5140B0B88529}"/>
    <cellStyle name="Normal 8 2 3 2 5" xfId="3035" xr:uid="{738C021D-B153-4A87-9FD3-41867C89BA4B}"/>
    <cellStyle name="Normal 8 2 3 2 5 2" xfId="5264" xr:uid="{CBAFAAD5-0CB2-4F41-B6C9-70BCC28531E0}"/>
    <cellStyle name="Normal 8 2 3 2 5 2 2" xfId="9482" xr:uid="{B7C2B33C-2FC9-4F30-A74F-303AA4B1863E}"/>
    <cellStyle name="Normal 8 2 3 2 5 3" xfId="7337" xr:uid="{23220415-7301-4A79-B80C-27A709111C55}"/>
    <cellStyle name="Normal 8 2 3 2 6" xfId="3448" xr:uid="{F007CABE-F1F7-4812-9053-2574674A41B5}"/>
    <cellStyle name="Normal 8 2 3 2 6 2" xfId="5677" xr:uid="{596091B8-0598-4CBC-A557-34B45CE065E9}"/>
    <cellStyle name="Normal 8 2 3 2 6 2 2" xfId="9895" xr:uid="{5FECE839-54D4-4B53-8C52-8359E3F15985}"/>
    <cellStyle name="Normal 8 2 3 2 6 3" xfId="7750" xr:uid="{B3875184-09D9-4DA9-9023-89DA3B87D631}"/>
    <cellStyle name="Normal 8 2 3 2 7" xfId="3884" xr:uid="{C8F0E52A-D2B2-4C28-A6EA-F4DE7A58FA2D}"/>
    <cellStyle name="Normal 8 2 3 2 7 2" xfId="8163" xr:uid="{8277685E-85A4-403D-A2F6-D7D47BE36B06}"/>
    <cellStyle name="Normal 8 2 3 2 8" xfId="6098" xr:uid="{DB010F82-1412-4212-8490-E2EE685B7301}"/>
    <cellStyle name="Normal 8 2 3 2 9" xfId="1794" xr:uid="{A452B526-BFEC-4340-98EA-C676B23C9B54}"/>
    <cellStyle name="Normal 8 2 3 3" xfId="494" xr:uid="{00000000-0005-0000-0000-000072030000}"/>
    <cellStyle name="Normal 8 2 3 3 2" xfId="966" xr:uid="{00000000-0005-0000-0000-000073030000}"/>
    <cellStyle name="Normal 8 2 3 3 2 2" xfId="4440" xr:uid="{318EAE9B-C71B-4A9C-924C-D810E02D1F40}"/>
    <cellStyle name="Normal 8 2 3 3 2 2 2" xfId="8658" xr:uid="{02A1A87E-9F0E-4B4F-9958-84F85FF53FE9}"/>
    <cellStyle name="Normal 8 2 3 3 2 3" xfId="6513" xr:uid="{D743CC1E-2A06-44C9-AC6F-8F97C32F5817}"/>
    <cellStyle name="Normal 8 2 3 3 2 4" xfId="2211" xr:uid="{2B3779BF-1378-49F5-9423-91C9DEDAACBC}"/>
    <cellStyle name="Normal 8 2 3 3 3" xfId="1382" xr:uid="{912ED31A-25EA-435D-B1A5-931F87F1F2E6}"/>
    <cellStyle name="Normal 8 2 3 3 3 2" xfId="4853" xr:uid="{3BE22B65-F34E-46CD-9677-53CD84CB2F98}"/>
    <cellStyle name="Normal 8 2 3 3 3 2 2" xfId="9071" xr:uid="{3F9E4D15-B089-420D-BBE8-52153473D3BF}"/>
    <cellStyle name="Normal 8 2 3 3 3 3" xfId="6926" xr:uid="{497FC8CD-E227-40B7-BD1A-EA63893A368D}"/>
    <cellStyle name="Normal 8 2 3 3 3 4" xfId="2624" xr:uid="{3CE1D2BD-C53A-45C9-98ED-CEBB233B2E58}"/>
    <cellStyle name="Normal 8 2 3 3 4" xfId="3037" xr:uid="{8AE1F189-207A-470D-8AE3-71AA821201C7}"/>
    <cellStyle name="Normal 8 2 3 3 4 2" xfId="5266" xr:uid="{385F4E35-7781-4590-95F5-335274A240F3}"/>
    <cellStyle name="Normal 8 2 3 3 4 2 2" xfId="9484" xr:uid="{60EDC6E0-3EDD-422A-9991-D93B72A0BE84}"/>
    <cellStyle name="Normal 8 2 3 3 4 3" xfId="7339" xr:uid="{991993A8-2128-4A32-98B8-79C1D1813743}"/>
    <cellStyle name="Normal 8 2 3 3 5" xfId="3450" xr:uid="{0F8DAA40-A0DC-4617-BD82-1CABE2027DA0}"/>
    <cellStyle name="Normal 8 2 3 3 5 2" xfId="5679" xr:uid="{D2C3CBCF-6D2F-45B0-B34D-1FB9BF07272F}"/>
    <cellStyle name="Normal 8 2 3 3 5 2 2" xfId="9897" xr:uid="{9766635E-B55A-441D-B9D3-32E371D46798}"/>
    <cellStyle name="Normal 8 2 3 3 5 3" xfId="7752" xr:uid="{F240EFC6-EE10-4847-B420-335EE0D3B0F9}"/>
    <cellStyle name="Normal 8 2 3 3 6" xfId="3886" xr:uid="{6187CD36-ED4A-4174-9E9A-E824132DAED8}"/>
    <cellStyle name="Normal 8 2 3 3 6 2" xfId="8165" xr:uid="{5132AAC5-B894-4083-BA03-846E9102DDBB}"/>
    <cellStyle name="Normal 8 2 3 3 7" xfId="6100" xr:uid="{DB7D693A-F998-401F-AAED-7664EBF4B29F}"/>
    <cellStyle name="Normal 8 2 3 3 8" xfId="1796" xr:uid="{AA588CCD-42EC-4E46-BEB4-F012B226AE6E}"/>
    <cellStyle name="Normal 8 2 3 4" xfId="963" xr:uid="{00000000-0005-0000-0000-000074030000}"/>
    <cellStyle name="Normal 8 2 3 4 2" xfId="4437" xr:uid="{A8277DB5-10CF-4A50-A686-A6502AFC5A96}"/>
    <cellStyle name="Normal 8 2 3 4 2 2" xfId="8655" xr:uid="{444647CA-5E16-4318-B054-F61F07281401}"/>
    <cellStyle name="Normal 8 2 3 4 3" xfId="6510" xr:uid="{4952BA69-B7C4-40A4-8DA5-8662D9FDB478}"/>
    <cellStyle name="Normal 8 2 3 4 4" xfId="2208" xr:uid="{01A5BAC8-F20B-4D63-8796-59BDCF7F70FB}"/>
    <cellStyle name="Normal 8 2 3 5" xfId="1379" xr:uid="{CA317689-D84C-4998-A40C-7AE2A5D649DC}"/>
    <cellStyle name="Normal 8 2 3 5 2" xfId="4850" xr:uid="{3CDD98D6-B6B2-4670-908A-4CE5388BDD5E}"/>
    <cellStyle name="Normal 8 2 3 5 2 2" xfId="9068" xr:uid="{66846F39-AECF-46F5-89C1-02B6E8B5E957}"/>
    <cellStyle name="Normal 8 2 3 5 3" xfId="6923" xr:uid="{017B8FEB-C55A-4A4A-BE7E-CA25E6DE4123}"/>
    <cellStyle name="Normal 8 2 3 5 4" xfId="2621" xr:uid="{76087336-7A81-4759-9CB5-2107090F750F}"/>
    <cellStyle name="Normal 8 2 3 6" xfId="3034" xr:uid="{A19F645A-5CDD-412B-B9A8-8E6E7A4B80ED}"/>
    <cellStyle name="Normal 8 2 3 6 2" xfId="5263" xr:uid="{B5E0BC4E-730C-4F77-84F1-200DD7017486}"/>
    <cellStyle name="Normal 8 2 3 6 2 2" xfId="9481" xr:uid="{8C5A3AF6-6EB9-43FB-80B5-18FD923C38DC}"/>
    <cellStyle name="Normal 8 2 3 6 3" xfId="7336" xr:uid="{70E9CC02-538C-4D7C-BBCE-31F45102CECC}"/>
    <cellStyle name="Normal 8 2 3 7" xfId="3447" xr:uid="{E487F540-03BD-4BA2-8C85-26166C3FA7FD}"/>
    <cellStyle name="Normal 8 2 3 7 2" xfId="5676" xr:uid="{541EB010-F8EC-4A08-B84E-4B7AA04F3EA2}"/>
    <cellStyle name="Normal 8 2 3 7 2 2" xfId="9894" xr:uid="{7BC6A3A5-652B-499D-9A9D-C710489B1EFE}"/>
    <cellStyle name="Normal 8 2 3 7 3" xfId="7749" xr:uid="{DE48E613-1292-46F1-BC02-A40F3CF87147}"/>
    <cellStyle name="Normal 8 2 3 8" xfId="3883" xr:uid="{9DC51AFD-AEDB-4CD1-A367-A97FBF2A3801}"/>
    <cellStyle name="Normal 8 2 3 8 2" xfId="8162" xr:uid="{655D0282-09D2-44EE-89C5-020BFCD4CAC4}"/>
    <cellStyle name="Normal 8 2 3 9" xfId="6097" xr:uid="{F8E32866-EB4A-4728-B4C9-2DB721302193}"/>
    <cellStyle name="Normal 8 2 4" xfId="495" xr:uid="{00000000-0005-0000-0000-000075030000}"/>
    <cellStyle name="Normal 8 2 4 2" xfId="496" xr:uid="{00000000-0005-0000-0000-000076030000}"/>
    <cellStyle name="Normal 8 2 4 2 2" xfId="968" xr:uid="{00000000-0005-0000-0000-000077030000}"/>
    <cellStyle name="Normal 8 2 4 2 2 2" xfId="4442" xr:uid="{965C7BFC-1963-4626-86D2-AE51158C7E87}"/>
    <cellStyle name="Normal 8 2 4 2 2 2 2" xfId="8660" xr:uid="{9A389D2A-5E49-4299-A9AE-E81F105CC76D}"/>
    <cellStyle name="Normal 8 2 4 2 2 3" xfId="6515" xr:uid="{3A0A2A1E-0219-438D-A847-F1FDB2C96CAD}"/>
    <cellStyle name="Normal 8 2 4 2 2 4" xfId="2213" xr:uid="{41982AF5-416E-46E4-866D-2411920F70DE}"/>
    <cellStyle name="Normal 8 2 4 2 3" xfId="1384" xr:uid="{F19607E4-C879-4C1E-8EEA-2B7019994771}"/>
    <cellStyle name="Normal 8 2 4 2 3 2" xfId="4855" xr:uid="{4B0D636A-3AA0-42EA-A80E-22923C674186}"/>
    <cellStyle name="Normal 8 2 4 2 3 2 2" xfId="9073" xr:uid="{4DD1219D-4698-4E6C-90E4-DEDB59AD5EA4}"/>
    <cellStyle name="Normal 8 2 4 2 3 3" xfId="6928" xr:uid="{05404463-AF81-4CCC-B038-778B80BBADF4}"/>
    <cellStyle name="Normal 8 2 4 2 3 4" xfId="2626" xr:uid="{615A7ED7-D542-41C6-853A-0A3AE59AA111}"/>
    <cellStyle name="Normal 8 2 4 2 4" xfId="3039" xr:uid="{9B3FD86A-7EC2-4E1D-B013-750D91DAD666}"/>
    <cellStyle name="Normal 8 2 4 2 4 2" xfId="5268" xr:uid="{BC6D6281-A67E-403A-8E46-F627CA94E324}"/>
    <cellStyle name="Normal 8 2 4 2 4 2 2" xfId="9486" xr:uid="{58D34E26-EA3B-4E4E-864C-8202C72D95F6}"/>
    <cellStyle name="Normal 8 2 4 2 4 3" xfId="7341" xr:uid="{0AF355F4-EC2A-4810-92C0-929B1BCDABE8}"/>
    <cellStyle name="Normal 8 2 4 2 5" xfId="3452" xr:uid="{F1C2414F-A268-4203-B125-4768B6DE5A8F}"/>
    <cellStyle name="Normal 8 2 4 2 5 2" xfId="5681" xr:uid="{4FD13A92-822D-4B3B-B969-C251761080F9}"/>
    <cellStyle name="Normal 8 2 4 2 5 2 2" xfId="9899" xr:uid="{B0712BF8-7C18-47C9-A2EB-D84809F22083}"/>
    <cellStyle name="Normal 8 2 4 2 5 3" xfId="7754" xr:uid="{5A43C0E7-1137-4005-AFC5-5B05435B583B}"/>
    <cellStyle name="Normal 8 2 4 2 6" xfId="3888" xr:uid="{93AF50CF-E089-4ABC-BB39-FFAC54CCC5A6}"/>
    <cellStyle name="Normal 8 2 4 2 6 2" xfId="8167" xr:uid="{57D99777-8EB3-49C2-92F8-3F160A8E33F9}"/>
    <cellStyle name="Normal 8 2 4 2 7" xfId="6102" xr:uid="{C851F9A8-84A9-4072-9452-946FDED76028}"/>
    <cellStyle name="Normal 8 2 4 2 8" xfId="1798" xr:uid="{87CF200C-0B41-4220-8B35-14EAF24CA258}"/>
    <cellStyle name="Normal 8 2 4 3" xfId="967" xr:uid="{00000000-0005-0000-0000-000078030000}"/>
    <cellStyle name="Normal 8 2 4 3 2" xfId="4441" xr:uid="{D27C347D-3F9F-4AD8-9941-49A46F24973E}"/>
    <cellStyle name="Normal 8 2 4 3 2 2" xfId="8659" xr:uid="{1EA7A115-171A-495A-8185-B281AE50A1BC}"/>
    <cellStyle name="Normal 8 2 4 3 3" xfId="6514" xr:uid="{26EEB30C-3BCF-47D2-861B-857C4D644F24}"/>
    <cellStyle name="Normal 8 2 4 3 4" xfId="2212" xr:uid="{112D4860-98B8-4C14-9A3C-C72210051603}"/>
    <cellStyle name="Normal 8 2 4 4" xfId="1383" xr:uid="{77DB6546-4409-4ECB-8058-A05B5427FF3D}"/>
    <cellStyle name="Normal 8 2 4 4 2" xfId="4854" xr:uid="{BDB6C827-1387-4593-879A-15B682C67755}"/>
    <cellStyle name="Normal 8 2 4 4 2 2" xfId="9072" xr:uid="{920C7FE2-5658-4C58-BDCA-80F9C176FFB0}"/>
    <cellStyle name="Normal 8 2 4 4 3" xfId="6927" xr:uid="{457A7F6E-6F52-41EE-B24B-4E6FB5408968}"/>
    <cellStyle name="Normal 8 2 4 4 4" xfId="2625" xr:uid="{59AD9F81-9E53-4A31-83C3-0AAEABCD7DCC}"/>
    <cellStyle name="Normal 8 2 4 5" xfId="3038" xr:uid="{9AA541C5-5100-460E-B9A9-D20647A6B8A4}"/>
    <cellStyle name="Normal 8 2 4 5 2" xfId="5267" xr:uid="{EB1D1BF5-48AA-4DC6-A451-1F842D80AB73}"/>
    <cellStyle name="Normal 8 2 4 5 2 2" xfId="9485" xr:uid="{22BFD6A8-D62F-4ED7-B3A3-206FA1082253}"/>
    <cellStyle name="Normal 8 2 4 5 3" xfId="7340" xr:uid="{A6FB6FA4-0277-4295-85DA-65D6575BD87E}"/>
    <cellStyle name="Normal 8 2 4 6" xfId="3451" xr:uid="{D61AC7D8-6B63-4F0B-B45B-F0A6A4AF7ADC}"/>
    <cellStyle name="Normal 8 2 4 6 2" xfId="5680" xr:uid="{640DEB77-3058-4F61-B43F-9FCA4ECAD2B3}"/>
    <cellStyle name="Normal 8 2 4 6 2 2" xfId="9898" xr:uid="{590FE71D-5EA0-4331-B4AC-87471CF50691}"/>
    <cellStyle name="Normal 8 2 4 6 3" xfId="7753" xr:uid="{7B592619-CC69-4803-92FF-84DF719966F0}"/>
    <cellStyle name="Normal 8 2 4 7" xfId="3887" xr:uid="{BDACCAA8-778B-4971-A420-4130A0A13842}"/>
    <cellStyle name="Normal 8 2 4 7 2" xfId="8166" xr:uid="{BEA92E1B-1786-485F-8158-D3D9E958571B}"/>
    <cellStyle name="Normal 8 2 4 8" xfId="6101" xr:uid="{41A21B08-F08B-4D7B-AB05-2C088E7BEAA3}"/>
    <cellStyle name="Normal 8 2 4 9" xfId="1797" xr:uid="{1F70C2AF-6836-4C28-A5BE-D3D042A6AECF}"/>
    <cellStyle name="Normal 8 2 5" xfId="497" xr:uid="{00000000-0005-0000-0000-000079030000}"/>
    <cellStyle name="Normal 8 2 5 2" xfId="969" xr:uid="{00000000-0005-0000-0000-00007A030000}"/>
    <cellStyle name="Normal 8 2 5 2 2" xfId="4443" xr:uid="{0B3AF678-5A11-4959-9C84-62F7586791B3}"/>
    <cellStyle name="Normal 8 2 5 2 2 2" xfId="8661" xr:uid="{F512EC99-BF16-4D62-8C35-A5EC7461953A}"/>
    <cellStyle name="Normal 8 2 5 2 3" xfId="6516" xr:uid="{BABEB182-8B45-494E-91C8-82AB8498FF43}"/>
    <cellStyle name="Normal 8 2 5 2 4" xfId="2214" xr:uid="{711A0654-32C8-431C-8388-7B06164F9BCA}"/>
    <cellStyle name="Normal 8 2 5 3" xfId="1385" xr:uid="{095C28BC-9E72-4E2B-B4AF-89D56802B9A0}"/>
    <cellStyle name="Normal 8 2 5 3 2" xfId="4856" xr:uid="{9BBA9821-92CA-4FDC-832A-A14941B4C7B2}"/>
    <cellStyle name="Normal 8 2 5 3 2 2" xfId="9074" xr:uid="{8B4D9E07-9110-4A9D-ABD0-C2CFA3A2A994}"/>
    <cellStyle name="Normal 8 2 5 3 3" xfId="6929" xr:uid="{4ACC473E-F47B-4F04-8495-0A3A0D3AB19D}"/>
    <cellStyle name="Normal 8 2 5 3 4" xfId="2627" xr:uid="{174A7581-C05A-47CE-BDE0-CCC8FDB9AA3D}"/>
    <cellStyle name="Normal 8 2 5 4" xfId="3040" xr:uid="{9F9D5970-2CA1-474B-B28E-D6F07CA4B3CA}"/>
    <cellStyle name="Normal 8 2 5 4 2" xfId="5269" xr:uid="{37F01CDE-C126-4B7C-9A2C-B8BF41A81D07}"/>
    <cellStyle name="Normal 8 2 5 4 2 2" xfId="9487" xr:uid="{75F82C93-C5BE-4D66-B5E2-A8A6E239640C}"/>
    <cellStyle name="Normal 8 2 5 4 3" xfId="7342" xr:uid="{3CA9306D-5C5A-476E-9560-A8937FC9A931}"/>
    <cellStyle name="Normal 8 2 5 5" xfId="3453" xr:uid="{C6584D5C-F8F3-43E2-8758-217DB1DD0A10}"/>
    <cellStyle name="Normal 8 2 5 5 2" xfId="5682" xr:uid="{A7A5BCB9-C3D2-4656-B710-430903A54777}"/>
    <cellStyle name="Normal 8 2 5 5 2 2" xfId="9900" xr:uid="{F452403B-AD43-4178-8AD8-0295E06B46CE}"/>
    <cellStyle name="Normal 8 2 5 5 3" xfId="7755" xr:uid="{6EA69DAD-02D2-4C16-A811-96300057170E}"/>
    <cellStyle name="Normal 8 2 5 6" xfId="3889" xr:uid="{7CF51B2C-6A26-40CA-B5A7-7C74CE86927B}"/>
    <cellStyle name="Normal 8 2 5 6 2" xfId="8168" xr:uid="{B78C1C79-07AD-4A34-82A1-7F2FB5E2438F}"/>
    <cellStyle name="Normal 8 2 5 7" xfId="6103" xr:uid="{AC87F575-E0BA-45D2-BFEF-01A12896D548}"/>
    <cellStyle name="Normal 8 2 5 8" xfId="1799" xr:uid="{3002E19A-530A-4233-A00C-C3264AD2BC3A}"/>
    <cellStyle name="Normal 8 2 6" xfId="954" xr:uid="{00000000-0005-0000-0000-00007B030000}"/>
    <cellStyle name="Normal 8 2 6 2" xfId="4428" xr:uid="{AC143028-B74E-44D2-87A1-85FA725F0A60}"/>
    <cellStyle name="Normal 8 2 6 2 2" xfId="8646" xr:uid="{F7098E36-FA4D-4450-A513-C87AF00A804C}"/>
    <cellStyle name="Normal 8 2 6 3" xfId="6501" xr:uid="{DFC5CE86-381F-4E55-B564-04F6A4C55035}"/>
    <cellStyle name="Normal 8 2 6 4" xfId="2199" xr:uid="{F3415F12-AC43-4629-BA43-15BBDDF0B168}"/>
    <cellStyle name="Normal 8 2 7" xfId="1370" xr:uid="{461462A9-C5DB-44DD-A395-C4357FB77A2E}"/>
    <cellStyle name="Normal 8 2 7 2" xfId="4841" xr:uid="{9EE09AD6-3FED-4B46-8119-2D434E9A3455}"/>
    <cellStyle name="Normal 8 2 7 2 2" xfId="9059" xr:uid="{8A9E2BA8-1599-41EB-84A6-B9371CBA38A5}"/>
    <cellStyle name="Normal 8 2 7 3" xfId="6914" xr:uid="{969F657B-36AA-4EAE-889A-64B0F713BCDA}"/>
    <cellStyle name="Normal 8 2 7 4" xfId="2612" xr:uid="{02C6381A-34FA-412A-81AB-32F5AB229C11}"/>
    <cellStyle name="Normal 8 2 8" xfId="3025" xr:uid="{0CE88586-6BCB-44F8-A36A-68C7DC326C0B}"/>
    <cellStyle name="Normal 8 2 8 2" xfId="5254" xr:uid="{9EAF58E9-0F94-4CF4-BDF0-3C4FC2826526}"/>
    <cellStyle name="Normal 8 2 8 2 2" xfId="9472" xr:uid="{1596CBF2-E654-4A5C-AE7D-B51FD2C890D8}"/>
    <cellStyle name="Normal 8 2 8 3" xfId="7327" xr:uid="{12403C73-BF54-47CD-9433-4C9BAEC3C7AE}"/>
    <cellStyle name="Normal 8 2 9" xfId="3438" xr:uid="{416259F9-DB69-43D7-90FA-9EA187FC6E63}"/>
    <cellStyle name="Normal 8 2 9 2" xfId="5667" xr:uid="{8C10CE92-BD75-4671-A412-818E7F13C152}"/>
    <cellStyle name="Normal 8 2 9 2 2" xfId="9885" xr:uid="{6FD8C50C-45D6-420C-9B82-85F193818A88}"/>
    <cellStyle name="Normal 8 2 9 3" xfId="7740" xr:uid="{C1C4AE50-2341-4C29-AEE8-93D999E00978}"/>
    <cellStyle name="Normal 8 3" xfId="498" xr:uid="{00000000-0005-0000-0000-00007C030000}"/>
    <cellStyle name="Normal 8 3 10" xfId="6104" xr:uid="{4716FB93-D311-4C0F-9982-1196892FD239}"/>
    <cellStyle name="Normal 8 3 11" xfId="1800" xr:uid="{97F22D0B-E75A-4F97-BCA0-11934592704A}"/>
    <cellStyle name="Normal 8 3 2" xfId="499" xr:uid="{00000000-0005-0000-0000-00007D030000}"/>
    <cellStyle name="Normal 8 3 2 10" xfId="1801" xr:uid="{08C45952-8CC0-4D11-92B4-723F798857CB}"/>
    <cellStyle name="Normal 8 3 2 2" xfId="500" xr:uid="{00000000-0005-0000-0000-00007E030000}"/>
    <cellStyle name="Normal 8 3 2 2 2" xfId="501" xr:uid="{00000000-0005-0000-0000-00007F030000}"/>
    <cellStyle name="Normal 8 3 2 2 2 2" xfId="973" xr:uid="{00000000-0005-0000-0000-000080030000}"/>
    <cellStyle name="Normal 8 3 2 2 2 2 2" xfId="4447" xr:uid="{ECCB82AE-3AA6-4DB7-8CC6-F48E9CF9B507}"/>
    <cellStyle name="Normal 8 3 2 2 2 2 2 2" xfId="8665" xr:uid="{3367E5A4-1CED-40D0-A126-469843C0ED1A}"/>
    <cellStyle name="Normal 8 3 2 2 2 2 3" xfId="6520" xr:uid="{0BFC7E64-9799-4EBB-9154-1D8DE42F55B7}"/>
    <cellStyle name="Normal 8 3 2 2 2 2 4" xfId="2218" xr:uid="{2C14B7E7-FBBF-4993-BB8C-664148DC29AE}"/>
    <cellStyle name="Normal 8 3 2 2 2 3" xfId="1389" xr:uid="{4E0B998F-854E-4079-ADD3-DFFFE3602867}"/>
    <cellStyle name="Normal 8 3 2 2 2 3 2" xfId="4860" xr:uid="{74695557-B63F-4B4C-A864-76731B3F0B2A}"/>
    <cellStyle name="Normal 8 3 2 2 2 3 2 2" xfId="9078" xr:uid="{82EA6841-D9A4-4875-88C7-70EC685D70D4}"/>
    <cellStyle name="Normal 8 3 2 2 2 3 3" xfId="6933" xr:uid="{709A83C3-4727-4B4C-9F73-07C003CADB83}"/>
    <cellStyle name="Normal 8 3 2 2 2 3 4" xfId="2631" xr:uid="{51A2273D-54BB-4614-8FE1-C0031C2CF9DB}"/>
    <cellStyle name="Normal 8 3 2 2 2 4" xfId="3044" xr:uid="{D3CFE425-33BE-4D25-B757-19244F7F5505}"/>
    <cellStyle name="Normal 8 3 2 2 2 4 2" xfId="5273" xr:uid="{3F00FD41-B08A-44D5-B287-F3DEFCE6559D}"/>
    <cellStyle name="Normal 8 3 2 2 2 4 2 2" xfId="9491" xr:uid="{47EC4381-9EA9-4C20-98A6-C74BBCC943CA}"/>
    <cellStyle name="Normal 8 3 2 2 2 4 3" xfId="7346" xr:uid="{7A699E53-0184-4841-BF2B-D89F7F150DA4}"/>
    <cellStyle name="Normal 8 3 2 2 2 5" xfId="3457" xr:uid="{69F268C4-C16E-4181-8BA5-608111FCA59D}"/>
    <cellStyle name="Normal 8 3 2 2 2 5 2" xfId="5686" xr:uid="{42C3F661-4AB9-4B1D-9F20-01797098D57F}"/>
    <cellStyle name="Normal 8 3 2 2 2 5 2 2" xfId="9904" xr:uid="{9EF3C0CA-1021-4774-87D3-AD1955D32794}"/>
    <cellStyle name="Normal 8 3 2 2 2 5 3" xfId="7759" xr:uid="{20ADFC17-D7E7-47BE-8681-38B66252A384}"/>
    <cellStyle name="Normal 8 3 2 2 2 6" xfId="3893" xr:uid="{851A745C-D19A-40C0-BD3E-CF9BFF731866}"/>
    <cellStyle name="Normal 8 3 2 2 2 6 2" xfId="8172" xr:uid="{22709A00-1410-4802-8CC1-6CB7CDBA7E88}"/>
    <cellStyle name="Normal 8 3 2 2 2 7" xfId="6107" xr:uid="{B9E53B43-E85C-4476-AC25-4A8E08A0BB5B}"/>
    <cellStyle name="Normal 8 3 2 2 2 8" xfId="1803" xr:uid="{92F1429F-82C5-480D-A676-24842234EA19}"/>
    <cellStyle name="Normal 8 3 2 2 3" xfId="972" xr:uid="{00000000-0005-0000-0000-000081030000}"/>
    <cellStyle name="Normal 8 3 2 2 3 2" xfId="4446" xr:uid="{424D5A41-87F1-4B3A-8B8A-EAE704B5CD40}"/>
    <cellStyle name="Normal 8 3 2 2 3 2 2" xfId="8664" xr:uid="{B6387393-AC3C-4888-9C6C-A1773984F462}"/>
    <cellStyle name="Normal 8 3 2 2 3 3" xfId="6519" xr:uid="{FAA2162C-45A6-4E20-8FE0-DDEA36990A3F}"/>
    <cellStyle name="Normal 8 3 2 2 3 4" xfId="2217" xr:uid="{7A278AB2-E970-4F73-877D-880F4C6F3825}"/>
    <cellStyle name="Normal 8 3 2 2 4" xfId="1388" xr:uid="{EE8DB358-CD0C-43B3-86BC-51EC08023DC6}"/>
    <cellStyle name="Normal 8 3 2 2 4 2" xfId="4859" xr:uid="{C909E121-AF4A-4B1B-987D-ACCD764DF7C9}"/>
    <cellStyle name="Normal 8 3 2 2 4 2 2" xfId="9077" xr:uid="{EE01C73B-20C4-47B5-A357-08DD0CFE0FD8}"/>
    <cellStyle name="Normal 8 3 2 2 4 3" xfId="6932" xr:uid="{D18C396A-1423-4E03-9490-29E81EAD8225}"/>
    <cellStyle name="Normal 8 3 2 2 4 4" xfId="2630" xr:uid="{015E4232-AD06-49EB-BAF8-6AF9DC7B6A02}"/>
    <cellStyle name="Normal 8 3 2 2 5" xfId="3043" xr:uid="{0B27D658-4DEA-4C28-A880-89A38052AB69}"/>
    <cellStyle name="Normal 8 3 2 2 5 2" xfId="5272" xr:uid="{AEF9B353-E710-4990-9E9A-43696BE9DD13}"/>
    <cellStyle name="Normal 8 3 2 2 5 2 2" xfId="9490" xr:uid="{C0472E8A-3F6B-48C1-9679-0CC895AB1CA8}"/>
    <cellStyle name="Normal 8 3 2 2 5 3" xfId="7345" xr:uid="{23CD9943-D587-4FD5-A67B-E8FC46E0D3EA}"/>
    <cellStyle name="Normal 8 3 2 2 6" xfId="3456" xr:uid="{37B6122B-CBF6-43CA-9704-DFBD9189038E}"/>
    <cellStyle name="Normal 8 3 2 2 6 2" xfId="5685" xr:uid="{4AB4AA4B-A299-4130-920F-D8CD9E800C48}"/>
    <cellStyle name="Normal 8 3 2 2 6 2 2" xfId="9903" xr:uid="{EA4E4DBC-219F-4281-8CD8-42702A389F35}"/>
    <cellStyle name="Normal 8 3 2 2 6 3" xfId="7758" xr:uid="{334584EB-261D-47D6-9C07-038525D4653C}"/>
    <cellStyle name="Normal 8 3 2 2 7" xfId="3892" xr:uid="{AF651C9A-B135-406F-9639-7E2A51B3BF30}"/>
    <cellStyle name="Normal 8 3 2 2 7 2" xfId="8171" xr:uid="{7693E302-CB70-4BB9-B56B-0ECD9C67B0D4}"/>
    <cellStyle name="Normal 8 3 2 2 8" xfId="6106" xr:uid="{52673317-83DD-4A84-B672-F518BAB87D60}"/>
    <cellStyle name="Normal 8 3 2 2 9" xfId="1802" xr:uid="{53555B41-ECD4-4D05-9228-ADBE683F8A6A}"/>
    <cellStyle name="Normal 8 3 2 3" xfId="502" xr:uid="{00000000-0005-0000-0000-000082030000}"/>
    <cellStyle name="Normal 8 3 2 3 2" xfId="974" xr:uid="{00000000-0005-0000-0000-000083030000}"/>
    <cellStyle name="Normal 8 3 2 3 2 2" xfId="4448" xr:uid="{6123D5EB-D036-4894-883C-13ABB0922DB8}"/>
    <cellStyle name="Normal 8 3 2 3 2 2 2" xfId="8666" xr:uid="{32D9A04A-6E82-4425-8817-B5257497BF5C}"/>
    <cellStyle name="Normal 8 3 2 3 2 3" xfId="6521" xr:uid="{05DBC296-CA06-4EC9-A398-C1784360E680}"/>
    <cellStyle name="Normal 8 3 2 3 2 4" xfId="2219" xr:uid="{510757B6-BAA2-4946-8311-97458C75FD94}"/>
    <cellStyle name="Normal 8 3 2 3 3" xfId="1390" xr:uid="{D08375A5-DCBB-45F1-8411-1A3A5BECF4CC}"/>
    <cellStyle name="Normal 8 3 2 3 3 2" xfId="4861" xr:uid="{700B9649-76F8-42C1-BE77-346C71F80390}"/>
    <cellStyle name="Normal 8 3 2 3 3 2 2" xfId="9079" xr:uid="{550BE58C-8F3B-402C-9F86-08BD33F24B96}"/>
    <cellStyle name="Normal 8 3 2 3 3 3" xfId="6934" xr:uid="{78311216-1739-4FE2-A3E6-63D2456047CA}"/>
    <cellStyle name="Normal 8 3 2 3 3 4" xfId="2632" xr:uid="{002AA403-FDBA-4372-994F-96A55E33BD74}"/>
    <cellStyle name="Normal 8 3 2 3 4" xfId="3045" xr:uid="{39410D4F-97C2-44FB-9FB7-F566E1B16848}"/>
    <cellStyle name="Normal 8 3 2 3 4 2" xfId="5274" xr:uid="{D221F21B-FAD1-4DD1-B42D-C43054F11368}"/>
    <cellStyle name="Normal 8 3 2 3 4 2 2" xfId="9492" xr:uid="{F84279B9-7D06-42E8-A2B5-890E64171900}"/>
    <cellStyle name="Normal 8 3 2 3 4 3" xfId="7347" xr:uid="{8AB9365D-8229-4B38-B44E-1AB5525F5C60}"/>
    <cellStyle name="Normal 8 3 2 3 5" xfId="3458" xr:uid="{8E6C7E96-B751-4C11-B3CE-529FF4039FCF}"/>
    <cellStyle name="Normal 8 3 2 3 5 2" xfId="5687" xr:uid="{1AA15864-8E0D-484A-9E32-D9B981ACA640}"/>
    <cellStyle name="Normal 8 3 2 3 5 2 2" xfId="9905" xr:uid="{2BEF7119-7594-459F-BC5F-809C3CC8A661}"/>
    <cellStyle name="Normal 8 3 2 3 5 3" xfId="7760" xr:uid="{CBC5EEEA-E175-4ABA-BC0F-D94CEA7CCC74}"/>
    <cellStyle name="Normal 8 3 2 3 6" xfId="3894" xr:uid="{3507C414-73DF-44BE-9905-C2BFE14806B6}"/>
    <cellStyle name="Normal 8 3 2 3 6 2" xfId="8173" xr:uid="{469303DA-63E2-461A-8002-5435C75EA8F8}"/>
    <cellStyle name="Normal 8 3 2 3 7" xfId="6108" xr:uid="{DE567404-0150-4D86-BDDD-8C49420DAAB9}"/>
    <cellStyle name="Normal 8 3 2 3 8" xfId="1804" xr:uid="{3BDA634D-DFF4-4895-ACF5-EB6505B5C886}"/>
    <cellStyle name="Normal 8 3 2 4" xfId="971" xr:uid="{00000000-0005-0000-0000-000084030000}"/>
    <cellStyle name="Normal 8 3 2 4 2" xfId="4445" xr:uid="{D9A467A6-2B99-4319-8B19-74F384657209}"/>
    <cellStyle name="Normal 8 3 2 4 2 2" xfId="8663" xr:uid="{A414B86D-2CA5-405B-AA61-292035ED9785}"/>
    <cellStyle name="Normal 8 3 2 4 3" xfId="6518" xr:uid="{5DA9654E-7CA0-43C1-B2CB-BFBD83572803}"/>
    <cellStyle name="Normal 8 3 2 4 4" xfId="2216" xr:uid="{C260AE76-5F77-4986-8FAB-84DF997E4E37}"/>
    <cellStyle name="Normal 8 3 2 5" xfId="1387" xr:uid="{AF1A87EF-EB08-4AC7-8E52-03F892B6267F}"/>
    <cellStyle name="Normal 8 3 2 5 2" xfId="4858" xr:uid="{9CC39B74-C5EE-4A2D-8B3E-582B0814EC83}"/>
    <cellStyle name="Normal 8 3 2 5 2 2" xfId="9076" xr:uid="{943C46AB-9F6A-400B-B943-50018CBB9DB2}"/>
    <cellStyle name="Normal 8 3 2 5 3" xfId="6931" xr:uid="{40BE9B53-EB98-47C8-AAA5-F7868D6C0EB2}"/>
    <cellStyle name="Normal 8 3 2 5 4" xfId="2629" xr:uid="{31637AC6-7013-48D4-AB44-83D378E4A3E7}"/>
    <cellStyle name="Normal 8 3 2 6" xfId="3042" xr:uid="{144E8678-09A5-4AB3-8A57-5916938250F3}"/>
    <cellStyle name="Normal 8 3 2 6 2" xfId="5271" xr:uid="{F3635CF8-17AC-436B-9483-13DC925DB225}"/>
    <cellStyle name="Normal 8 3 2 6 2 2" xfId="9489" xr:uid="{011A5E91-88A6-41C5-9384-87B2F0D47052}"/>
    <cellStyle name="Normal 8 3 2 6 3" xfId="7344" xr:uid="{744C9782-9124-40A8-B2EF-2A087B8E40CA}"/>
    <cellStyle name="Normal 8 3 2 7" xfId="3455" xr:uid="{18815506-71DA-4C69-B15D-98CBA9AAF7D7}"/>
    <cellStyle name="Normal 8 3 2 7 2" xfId="5684" xr:uid="{CEEBC834-4CDE-4C78-A667-DBEB7046E106}"/>
    <cellStyle name="Normal 8 3 2 7 2 2" xfId="9902" xr:uid="{F3B5EABF-4854-4D40-914D-737E9AA9A1AF}"/>
    <cellStyle name="Normal 8 3 2 7 3" xfId="7757" xr:uid="{FC1CA016-3BE6-4413-AB20-D9A51C3EF0E0}"/>
    <cellStyle name="Normal 8 3 2 8" xfId="3891" xr:uid="{482CB512-1D5E-4163-B6DB-6A4F891EF973}"/>
    <cellStyle name="Normal 8 3 2 8 2" xfId="8170" xr:uid="{7442DE1F-D8D1-49DA-91CC-B2220FBA279E}"/>
    <cellStyle name="Normal 8 3 2 9" xfId="6105" xr:uid="{F5E3ACA1-1F82-44C2-B8BB-05602ED1D71B}"/>
    <cellStyle name="Normal 8 3 3" xfId="503" xr:uid="{00000000-0005-0000-0000-000085030000}"/>
    <cellStyle name="Normal 8 3 3 2" xfId="504" xr:uid="{00000000-0005-0000-0000-000086030000}"/>
    <cellStyle name="Normal 8 3 3 2 2" xfId="976" xr:uid="{00000000-0005-0000-0000-000087030000}"/>
    <cellStyle name="Normal 8 3 3 2 2 2" xfId="4450" xr:uid="{6844B2BF-C781-430B-9E89-7C88313213B2}"/>
    <cellStyle name="Normal 8 3 3 2 2 2 2" xfId="8668" xr:uid="{B48B2BDC-0D17-4B28-AE57-E01BF177E2D5}"/>
    <cellStyle name="Normal 8 3 3 2 2 3" xfId="6523" xr:uid="{46471591-BC54-48F6-A301-36D44207A9DF}"/>
    <cellStyle name="Normal 8 3 3 2 2 4" xfId="2221" xr:uid="{E2E58F14-ED8C-4E34-8143-2E1BE8D65FFE}"/>
    <cellStyle name="Normal 8 3 3 2 3" xfId="1392" xr:uid="{267618A5-853F-4E58-A4F2-2AA9DDA1BA49}"/>
    <cellStyle name="Normal 8 3 3 2 3 2" xfId="4863" xr:uid="{2B3F2A05-A6B4-4CAE-9799-6A427FE59BFF}"/>
    <cellStyle name="Normal 8 3 3 2 3 2 2" xfId="9081" xr:uid="{31934317-2F57-40C4-93B8-8A9D57A92053}"/>
    <cellStyle name="Normal 8 3 3 2 3 3" xfId="6936" xr:uid="{D7BAE17D-1308-4FB6-AF9D-00D193B75204}"/>
    <cellStyle name="Normal 8 3 3 2 3 4" xfId="2634" xr:uid="{71F7F4B0-A23B-4C89-922D-53F608393B2A}"/>
    <cellStyle name="Normal 8 3 3 2 4" xfId="3047" xr:uid="{594D7431-94FD-46B6-8C8F-FBD21ED1144F}"/>
    <cellStyle name="Normal 8 3 3 2 4 2" xfId="5276" xr:uid="{4318D8F3-F2F6-4072-B3A5-71D858EB4A67}"/>
    <cellStyle name="Normal 8 3 3 2 4 2 2" xfId="9494" xr:uid="{61859D3A-C804-48EE-8582-98A0CB894ABF}"/>
    <cellStyle name="Normal 8 3 3 2 4 3" xfId="7349" xr:uid="{B3F6970F-AC91-4AA1-8C82-25477B85DCD4}"/>
    <cellStyle name="Normal 8 3 3 2 5" xfId="3460" xr:uid="{C7AEB9A8-4DB1-4747-A653-FB8B277E8606}"/>
    <cellStyle name="Normal 8 3 3 2 5 2" xfId="5689" xr:uid="{6D96C943-F44D-4A62-A395-E9FE5ED25186}"/>
    <cellStyle name="Normal 8 3 3 2 5 2 2" xfId="9907" xr:uid="{3E55FE11-9E5B-470C-A251-4EBE4C0CCB69}"/>
    <cellStyle name="Normal 8 3 3 2 5 3" xfId="7762" xr:uid="{87920583-C452-43B0-BC2E-2A4D56657F68}"/>
    <cellStyle name="Normal 8 3 3 2 6" xfId="3896" xr:uid="{C2E9A013-6139-4CA5-B8B4-0E39B6C2CB14}"/>
    <cellStyle name="Normal 8 3 3 2 6 2" xfId="8175" xr:uid="{C1563C29-3480-4F52-B947-DFA0011C2A00}"/>
    <cellStyle name="Normal 8 3 3 2 7" xfId="6110" xr:uid="{C9E303E7-8274-47F6-8BAC-503058D98D91}"/>
    <cellStyle name="Normal 8 3 3 2 8" xfId="1806" xr:uid="{761656BD-6F2C-4C05-8223-921E224C27E2}"/>
    <cellStyle name="Normal 8 3 3 3" xfId="975" xr:uid="{00000000-0005-0000-0000-000088030000}"/>
    <cellStyle name="Normal 8 3 3 3 2" xfId="4449" xr:uid="{3CF48847-AE28-4813-900A-312552AB2BDC}"/>
    <cellStyle name="Normal 8 3 3 3 2 2" xfId="8667" xr:uid="{78E20770-79E5-416E-8F27-05B008D0B19B}"/>
    <cellStyle name="Normal 8 3 3 3 3" xfId="6522" xr:uid="{1516AC1E-8D60-4E60-A582-30470023ED89}"/>
    <cellStyle name="Normal 8 3 3 3 4" xfId="2220" xr:uid="{43ECFEA6-4263-452E-98E6-6DB6F757AB7D}"/>
    <cellStyle name="Normal 8 3 3 4" xfId="1391" xr:uid="{6D0C78BA-B8F2-4C17-B2FA-D2867D5C6FBD}"/>
    <cellStyle name="Normal 8 3 3 4 2" xfId="4862" xr:uid="{D4E02234-2CB5-4AF2-81D4-D2074476BBA8}"/>
    <cellStyle name="Normal 8 3 3 4 2 2" xfId="9080" xr:uid="{B8947495-5134-4825-BFC1-901F6DC635A2}"/>
    <cellStyle name="Normal 8 3 3 4 3" xfId="6935" xr:uid="{7D8F9112-C490-472C-99A9-1E4EFCCC138C}"/>
    <cellStyle name="Normal 8 3 3 4 4" xfId="2633" xr:uid="{52F8197A-82EF-47CB-83AF-5C16564D674D}"/>
    <cellStyle name="Normal 8 3 3 5" xfId="3046" xr:uid="{CD4DE501-B289-4447-B0A4-A0C813F9E4B9}"/>
    <cellStyle name="Normal 8 3 3 5 2" xfId="5275" xr:uid="{58DC4C72-0E4C-46E4-8EBD-8563452C8C00}"/>
    <cellStyle name="Normal 8 3 3 5 2 2" xfId="9493" xr:uid="{6ABC71C3-C57D-4CBF-BE7A-424765B250CF}"/>
    <cellStyle name="Normal 8 3 3 5 3" xfId="7348" xr:uid="{C75165AF-D4B3-4388-A3C3-9DCBC1B30078}"/>
    <cellStyle name="Normal 8 3 3 6" xfId="3459" xr:uid="{4FA80634-DF12-42EB-AF63-22ED34B309CB}"/>
    <cellStyle name="Normal 8 3 3 6 2" xfId="5688" xr:uid="{FB48E9F6-6312-480F-8087-A575094CED02}"/>
    <cellStyle name="Normal 8 3 3 6 2 2" xfId="9906" xr:uid="{D3FDF27C-2795-4D26-8365-A8A86DA956F7}"/>
    <cellStyle name="Normal 8 3 3 6 3" xfId="7761" xr:uid="{B359FF3C-BA5D-4096-AE2B-B07DFC65F9A3}"/>
    <cellStyle name="Normal 8 3 3 7" xfId="3895" xr:uid="{188807BE-8EE0-4ADA-8EDD-81AEDB5B9D80}"/>
    <cellStyle name="Normal 8 3 3 7 2" xfId="8174" xr:uid="{FB702D94-8980-4DA6-8D60-1A4E13FFBA4A}"/>
    <cellStyle name="Normal 8 3 3 8" xfId="6109" xr:uid="{60366DDA-1414-4A28-8560-62EC882B45F9}"/>
    <cellStyle name="Normal 8 3 3 9" xfId="1805" xr:uid="{28B5312C-E2C0-4596-A026-45897D22A14D}"/>
    <cellStyle name="Normal 8 3 4" xfId="505" xr:uid="{00000000-0005-0000-0000-000089030000}"/>
    <cellStyle name="Normal 8 3 4 2" xfId="977" xr:uid="{00000000-0005-0000-0000-00008A030000}"/>
    <cellStyle name="Normal 8 3 4 2 2" xfId="4451" xr:uid="{93969602-0677-4F0A-A6AB-4BD44163CF06}"/>
    <cellStyle name="Normal 8 3 4 2 2 2" xfId="8669" xr:uid="{C6920784-1BBD-42F9-96F4-721DB87D97B0}"/>
    <cellStyle name="Normal 8 3 4 2 3" xfId="6524" xr:uid="{313290AA-EC26-4F14-A936-BD0572EFCEED}"/>
    <cellStyle name="Normal 8 3 4 2 4" xfId="2222" xr:uid="{8A5D1D0F-103F-4FF1-BFF5-72177AE6689D}"/>
    <cellStyle name="Normal 8 3 4 3" xfId="1393" xr:uid="{9E95C582-B8A1-4AF4-BA43-2DE932E81D3B}"/>
    <cellStyle name="Normal 8 3 4 3 2" xfId="4864" xr:uid="{3E288C62-4ACE-44C4-8C2E-7C18598068F0}"/>
    <cellStyle name="Normal 8 3 4 3 2 2" xfId="9082" xr:uid="{DFD277B5-B7A4-43D8-979B-88063DDB3A2D}"/>
    <cellStyle name="Normal 8 3 4 3 3" xfId="6937" xr:uid="{25530E44-11F5-4671-A286-15439C7B6BCD}"/>
    <cellStyle name="Normal 8 3 4 3 4" xfId="2635" xr:uid="{7C2B8D16-3A1D-4C19-B327-2555516C9708}"/>
    <cellStyle name="Normal 8 3 4 4" xfId="3048" xr:uid="{6DDE2688-A600-4BF8-A49D-C97E7A37DC9A}"/>
    <cellStyle name="Normal 8 3 4 4 2" xfId="5277" xr:uid="{A594A33A-72F1-4FC8-BC6E-C6A552790EC1}"/>
    <cellStyle name="Normal 8 3 4 4 2 2" xfId="9495" xr:uid="{EAD5BDAF-2873-485C-B817-D10D9AAB546F}"/>
    <cellStyle name="Normal 8 3 4 4 3" xfId="7350" xr:uid="{9A006B3B-6688-4810-9E27-A48DF4C58B0D}"/>
    <cellStyle name="Normal 8 3 4 5" xfId="3461" xr:uid="{558CFB5E-DC5D-44E1-A387-64D75795C459}"/>
    <cellStyle name="Normal 8 3 4 5 2" xfId="5690" xr:uid="{41C0D3A7-409D-44A3-AACD-018B36B3E496}"/>
    <cellStyle name="Normal 8 3 4 5 2 2" xfId="9908" xr:uid="{8FEE8C97-8E80-4A2D-8D16-02003DA4AECB}"/>
    <cellStyle name="Normal 8 3 4 5 3" xfId="7763" xr:uid="{EA597CB0-1FB0-40FD-B9BF-680CB2D4EEAB}"/>
    <cellStyle name="Normal 8 3 4 6" xfId="3897" xr:uid="{6332A111-C03A-415E-911A-CFD4E1562E69}"/>
    <cellStyle name="Normal 8 3 4 6 2" xfId="8176" xr:uid="{5DC1A1CF-32DB-47C2-B068-88243273ADBC}"/>
    <cellStyle name="Normal 8 3 4 7" xfId="6111" xr:uid="{21227179-2FCB-489E-AF13-7B0FA7637C11}"/>
    <cellStyle name="Normal 8 3 4 8" xfId="1807" xr:uid="{FDBDA468-55FE-4B9D-B2C1-46E86682F7AD}"/>
    <cellStyle name="Normal 8 3 5" xfId="970" xr:uid="{00000000-0005-0000-0000-00008B030000}"/>
    <cellStyle name="Normal 8 3 5 2" xfId="4444" xr:uid="{78D46C5E-CD09-4AD1-A16D-A25D477C5406}"/>
    <cellStyle name="Normal 8 3 5 2 2" xfId="8662" xr:uid="{32FF6C19-E683-4293-82B1-D38EB8E024A8}"/>
    <cellStyle name="Normal 8 3 5 3" xfId="6517" xr:uid="{EF0BAC67-5247-455F-88E6-350DA821E79A}"/>
    <cellStyle name="Normal 8 3 5 4" xfId="2215" xr:uid="{82777E30-D31C-45D8-B222-BDC5809BBBB1}"/>
    <cellStyle name="Normal 8 3 6" xfId="1386" xr:uid="{0F9B2045-F3FD-49B4-8A1C-77C681615881}"/>
    <cellStyle name="Normal 8 3 6 2" xfId="4857" xr:uid="{84FD2510-D663-4D4F-9815-0F15B13AF722}"/>
    <cellStyle name="Normal 8 3 6 2 2" xfId="9075" xr:uid="{62114A89-CA4F-4036-9688-038F7E8D0803}"/>
    <cellStyle name="Normal 8 3 6 3" xfId="6930" xr:uid="{92DFFD79-CAA4-48E0-B28F-C85B5BF7C734}"/>
    <cellStyle name="Normal 8 3 6 4" xfId="2628" xr:uid="{94316FC8-D22D-49AA-976D-17FCC2DEA8FD}"/>
    <cellStyle name="Normal 8 3 7" xfId="3041" xr:uid="{33AF1F19-D9C0-43CA-BA46-4AE814031830}"/>
    <cellStyle name="Normal 8 3 7 2" xfId="5270" xr:uid="{BC97809F-A68B-4DA6-BBC6-D52710FD3C71}"/>
    <cellStyle name="Normal 8 3 7 2 2" xfId="9488" xr:uid="{E3E810D9-34CA-4AB5-BC61-8BB940A3CD57}"/>
    <cellStyle name="Normal 8 3 7 3" xfId="7343" xr:uid="{B432E3A4-D521-41E7-A4BC-383A7EDE9E0D}"/>
    <cellStyle name="Normal 8 3 8" xfId="3454" xr:uid="{C75C6177-6939-43B0-AD31-F636F616AAE0}"/>
    <cellStyle name="Normal 8 3 8 2" xfId="5683" xr:uid="{3F061D10-FABC-4DF6-9E30-61306A7D076F}"/>
    <cellStyle name="Normal 8 3 8 2 2" xfId="9901" xr:uid="{445EF1E0-A152-40EC-B349-1058969CB835}"/>
    <cellStyle name="Normal 8 3 8 3" xfId="7756" xr:uid="{923A91F7-1E86-45B1-A763-31C76D4F52FD}"/>
    <cellStyle name="Normal 8 3 9" xfId="3890" xr:uid="{3B8799A5-6756-4E8D-8A19-9ED304919921}"/>
    <cellStyle name="Normal 8 3 9 2" xfId="8169" xr:uid="{7CB356A4-4F84-4724-8309-14487FD0E364}"/>
    <cellStyle name="Normal 8 4" xfId="506" xr:uid="{00000000-0005-0000-0000-00008C030000}"/>
    <cellStyle name="Normal 8 4 10" xfId="1808" xr:uid="{43E5B2A1-2125-4AEC-AFD0-1606E51DA7F9}"/>
    <cellStyle name="Normal 8 4 2" xfId="507" xr:uid="{00000000-0005-0000-0000-00008D030000}"/>
    <cellStyle name="Normal 8 4 2 2" xfId="508" xr:uid="{00000000-0005-0000-0000-00008E030000}"/>
    <cellStyle name="Normal 8 4 2 2 2" xfId="980" xr:uid="{00000000-0005-0000-0000-00008F030000}"/>
    <cellStyle name="Normal 8 4 2 2 2 2" xfId="4454" xr:uid="{A00E0523-BCEC-4E74-AA89-DB6F48424755}"/>
    <cellStyle name="Normal 8 4 2 2 2 2 2" xfId="8672" xr:uid="{1D84684C-A5EA-4FD5-AA48-B930CA8F5CE8}"/>
    <cellStyle name="Normal 8 4 2 2 2 3" xfId="6527" xr:uid="{3FDDE090-F926-4F5E-A492-DDB685E8379F}"/>
    <cellStyle name="Normal 8 4 2 2 2 4" xfId="2225" xr:uid="{EE42E756-AFC6-4A6E-AE23-B17F091D04B4}"/>
    <cellStyle name="Normal 8 4 2 2 3" xfId="1396" xr:uid="{DCF4B6BB-D4E8-4B3B-9423-AB8823B18922}"/>
    <cellStyle name="Normal 8 4 2 2 3 2" xfId="4867" xr:uid="{3AC7CE7B-935F-4404-B35B-CFA7E0AFAFC9}"/>
    <cellStyle name="Normal 8 4 2 2 3 2 2" xfId="9085" xr:uid="{F8254F03-6D69-4103-8E33-EFE275FF6606}"/>
    <cellStyle name="Normal 8 4 2 2 3 3" xfId="6940" xr:uid="{26979A39-2263-4645-BD12-D58BE61336E8}"/>
    <cellStyle name="Normal 8 4 2 2 3 4" xfId="2638" xr:uid="{16EFDA78-B44A-4B91-B0D7-5A297E5D2000}"/>
    <cellStyle name="Normal 8 4 2 2 4" xfId="3051" xr:uid="{E17BD778-1E0D-4121-B39F-BF9E0CD517E6}"/>
    <cellStyle name="Normal 8 4 2 2 4 2" xfId="5280" xr:uid="{200262D7-ED30-4FEC-8E43-F528AFA38152}"/>
    <cellStyle name="Normal 8 4 2 2 4 2 2" xfId="9498" xr:uid="{2DFA5FC9-8255-4B91-8A36-4C7F16D96743}"/>
    <cellStyle name="Normal 8 4 2 2 4 3" xfId="7353" xr:uid="{F0E4A5A4-A77D-4EEC-BCE6-0854D7AB91C5}"/>
    <cellStyle name="Normal 8 4 2 2 5" xfId="3464" xr:uid="{A5F7FB1B-BBD4-4B4D-8D73-1880F9478A1A}"/>
    <cellStyle name="Normal 8 4 2 2 5 2" xfId="5693" xr:uid="{7316D1A4-DC9F-463E-8947-8D162D385C4B}"/>
    <cellStyle name="Normal 8 4 2 2 5 2 2" xfId="9911" xr:uid="{FFDBA481-CC32-45EF-AACB-D1B7593DDC8C}"/>
    <cellStyle name="Normal 8 4 2 2 5 3" xfId="7766" xr:uid="{212234A4-9D25-403B-A572-71EE9B269EFF}"/>
    <cellStyle name="Normal 8 4 2 2 6" xfId="3900" xr:uid="{6FDF36A4-A065-473E-AD63-30499FEE69E4}"/>
    <cellStyle name="Normal 8 4 2 2 6 2" xfId="8179" xr:uid="{AE661D15-F338-458B-82B4-D2FE152DAB08}"/>
    <cellStyle name="Normal 8 4 2 2 7" xfId="6114" xr:uid="{87C3D911-CFF7-4EED-8A0F-1CA4C58A42B2}"/>
    <cellStyle name="Normal 8 4 2 2 8" xfId="1810" xr:uid="{CDC3A651-55FF-40D5-8FB8-C5861C097DDC}"/>
    <cellStyle name="Normal 8 4 2 3" xfId="979" xr:uid="{00000000-0005-0000-0000-000090030000}"/>
    <cellStyle name="Normal 8 4 2 3 2" xfId="4453" xr:uid="{CB6F3CA8-F888-4B91-A0E3-C75188AD6EFC}"/>
    <cellStyle name="Normal 8 4 2 3 2 2" xfId="8671" xr:uid="{91A8BB7A-0B1F-48E5-ADF8-439E4D33FF97}"/>
    <cellStyle name="Normal 8 4 2 3 3" xfId="6526" xr:uid="{EC885843-7A8E-473F-B921-39F49B0D8AD9}"/>
    <cellStyle name="Normal 8 4 2 3 4" xfId="2224" xr:uid="{EE3D8E38-EC2A-4BB0-AA7C-BDFDB276A197}"/>
    <cellStyle name="Normal 8 4 2 4" xfId="1395" xr:uid="{C2DE9779-22DB-4FBD-9E5D-9BA383226A81}"/>
    <cellStyle name="Normal 8 4 2 4 2" xfId="4866" xr:uid="{AA389309-B94C-4687-B7CB-0482AF18AC80}"/>
    <cellStyle name="Normal 8 4 2 4 2 2" xfId="9084" xr:uid="{F4AAC3A0-FBD4-436F-8EA3-F0371CC70CBB}"/>
    <cellStyle name="Normal 8 4 2 4 3" xfId="6939" xr:uid="{8FEAEFA9-F366-469C-9D64-ACD18D2D1C29}"/>
    <cellStyle name="Normal 8 4 2 4 4" xfId="2637" xr:uid="{B49C2392-9591-4353-BDB6-29A26D787CAB}"/>
    <cellStyle name="Normal 8 4 2 5" xfId="3050" xr:uid="{6BEA877A-08E8-453B-8508-54262E6C1C4E}"/>
    <cellStyle name="Normal 8 4 2 5 2" xfId="5279" xr:uid="{48DEEBE3-03D2-44E8-98DB-4EC2008285FF}"/>
    <cellStyle name="Normal 8 4 2 5 2 2" xfId="9497" xr:uid="{544070DE-FA27-4CCF-BB21-4935D30EC56F}"/>
    <cellStyle name="Normal 8 4 2 5 3" xfId="7352" xr:uid="{F0E2FC40-CFAF-4D7C-99AB-49800C2F04B5}"/>
    <cellStyle name="Normal 8 4 2 6" xfId="3463" xr:uid="{0AD2AB68-E45A-4ABF-A1EF-8E83FA33E9E4}"/>
    <cellStyle name="Normal 8 4 2 6 2" xfId="5692" xr:uid="{116ADD5F-DFDF-41D2-BF73-FDEA58B9B6E9}"/>
    <cellStyle name="Normal 8 4 2 6 2 2" xfId="9910" xr:uid="{CB4D026E-0EB3-4A4D-AEAA-8BFC5BAD5895}"/>
    <cellStyle name="Normal 8 4 2 6 3" xfId="7765" xr:uid="{2F68AF5C-BCCE-4B71-9FD7-240D4BA33CAD}"/>
    <cellStyle name="Normal 8 4 2 7" xfId="3899" xr:uid="{35FF6C3B-C603-4941-B8AE-0971ED844A36}"/>
    <cellStyle name="Normal 8 4 2 7 2" xfId="8178" xr:uid="{522FF711-579B-4764-ABA6-7303A3AB5511}"/>
    <cellStyle name="Normal 8 4 2 8" xfId="6113" xr:uid="{C64BA436-A43E-420A-A0EB-5560EAB4750F}"/>
    <cellStyle name="Normal 8 4 2 9" xfId="1809" xr:uid="{1CF27E9D-BEB8-4F1B-A7E8-F417F621E897}"/>
    <cellStyle name="Normal 8 4 3" xfId="509" xr:uid="{00000000-0005-0000-0000-000091030000}"/>
    <cellStyle name="Normal 8 4 3 2" xfId="981" xr:uid="{00000000-0005-0000-0000-000092030000}"/>
    <cellStyle name="Normal 8 4 3 2 2" xfId="4455" xr:uid="{6C859A77-063C-4147-8395-081296A27859}"/>
    <cellStyle name="Normal 8 4 3 2 2 2" xfId="8673" xr:uid="{E07A6897-2DD4-4E56-AB7B-A75BBE519F0C}"/>
    <cellStyle name="Normal 8 4 3 2 3" xfId="6528" xr:uid="{85963458-2F81-4495-8818-138C42DB4447}"/>
    <cellStyle name="Normal 8 4 3 2 4" xfId="2226" xr:uid="{A47B50C7-CB92-4C53-8033-4CE892C465CE}"/>
    <cellStyle name="Normal 8 4 3 3" xfId="1397" xr:uid="{B153A346-7644-4A44-8644-822AFFD3A7D1}"/>
    <cellStyle name="Normal 8 4 3 3 2" xfId="4868" xr:uid="{2830EB31-0501-4758-A1CC-42E50632A2CE}"/>
    <cellStyle name="Normal 8 4 3 3 2 2" xfId="9086" xr:uid="{3E8E2746-2D83-4CF1-A490-87CF3AC67EEE}"/>
    <cellStyle name="Normal 8 4 3 3 3" xfId="6941" xr:uid="{685F9E6B-D9DD-4BD2-A1AC-33CB01057BB3}"/>
    <cellStyle name="Normal 8 4 3 3 4" xfId="2639" xr:uid="{8BA4D48C-3E62-4E70-A7C7-59BEFBCDF04D}"/>
    <cellStyle name="Normal 8 4 3 4" xfId="3052" xr:uid="{25988F98-566B-477A-AC33-6092344714AF}"/>
    <cellStyle name="Normal 8 4 3 4 2" xfId="5281" xr:uid="{AFFE61E9-CD30-4112-8014-D91EEBF6576E}"/>
    <cellStyle name="Normal 8 4 3 4 2 2" xfId="9499" xr:uid="{3CC04237-5F64-4D8E-89F8-80ABC239B191}"/>
    <cellStyle name="Normal 8 4 3 4 3" xfId="7354" xr:uid="{10BF92E5-30CA-4BC4-87B7-615FAD44ADEB}"/>
    <cellStyle name="Normal 8 4 3 5" xfId="3465" xr:uid="{F9D7AE99-62E6-46BD-8A38-C0926A7A1BAA}"/>
    <cellStyle name="Normal 8 4 3 5 2" xfId="5694" xr:uid="{CB96BE5B-6C12-4194-9876-BBB35FA43FAC}"/>
    <cellStyle name="Normal 8 4 3 5 2 2" xfId="9912" xr:uid="{8438CCE6-28F4-421F-9483-B5FD76718848}"/>
    <cellStyle name="Normal 8 4 3 5 3" xfId="7767" xr:uid="{A162E060-A2BE-4A4F-A13C-80EEB3F70BA6}"/>
    <cellStyle name="Normal 8 4 3 6" xfId="3901" xr:uid="{F7162C5B-8F85-4DA6-A2DE-25B34E25198A}"/>
    <cellStyle name="Normal 8 4 3 6 2" xfId="8180" xr:uid="{CC9FE611-B855-402F-8364-3F4228339DB2}"/>
    <cellStyle name="Normal 8 4 3 7" xfId="6115" xr:uid="{80FCC9B0-F039-49B0-A12C-FF859464A696}"/>
    <cellStyle name="Normal 8 4 3 8" xfId="1811" xr:uid="{E5033AB9-7C76-4C6C-BD32-85092E4A8C84}"/>
    <cellStyle name="Normal 8 4 4" xfId="978" xr:uid="{00000000-0005-0000-0000-000093030000}"/>
    <cellStyle name="Normal 8 4 4 2" xfId="4452" xr:uid="{451A2F7F-0718-49F0-9050-62CC698DFA2C}"/>
    <cellStyle name="Normal 8 4 4 2 2" xfId="8670" xr:uid="{9F8AE099-1A62-473E-9A64-84EF3C9F1C21}"/>
    <cellStyle name="Normal 8 4 4 3" xfId="6525" xr:uid="{E21865C4-1D61-4B38-A873-AC2846F458DD}"/>
    <cellStyle name="Normal 8 4 4 4" xfId="2223" xr:uid="{C144391D-B808-428E-8866-85C289912B18}"/>
    <cellStyle name="Normal 8 4 5" xfId="1394" xr:uid="{D0C78EF9-1320-489F-92C6-17D6C8368AD7}"/>
    <cellStyle name="Normal 8 4 5 2" xfId="4865" xr:uid="{29728E73-34EE-4AEB-9791-0E5068EF95E3}"/>
    <cellStyle name="Normal 8 4 5 2 2" xfId="9083" xr:uid="{462CB39B-A67E-403D-86D7-CC95F6DBDAB3}"/>
    <cellStyle name="Normal 8 4 5 3" xfId="6938" xr:uid="{4A0FB42E-33F4-4D61-A8B3-2A0F960AA3B8}"/>
    <cellStyle name="Normal 8 4 5 4" xfId="2636" xr:uid="{A48BB3C2-78F6-4327-A94F-3C29F4269C5F}"/>
    <cellStyle name="Normal 8 4 6" xfId="3049" xr:uid="{DFDB07AC-0AF1-41E0-8B59-9A4E0E414D9A}"/>
    <cellStyle name="Normal 8 4 6 2" xfId="5278" xr:uid="{EA7DF39A-9EE9-4F52-81BB-3A848CBAAFC8}"/>
    <cellStyle name="Normal 8 4 6 2 2" xfId="9496" xr:uid="{C99A44E1-76B6-4400-B1A8-404C2324A5EF}"/>
    <cellStyle name="Normal 8 4 6 3" xfId="7351" xr:uid="{A404D42A-C8DF-4A90-863C-E9899AD554BF}"/>
    <cellStyle name="Normal 8 4 7" xfId="3462" xr:uid="{5B41BDC9-AC3C-4215-A66A-4358A9E80AAE}"/>
    <cellStyle name="Normal 8 4 7 2" xfId="5691" xr:uid="{9FF53ACB-3209-48EB-894B-0BCC17AEDBC5}"/>
    <cellStyle name="Normal 8 4 7 2 2" xfId="9909" xr:uid="{9A7C62D6-E4D6-435D-9DCD-EDC5FE4EBF4B}"/>
    <cellStyle name="Normal 8 4 7 3" xfId="7764" xr:uid="{B839A81C-9C75-44DA-9375-3B672982F3C7}"/>
    <cellStyle name="Normal 8 4 8" xfId="3898" xr:uid="{8A522530-1B2C-4CA0-8ADA-528A3D97112E}"/>
    <cellStyle name="Normal 8 4 8 2" xfId="8177" xr:uid="{66D18676-D357-43F8-95CE-C847F4E6F860}"/>
    <cellStyle name="Normal 8 4 9" xfId="6112" xr:uid="{909391CD-43A0-4649-9B5C-8F5978FD5860}"/>
    <cellStyle name="Normal 8 5" xfId="510" xr:uid="{00000000-0005-0000-0000-000094030000}"/>
    <cellStyle name="Normal 8 5 2" xfId="511" xr:uid="{00000000-0005-0000-0000-000095030000}"/>
    <cellStyle name="Normal 8 5 2 2" xfId="983" xr:uid="{00000000-0005-0000-0000-000096030000}"/>
    <cellStyle name="Normal 8 5 2 2 2" xfId="4457" xr:uid="{2D20881B-EE85-47A2-B4AD-E088981B9EF0}"/>
    <cellStyle name="Normal 8 5 2 2 2 2" xfId="8675" xr:uid="{D34913BC-7C6E-4CF8-885C-0F8B3B49C6AE}"/>
    <cellStyle name="Normal 8 5 2 2 3" xfId="6530" xr:uid="{E9763EDF-C40A-4909-801A-B4C40932C4AE}"/>
    <cellStyle name="Normal 8 5 2 2 4" xfId="2228" xr:uid="{56A8516D-AF6A-4E1A-B189-327AF0EAEFDA}"/>
    <cellStyle name="Normal 8 5 2 3" xfId="1399" xr:uid="{8D9D7448-4A9A-4F90-A0B2-5C57F9588700}"/>
    <cellStyle name="Normal 8 5 2 3 2" xfId="4870" xr:uid="{69FBC184-3448-4F99-85CF-76469D1DBD3B}"/>
    <cellStyle name="Normal 8 5 2 3 2 2" xfId="9088" xr:uid="{270238FF-7DB5-4285-A36F-5CCFAC425BE9}"/>
    <cellStyle name="Normal 8 5 2 3 3" xfId="6943" xr:uid="{3ACD89E5-B33B-45BE-A921-F25F7C4D33B6}"/>
    <cellStyle name="Normal 8 5 2 3 4" xfId="2641" xr:uid="{6056A501-555F-4B5E-8845-B728614C79B6}"/>
    <cellStyle name="Normal 8 5 2 4" xfId="3054" xr:uid="{C90847AB-DB94-407F-9E7B-6F037838FD66}"/>
    <cellStyle name="Normal 8 5 2 4 2" xfId="5283" xr:uid="{ECC8262F-FF09-40F6-98BC-A8DAB4EF69DF}"/>
    <cellStyle name="Normal 8 5 2 4 2 2" xfId="9501" xr:uid="{6FFCEE6A-0D3A-41BD-A631-CA1F715A6535}"/>
    <cellStyle name="Normal 8 5 2 4 3" xfId="7356" xr:uid="{7BC933F6-AF0A-4EE2-B6DD-25DAD86FF0DF}"/>
    <cellStyle name="Normal 8 5 2 5" xfId="3467" xr:uid="{7E78733D-BA31-4BDC-B3D5-1D56BBF382C5}"/>
    <cellStyle name="Normal 8 5 2 5 2" xfId="5696" xr:uid="{6521E905-0447-48B6-BC91-993F863AD719}"/>
    <cellStyle name="Normal 8 5 2 5 2 2" xfId="9914" xr:uid="{8C4A4BF6-0FB6-4EFB-B70E-525D9F62DC8C}"/>
    <cellStyle name="Normal 8 5 2 5 3" xfId="7769" xr:uid="{F0733647-193F-4729-ADEC-EFEBEAC18D8F}"/>
    <cellStyle name="Normal 8 5 2 6" xfId="3903" xr:uid="{A1EA30DF-91F8-494C-9746-1204A606BEA1}"/>
    <cellStyle name="Normal 8 5 2 6 2" xfId="8182" xr:uid="{86B24E08-2ABF-4B22-A7F9-F25CED32782A}"/>
    <cellStyle name="Normal 8 5 2 7" xfId="6117" xr:uid="{0EB90F46-2A25-48CF-9C27-2B80F8D785D0}"/>
    <cellStyle name="Normal 8 5 2 8" xfId="1813" xr:uid="{F2143172-CC38-45E2-8249-7E0B265856BA}"/>
    <cellStyle name="Normal 8 5 3" xfId="982" xr:uid="{00000000-0005-0000-0000-000097030000}"/>
    <cellStyle name="Normal 8 5 3 2" xfId="4456" xr:uid="{BBA57077-7B86-4BBC-9B31-2924C17EF566}"/>
    <cellStyle name="Normal 8 5 3 2 2" xfId="8674" xr:uid="{AA819078-142D-47DD-ABC7-322BE4876C68}"/>
    <cellStyle name="Normal 8 5 3 3" xfId="6529" xr:uid="{A9095C62-DF56-4334-A58D-63C3A0DB1EEA}"/>
    <cellStyle name="Normal 8 5 3 4" xfId="2227" xr:uid="{6C05DB40-E3DD-42DD-9440-D5E71C6C9B80}"/>
    <cellStyle name="Normal 8 5 4" xfId="1398" xr:uid="{F3657B31-CC0F-4E4D-A51D-32D08D473B03}"/>
    <cellStyle name="Normal 8 5 4 2" xfId="4869" xr:uid="{FA08F075-96FF-4F87-82D4-DA2DC8E54652}"/>
    <cellStyle name="Normal 8 5 4 2 2" xfId="9087" xr:uid="{229583EB-969B-410F-816C-95C0CE4FC495}"/>
    <cellStyle name="Normal 8 5 4 3" xfId="6942" xr:uid="{4E9472B5-CE9F-48BD-80D5-FA30B697C5E4}"/>
    <cellStyle name="Normal 8 5 4 4" xfId="2640" xr:uid="{C9532DF6-00C1-4076-BCC9-AB0252ECC31C}"/>
    <cellStyle name="Normal 8 5 5" xfId="3053" xr:uid="{D545ACB8-4E6E-4126-887C-6EF912332F53}"/>
    <cellStyle name="Normal 8 5 5 2" xfId="5282" xr:uid="{9B80AC6B-8095-48E4-BA57-FA1E9BF3C780}"/>
    <cellStyle name="Normal 8 5 5 2 2" xfId="9500" xr:uid="{92E66448-AADA-4AD7-B5F7-D230594C71E1}"/>
    <cellStyle name="Normal 8 5 5 3" xfId="7355" xr:uid="{8DC8433D-972A-4042-91AA-EC087ED6055A}"/>
    <cellStyle name="Normal 8 5 6" xfId="3466" xr:uid="{7B82EB9A-0730-43C5-9BB8-C89AB6EB7FD2}"/>
    <cellStyle name="Normal 8 5 6 2" xfId="5695" xr:uid="{EE1B5A4A-54EA-4150-99AA-D0A58111AF25}"/>
    <cellStyle name="Normal 8 5 6 2 2" xfId="9913" xr:uid="{DEFEFCE5-2D6D-42DC-BD32-00B6BC284A1A}"/>
    <cellStyle name="Normal 8 5 6 3" xfId="7768" xr:uid="{8A530414-DDB7-4CB6-8E0E-91AFA4381C69}"/>
    <cellStyle name="Normal 8 5 7" xfId="3902" xr:uid="{A560FA29-70CF-4B9B-9F73-FDAEF1D9AFA6}"/>
    <cellStyle name="Normal 8 5 7 2" xfId="8181" xr:uid="{CAF6C960-F2BA-4D8C-A7AF-827C1E8B42FC}"/>
    <cellStyle name="Normal 8 5 8" xfId="6116" xr:uid="{00932BB8-D5EC-41FA-A6CB-14CBED08C0BF}"/>
    <cellStyle name="Normal 8 5 9" xfId="1812" xr:uid="{BC43DEFF-A258-4041-9548-39C1837CC7B1}"/>
    <cellStyle name="Normal 8 6" xfId="512" xr:uid="{00000000-0005-0000-0000-000098030000}"/>
    <cellStyle name="Normal 8 6 2" xfId="984" xr:uid="{00000000-0005-0000-0000-000099030000}"/>
    <cellStyle name="Normal 8 6 2 2" xfId="4458" xr:uid="{63AD2FC7-D024-4158-A927-D2E877DA497A}"/>
    <cellStyle name="Normal 8 6 2 2 2" xfId="8676" xr:uid="{E3E8314F-58CE-4A27-911D-1DF419F22095}"/>
    <cellStyle name="Normal 8 6 2 3" xfId="6531" xr:uid="{2441829A-C5F0-4DB9-B784-63B10994D474}"/>
    <cellStyle name="Normal 8 6 2 4" xfId="2229" xr:uid="{E252D66A-B2BA-4937-B300-6C372618720D}"/>
    <cellStyle name="Normal 8 6 3" xfId="1400" xr:uid="{FE5EA886-4EDA-4DD2-82B0-B56A0A316E78}"/>
    <cellStyle name="Normal 8 6 3 2" xfId="4871" xr:uid="{345F4B15-7619-4C8A-8BE7-13FA9A47E853}"/>
    <cellStyle name="Normal 8 6 3 2 2" xfId="9089" xr:uid="{9D5A97DA-A230-4238-AE35-B8CA31EA99A1}"/>
    <cellStyle name="Normal 8 6 3 3" xfId="6944" xr:uid="{4669C767-AAC6-49CA-AFD4-527A80CA5DB8}"/>
    <cellStyle name="Normal 8 6 3 4" xfId="2642" xr:uid="{15882E9A-B80B-42FF-B229-B0F3D1206D51}"/>
    <cellStyle name="Normal 8 6 4" xfId="3055" xr:uid="{DE6F05FB-DE16-4C15-9740-1560BCA8C4FC}"/>
    <cellStyle name="Normal 8 6 4 2" xfId="5284" xr:uid="{167A2DD2-E610-4461-8444-35E50252A4BD}"/>
    <cellStyle name="Normal 8 6 4 2 2" xfId="9502" xr:uid="{4475BB97-1D4A-4A1A-8D83-E7B5A8C035AA}"/>
    <cellStyle name="Normal 8 6 4 3" xfId="7357" xr:uid="{8CC70E5C-AF2B-43E9-B13C-781D4BDD40F3}"/>
    <cellStyle name="Normal 8 6 5" xfId="3468" xr:uid="{906CFECD-1B87-466E-9129-80B967973264}"/>
    <cellStyle name="Normal 8 6 5 2" xfId="5697" xr:uid="{D7679B87-5C8E-41E8-BA8E-BD31E97E9D2B}"/>
    <cellStyle name="Normal 8 6 5 2 2" xfId="9915" xr:uid="{D264F2DA-DF21-493D-A097-244E838E7F66}"/>
    <cellStyle name="Normal 8 6 5 3" xfId="7770" xr:uid="{60EBA1A3-AEF5-4078-8273-722411A6C873}"/>
    <cellStyle name="Normal 8 6 6" xfId="3904" xr:uid="{6D1C783B-D870-49E0-9268-FBC52AE8F9D1}"/>
    <cellStyle name="Normal 8 6 6 2" xfId="8183" xr:uid="{40424442-FDF4-41FC-AFB4-AFB7099B7DA2}"/>
    <cellStyle name="Normal 8 6 7" xfId="6118" xr:uid="{F744DD50-4A2B-4F63-BEDF-ACA0C551CBC5}"/>
    <cellStyle name="Normal 8 6 8" xfId="1814" xr:uid="{B297002D-C955-414C-9C1D-97CE2B700D8C}"/>
    <cellStyle name="Normal 8 7" xfId="953" xr:uid="{00000000-0005-0000-0000-00009A030000}"/>
    <cellStyle name="Normal 8 7 2" xfId="4427" xr:uid="{519CA57A-9B46-4874-BA0F-1309013FFA6F}"/>
    <cellStyle name="Normal 8 7 2 2" xfId="8645" xr:uid="{2AF3519A-64A0-486D-800B-FDBAFDE8070B}"/>
    <cellStyle name="Normal 8 7 3" xfId="6500" xr:uid="{CF782DD5-BE15-4C6D-B322-6581971DC667}"/>
    <cellStyle name="Normal 8 7 4" xfId="2198" xr:uid="{D7B0317F-71B8-4ADD-B907-1A5B9B9526AB}"/>
    <cellStyle name="Normal 8 8" xfId="1369" xr:uid="{9A46112E-EA6C-4F3B-85A9-C5190AC4C6B7}"/>
    <cellStyle name="Normal 8 8 2" xfId="4840" xr:uid="{C17B477E-BDE0-44A8-A688-DC6B03C7EC4E}"/>
    <cellStyle name="Normal 8 8 2 2" xfId="9058" xr:uid="{ECB84C0C-AFCA-44AA-9ECF-CA22AD74171C}"/>
    <cellStyle name="Normal 8 8 3" xfId="6913" xr:uid="{5BCD868A-105F-4F6D-9322-CBA3CCFCBEC8}"/>
    <cellStyle name="Normal 8 8 4" xfId="2611" xr:uid="{61C6FD23-7E82-44A8-9C5C-0C2C7A1D6FC4}"/>
    <cellStyle name="Normal 8 9" xfId="3024" xr:uid="{9D31BB5D-43CA-4B2A-AE3E-3778A11A2130}"/>
    <cellStyle name="Normal 8 9 2" xfId="5253" xr:uid="{EB011603-C07B-45FC-9C45-59FAD7F3F807}"/>
    <cellStyle name="Normal 8 9 2 2" xfId="9471" xr:uid="{232BB080-713A-4D60-AC61-182DB8B3722C}"/>
    <cellStyle name="Normal 8 9 3" xfId="7326" xr:uid="{04789414-60F4-42BE-B51F-D25F91C099C0}"/>
    <cellStyle name="Normal 9" xfId="513" xr:uid="{00000000-0005-0000-0000-00009B030000}"/>
    <cellStyle name="Normal 9 2" xfId="514" xr:uid="{00000000-0005-0000-0000-00009C030000}"/>
    <cellStyle name="Normal 9 2 10" xfId="3905" xr:uid="{BC2629A4-87CB-4B78-A927-7EC163DFB4BC}"/>
    <cellStyle name="Normal 9 2 10 2" xfId="8184" xr:uid="{62DA2FB7-5F8A-4E88-81D1-117EFFD8C163}"/>
    <cellStyle name="Normal 9 2 11" xfId="6119" xr:uid="{65E748BB-B921-4C7D-A3F7-B3723E9B6728}"/>
    <cellStyle name="Normal 9 2 12" xfId="1815" xr:uid="{43817E6B-CAAB-4AE1-BE16-3FCD8F50ED0A}"/>
    <cellStyle name="Normal 9 2 2" xfId="515" xr:uid="{00000000-0005-0000-0000-00009D030000}"/>
    <cellStyle name="Normal 9 2 2 10" xfId="6120" xr:uid="{40117B07-E846-479D-ACCE-7A20FDD2CA21}"/>
    <cellStyle name="Normal 9 2 2 11" xfId="1816" xr:uid="{4ECCFD4A-8383-4569-B273-DE6BEB641D42}"/>
    <cellStyle name="Normal 9 2 2 2" xfId="516" xr:uid="{00000000-0005-0000-0000-00009E030000}"/>
    <cellStyle name="Normal 9 2 2 2 10" xfId="1817" xr:uid="{CD4825FB-AB00-4352-9C64-30E4AA236519}"/>
    <cellStyle name="Normal 9 2 2 2 2" xfId="517" xr:uid="{00000000-0005-0000-0000-00009F030000}"/>
    <cellStyle name="Normal 9 2 2 2 2 2" xfId="518" xr:uid="{00000000-0005-0000-0000-0000A0030000}"/>
    <cellStyle name="Normal 9 2 2 2 2 2 2" xfId="990" xr:uid="{00000000-0005-0000-0000-0000A1030000}"/>
    <cellStyle name="Normal 9 2 2 2 2 2 2 2" xfId="4463" xr:uid="{72649D78-674E-4EF2-9AC1-4A4D2EFFD2BD}"/>
    <cellStyle name="Normal 9 2 2 2 2 2 2 2 2" xfId="8681" xr:uid="{E21871A1-A430-4E85-9F8F-4763AA3354AF}"/>
    <cellStyle name="Normal 9 2 2 2 2 2 2 3" xfId="6536" xr:uid="{ED8DF0CC-568F-49FD-8D34-A9BAAB6E11D7}"/>
    <cellStyle name="Normal 9 2 2 2 2 2 2 4" xfId="2234" xr:uid="{C604E2D6-F6A0-4DA8-A3BE-256D3B60ED9B}"/>
    <cellStyle name="Normal 9 2 2 2 2 2 3" xfId="1405" xr:uid="{4DB4DF66-D919-4999-B834-C6D351B42396}"/>
    <cellStyle name="Normal 9 2 2 2 2 2 3 2" xfId="4876" xr:uid="{294709B8-A3A8-4991-B67F-3C68389C6439}"/>
    <cellStyle name="Normal 9 2 2 2 2 2 3 2 2" xfId="9094" xr:uid="{F82A5D84-B8F7-41B1-81CC-3D7440BD893D}"/>
    <cellStyle name="Normal 9 2 2 2 2 2 3 3" xfId="6949" xr:uid="{8E4F4991-8F85-4108-ACD0-4A3D640A778A}"/>
    <cellStyle name="Normal 9 2 2 2 2 2 3 4" xfId="2647" xr:uid="{6FA45996-1042-4F7E-9CB2-EC3941BBB8E7}"/>
    <cellStyle name="Normal 9 2 2 2 2 2 4" xfId="3060" xr:uid="{44B1049D-5CB1-43C0-A604-B742D3490B05}"/>
    <cellStyle name="Normal 9 2 2 2 2 2 4 2" xfId="5289" xr:uid="{D8EFB3EE-F45F-475D-89FB-B37B25A99705}"/>
    <cellStyle name="Normal 9 2 2 2 2 2 4 2 2" xfId="9507" xr:uid="{5626AE46-60D3-49DF-AA58-082BD4F7D3B3}"/>
    <cellStyle name="Normal 9 2 2 2 2 2 4 3" xfId="7362" xr:uid="{DC6929B5-4CE0-4F77-BF03-2C852B46A946}"/>
    <cellStyle name="Normal 9 2 2 2 2 2 5" xfId="3473" xr:uid="{1AC5FDF3-4165-49E5-AC5B-4A360442780F}"/>
    <cellStyle name="Normal 9 2 2 2 2 2 5 2" xfId="5702" xr:uid="{B07C9CFE-F5B2-4AC1-978A-FA968F8E372F}"/>
    <cellStyle name="Normal 9 2 2 2 2 2 5 2 2" xfId="9920" xr:uid="{AA65AE77-93C6-4909-8391-B44283024D5C}"/>
    <cellStyle name="Normal 9 2 2 2 2 2 5 3" xfId="7775" xr:uid="{DC451F10-40A9-43C8-B572-0FB6FD3E8856}"/>
    <cellStyle name="Normal 9 2 2 2 2 2 6" xfId="3909" xr:uid="{4CF66F52-8800-44E2-AB24-B3FBDB2112E8}"/>
    <cellStyle name="Normal 9 2 2 2 2 2 6 2" xfId="8188" xr:uid="{DDF09B47-8964-4ECE-B04B-C59373328D94}"/>
    <cellStyle name="Normal 9 2 2 2 2 2 7" xfId="6123" xr:uid="{C65FE786-F9ED-45E1-A823-05668EEDF225}"/>
    <cellStyle name="Normal 9 2 2 2 2 2 8" xfId="1819" xr:uid="{4B64BA77-B348-4AC6-9F76-7DE5F001CC6D}"/>
    <cellStyle name="Normal 9 2 2 2 2 3" xfId="989" xr:uid="{00000000-0005-0000-0000-0000A2030000}"/>
    <cellStyle name="Normal 9 2 2 2 2 3 2" xfId="4462" xr:uid="{C002A6B4-C74F-4611-9DA8-E14CBF82460B}"/>
    <cellStyle name="Normal 9 2 2 2 2 3 2 2" xfId="8680" xr:uid="{AE95F55A-E237-40ED-AF83-50FC458E9C36}"/>
    <cellStyle name="Normal 9 2 2 2 2 3 3" xfId="6535" xr:uid="{D077462E-2FB1-403D-815A-DF549AD0E560}"/>
    <cellStyle name="Normal 9 2 2 2 2 3 4" xfId="2233" xr:uid="{FB874414-B5B8-4B63-9832-75145A007ABE}"/>
    <cellStyle name="Normal 9 2 2 2 2 4" xfId="1404" xr:uid="{A8CCD8D9-CE7D-4453-ACD8-EF92D36A3E52}"/>
    <cellStyle name="Normal 9 2 2 2 2 4 2" xfId="4875" xr:uid="{84531F43-FE9B-40C3-BF1A-F27FFBB29988}"/>
    <cellStyle name="Normal 9 2 2 2 2 4 2 2" xfId="9093" xr:uid="{1552B56E-2DA2-4607-B8FD-88F86A2C262A}"/>
    <cellStyle name="Normal 9 2 2 2 2 4 3" xfId="6948" xr:uid="{4BB9311E-7AC9-471C-BE7E-90CFE1367ECA}"/>
    <cellStyle name="Normal 9 2 2 2 2 4 4" xfId="2646" xr:uid="{1A5E61DE-C468-4C10-8780-5728A9052C8D}"/>
    <cellStyle name="Normal 9 2 2 2 2 5" xfId="3059" xr:uid="{2D8FBA9C-3145-4A57-B555-A7CD82322C4A}"/>
    <cellStyle name="Normal 9 2 2 2 2 5 2" xfId="5288" xr:uid="{D9DA17B3-5955-4119-9143-75A28D71CC9A}"/>
    <cellStyle name="Normal 9 2 2 2 2 5 2 2" xfId="9506" xr:uid="{B7F70AC5-8C3F-4F79-BE1B-7FBA26B67760}"/>
    <cellStyle name="Normal 9 2 2 2 2 5 3" xfId="7361" xr:uid="{8C4821DA-269D-4085-8D43-28A2F961B975}"/>
    <cellStyle name="Normal 9 2 2 2 2 6" xfId="3472" xr:uid="{30C797EC-3974-42CF-A821-6D66E054DF09}"/>
    <cellStyle name="Normal 9 2 2 2 2 6 2" xfId="5701" xr:uid="{731D12AC-C49A-4C46-AD5A-64A236C6D2B1}"/>
    <cellStyle name="Normal 9 2 2 2 2 6 2 2" xfId="9919" xr:uid="{814D484E-8F7A-46A4-90F2-DBFB5897E1A7}"/>
    <cellStyle name="Normal 9 2 2 2 2 6 3" xfId="7774" xr:uid="{372FEAE6-B4DB-437C-A0BF-5AA8BB3B0B8A}"/>
    <cellStyle name="Normal 9 2 2 2 2 7" xfId="3908" xr:uid="{A7D19977-E245-4412-A578-EF2F394C39A5}"/>
    <cellStyle name="Normal 9 2 2 2 2 7 2" xfId="8187" xr:uid="{A41B7485-18C3-497A-8F6B-0D178094A72E}"/>
    <cellStyle name="Normal 9 2 2 2 2 8" xfId="6122" xr:uid="{3A08AA5C-83B9-4BDE-A96E-211C2915314F}"/>
    <cellStyle name="Normal 9 2 2 2 2 9" xfId="1818" xr:uid="{3BE09772-8D94-4B64-8F3D-163A04C61F71}"/>
    <cellStyle name="Normal 9 2 2 2 3" xfId="519" xr:uid="{00000000-0005-0000-0000-0000A3030000}"/>
    <cellStyle name="Normal 9 2 2 2 3 2" xfId="991" xr:uid="{00000000-0005-0000-0000-0000A4030000}"/>
    <cellStyle name="Normal 9 2 2 2 3 2 2" xfId="4464" xr:uid="{AC9D9021-D6AC-4389-9FA0-39207C57FB8B}"/>
    <cellStyle name="Normal 9 2 2 2 3 2 2 2" xfId="8682" xr:uid="{50F813BD-818C-47D0-A5D6-3AC238F3EF89}"/>
    <cellStyle name="Normal 9 2 2 2 3 2 3" xfId="6537" xr:uid="{AE655966-4541-46EC-8B6D-9A8734312FBB}"/>
    <cellStyle name="Normal 9 2 2 2 3 2 4" xfId="2235" xr:uid="{8D98A51A-2ECE-4FDE-915B-1A3D27BC2E1E}"/>
    <cellStyle name="Normal 9 2 2 2 3 3" xfId="1406" xr:uid="{560AE8EC-1EF9-4CD1-9B50-CEDC7951C5B6}"/>
    <cellStyle name="Normal 9 2 2 2 3 3 2" xfId="4877" xr:uid="{DFA18027-A45C-4203-AFDC-1E369829E1EC}"/>
    <cellStyle name="Normal 9 2 2 2 3 3 2 2" xfId="9095" xr:uid="{3519E31C-7659-44FD-8B7F-15F38A8737C1}"/>
    <cellStyle name="Normal 9 2 2 2 3 3 3" xfId="6950" xr:uid="{F436CCD0-B0B9-4A10-B64D-1FD6A6EC3B30}"/>
    <cellStyle name="Normal 9 2 2 2 3 3 4" xfId="2648" xr:uid="{97B99016-EA94-4C7A-B3AE-370BAFD46CF2}"/>
    <cellStyle name="Normal 9 2 2 2 3 4" xfId="3061" xr:uid="{954E24B8-7F17-4237-8CBA-411A784E2CED}"/>
    <cellStyle name="Normal 9 2 2 2 3 4 2" xfId="5290" xr:uid="{3C25B0E1-47DB-485B-A11D-9E0362B4FE1F}"/>
    <cellStyle name="Normal 9 2 2 2 3 4 2 2" xfId="9508" xr:uid="{5F2ED3B3-3153-421E-8D1A-B58E7EFEB9D5}"/>
    <cellStyle name="Normal 9 2 2 2 3 4 3" xfId="7363" xr:uid="{EEE39B4F-FF9A-4C4D-A1D8-19C001E18E02}"/>
    <cellStyle name="Normal 9 2 2 2 3 5" xfId="3474" xr:uid="{BF46BF38-79DC-4654-9026-61C1D27B5589}"/>
    <cellStyle name="Normal 9 2 2 2 3 5 2" xfId="5703" xr:uid="{A06E640C-8EA1-4681-BF8C-D42AC2802839}"/>
    <cellStyle name="Normal 9 2 2 2 3 5 2 2" xfId="9921" xr:uid="{D9FBA3A9-3E44-4B54-BB5A-15B73C406782}"/>
    <cellStyle name="Normal 9 2 2 2 3 5 3" xfId="7776" xr:uid="{8E16D953-008F-466C-A0E1-E014E624761F}"/>
    <cellStyle name="Normal 9 2 2 2 3 6" xfId="3910" xr:uid="{E660DDD3-CB0E-4A7A-8C18-00EC94AA213D}"/>
    <cellStyle name="Normal 9 2 2 2 3 6 2" xfId="8189" xr:uid="{419A07EA-E939-4A71-A9DC-1445641012BD}"/>
    <cellStyle name="Normal 9 2 2 2 3 7" xfId="6124" xr:uid="{CB51C7E7-F63D-4478-9A81-21C7E00EC697}"/>
    <cellStyle name="Normal 9 2 2 2 3 8" xfId="1820" xr:uid="{2424371A-3339-4CE4-AADE-7E4DBDFAAFF6}"/>
    <cellStyle name="Normal 9 2 2 2 4" xfId="988" xr:uid="{00000000-0005-0000-0000-0000A5030000}"/>
    <cellStyle name="Normal 9 2 2 2 4 2" xfId="4461" xr:uid="{4E0BBF86-3ACE-4B88-BD7B-C683E17F6776}"/>
    <cellStyle name="Normal 9 2 2 2 4 2 2" xfId="8679" xr:uid="{C8E7D1D5-221B-4D6E-8D17-5C2EC67F77BE}"/>
    <cellStyle name="Normal 9 2 2 2 4 3" xfId="6534" xr:uid="{6285CBB0-B635-4556-9F0C-6579A03D769E}"/>
    <cellStyle name="Normal 9 2 2 2 4 4" xfId="2232" xr:uid="{85F40982-B17F-4558-AB98-F2B3FA229E19}"/>
    <cellStyle name="Normal 9 2 2 2 5" xfId="1403" xr:uid="{AD2BCB8A-6620-4A5F-8086-6186E0D392A2}"/>
    <cellStyle name="Normal 9 2 2 2 5 2" xfId="4874" xr:uid="{3B0E6F59-ECEF-4599-BB49-1089EA90113B}"/>
    <cellStyle name="Normal 9 2 2 2 5 2 2" xfId="9092" xr:uid="{CB893266-7793-40C0-83BD-7D9975943FCE}"/>
    <cellStyle name="Normal 9 2 2 2 5 3" xfId="6947" xr:uid="{2FBC3BB8-AEC8-497A-B2C3-145118067588}"/>
    <cellStyle name="Normal 9 2 2 2 5 4" xfId="2645" xr:uid="{74C5CAAE-1623-4CF5-BC4F-E6D7CD0223F0}"/>
    <cellStyle name="Normal 9 2 2 2 6" xfId="3058" xr:uid="{FB2192A7-400A-48BA-8615-53D3CBDBA240}"/>
    <cellStyle name="Normal 9 2 2 2 6 2" xfId="5287" xr:uid="{47D414B2-D24A-412D-974D-BDAADDFEABC2}"/>
    <cellStyle name="Normal 9 2 2 2 6 2 2" xfId="9505" xr:uid="{D3F8F30D-AF04-47C8-A7D7-FFAC481951C5}"/>
    <cellStyle name="Normal 9 2 2 2 6 3" xfId="7360" xr:uid="{A026DCD8-032B-468E-8768-478FBA55612A}"/>
    <cellStyle name="Normal 9 2 2 2 7" xfId="3471" xr:uid="{F510B72A-F679-47FD-968B-74C6C11269A8}"/>
    <cellStyle name="Normal 9 2 2 2 7 2" xfId="5700" xr:uid="{03105F43-40B4-48CC-A0E8-19019C98901F}"/>
    <cellStyle name="Normal 9 2 2 2 7 2 2" xfId="9918" xr:uid="{7C4E5113-9028-4F33-A11C-CC7A4455241C}"/>
    <cellStyle name="Normal 9 2 2 2 7 3" xfId="7773" xr:uid="{9F93E631-50BB-4828-992A-C57A1D3E30A8}"/>
    <cellStyle name="Normal 9 2 2 2 8" xfId="3907" xr:uid="{59714641-3F02-4692-8F25-4817117294D5}"/>
    <cellStyle name="Normal 9 2 2 2 8 2" xfId="8186" xr:uid="{7A09E016-8729-44B3-A58B-E487C0CA2AFE}"/>
    <cellStyle name="Normal 9 2 2 2 9" xfId="6121" xr:uid="{681A79B4-FCB5-4531-9897-05DAE6243B94}"/>
    <cellStyle name="Normal 9 2 2 3" xfId="520" xr:uid="{00000000-0005-0000-0000-0000A6030000}"/>
    <cellStyle name="Normal 9 2 2 3 2" xfId="521" xr:uid="{00000000-0005-0000-0000-0000A7030000}"/>
    <cellStyle name="Normal 9 2 2 3 2 2" xfId="993" xr:uid="{00000000-0005-0000-0000-0000A8030000}"/>
    <cellStyle name="Normal 9 2 2 3 2 2 2" xfId="4466" xr:uid="{34F9369D-84E4-45FB-81C2-F5BF5E2365E6}"/>
    <cellStyle name="Normal 9 2 2 3 2 2 2 2" xfId="8684" xr:uid="{F445AE7A-140C-4519-9E38-4B48ECC841CA}"/>
    <cellStyle name="Normal 9 2 2 3 2 2 3" xfId="6539" xr:uid="{FE4BBF7E-3A7D-4AD3-AAB4-9CDD1DA5C708}"/>
    <cellStyle name="Normal 9 2 2 3 2 2 4" xfId="2237" xr:uid="{8283CB46-CB96-4791-BA83-C3194185CE1C}"/>
    <cellStyle name="Normal 9 2 2 3 2 3" xfId="1408" xr:uid="{A48995CF-8EC5-4919-AE68-E5D7FCA64CE3}"/>
    <cellStyle name="Normal 9 2 2 3 2 3 2" xfId="4879" xr:uid="{96469946-2AD9-46C4-83D9-6AD35C808325}"/>
    <cellStyle name="Normal 9 2 2 3 2 3 2 2" xfId="9097" xr:uid="{F803FFA9-ED21-4224-B39D-3FAA9CC91CCD}"/>
    <cellStyle name="Normal 9 2 2 3 2 3 3" xfId="6952" xr:uid="{A0FD6DF5-5C9C-4DAC-844F-792BC6109835}"/>
    <cellStyle name="Normal 9 2 2 3 2 3 4" xfId="2650" xr:uid="{AC9D74F5-6213-4D9A-A832-15FC0D9C878A}"/>
    <cellStyle name="Normal 9 2 2 3 2 4" xfId="3063" xr:uid="{225D8D09-88D6-4121-BC91-5F7A2B245971}"/>
    <cellStyle name="Normal 9 2 2 3 2 4 2" xfId="5292" xr:uid="{7C030CE8-2933-4EA3-AE3F-BACF796E30EE}"/>
    <cellStyle name="Normal 9 2 2 3 2 4 2 2" xfId="9510" xr:uid="{CB50D97B-4BC7-4EE2-8050-254203CA0C48}"/>
    <cellStyle name="Normal 9 2 2 3 2 4 3" xfId="7365" xr:uid="{DCFEB607-6756-4DDC-AF36-D3833D0C7B56}"/>
    <cellStyle name="Normal 9 2 2 3 2 5" xfId="3476" xr:uid="{E9F7D105-4D60-4AFB-94C6-1DC342550510}"/>
    <cellStyle name="Normal 9 2 2 3 2 5 2" xfId="5705" xr:uid="{ABA963E6-DEBA-4F8C-91B6-1B05EF0E53F7}"/>
    <cellStyle name="Normal 9 2 2 3 2 5 2 2" xfId="9923" xr:uid="{3A16790A-A8DC-4467-8BE3-94E16323CFC4}"/>
    <cellStyle name="Normal 9 2 2 3 2 5 3" xfId="7778" xr:uid="{08388196-A6F8-430F-8580-B536D0C52DD8}"/>
    <cellStyle name="Normal 9 2 2 3 2 6" xfId="3912" xr:uid="{197C383D-B107-48AD-8694-2BFCD54C0945}"/>
    <cellStyle name="Normal 9 2 2 3 2 6 2" xfId="8191" xr:uid="{CA1168C6-C5E5-49F6-9A61-56EDAEFF0CFA}"/>
    <cellStyle name="Normal 9 2 2 3 2 7" xfId="6126" xr:uid="{B5A294EB-3D99-4F82-B730-FA42982E8BAD}"/>
    <cellStyle name="Normal 9 2 2 3 2 8" xfId="1822" xr:uid="{DDAF04D8-92C1-46F7-8CB4-41F012A3FBDB}"/>
    <cellStyle name="Normal 9 2 2 3 3" xfId="992" xr:uid="{00000000-0005-0000-0000-0000A9030000}"/>
    <cellStyle name="Normal 9 2 2 3 3 2" xfId="4465" xr:uid="{3F886197-C014-41FD-B445-95D6545489BA}"/>
    <cellStyle name="Normal 9 2 2 3 3 2 2" xfId="8683" xr:uid="{50151294-123A-4E73-A0A3-B11D12A81CD9}"/>
    <cellStyle name="Normal 9 2 2 3 3 3" xfId="6538" xr:uid="{C06A6BCC-1E7D-49B9-9877-9FF8D0CE8104}"/>
    <cellStyle name="Normal 9 2 2 3 3 4" xfId="2236" xr:uid="{C09CD1AF-BAC2-4723-9A50-69DED8C815BB}"/>
    <cellStyle name="Normal 9 2 2 3 4" xfId="1407" xr:uid="{01F27358-2F29-439D-BB1A-31BD40F71EB4}"/>
    <cellStyle name="Normal 9 2 2 3 4 2" xfId="4878" xr:uid="{C680F8CA-BC3E-45B4-B89E-10D259747BE0}"/>
    <cellStyle name="Normal 9 2 2 3 4 2 2" xfId="9096" xr:uid="{46354EAC-8A8F-4912-9F5F-932509D2B0F3}"/>
    <cellStyle name="Normal 9 2 2 3 4 3" xfId="6951" xr:uid="{5156FF97-DDD3-45AD-8297-ED15E41D771A}"/>
    <cellStyle name="Normal 9 2 2 3 4 4" xfId="2649" xr:uid="{74B69808-1866-4E9B-B92A-4F7FCA95DBE2}"/>
    <cellStyle name="Normal 9 2 2 3 5" xfId="3062" xr:uid="{38C7CBA3-FCA7-437F-93D0-14D73163A258}"/>
    <cellStyle name="Normal 9 2 2 3 5 2" xfId="5291" xr:uid="{E5D2F0E3-E234-4E32-B4AC-A61680184C39}"/>
    <cellStyle name="Normal 9 2 2 3 5 2 2" xfId="9509" xr:uid="{CA8A37E6-D599-46F4-8F02-F63181EEF526}"/>
    <cellStyle name="Normal 9 2 2 3 5 3" xfId="7364" xr:uid="{5F3894CC-8D16-469D-9911-4768205A2407}"/>
    <cellStyle name="Normal 9 2 2 3 6" xfId="3475" xr:uid="{D9A4A950-C5D9-44FE-9615-8E5E5A54923A}"/>
    <cellStyle name="Normal 9 2 2 3 6 2" xfId="5704" xr:uid="{14D89523-B037-40A4-A8F7-5B691F7D8090}"/>
    <cellStyle name="Normal 9 2 2 3 6 2 2" xfId="9922" xr:uid="{7BC167B9-C055-4366-9845-4E9C4BF8A692}"/>
    <cellStyle name="Normal 9 2 2 3 6 3" xfId="7777" xr:uid="{7FDA69BD-9B67-4F25-9045-0328BD00AFDA}"/>
    <cellStyle name="Normal 9 2 2 3 7" xfId="3911" xr:uid="{DD7E9117-8C8B-4E9F-A057-EC6B1E68C37A}"/>
    <cellStyle name="Normal 9 2 2 3 7 2" xfId="8190" xr:uid="{3EA50846-1525-42C5-8817-8A566371F6FF}"/>
    <cellStyle name="Normal 9 2 2 3 8" xfId="6125" xr:uid="{45253EFB-3C18-4DE5-9D98-F6A178DFDB2D}"/>
    <cellStyle name="Normal 9 2 2 3 9" xfId="1821" xr:uid="{E9CC708E-3749-4238-A47E-6A3000B72CC1}"/>
    <cellStyle name="Normal 9 2 2 4" xfId="522" xr:uid="{00000000-0005-0000-0000-0000AA030000}"/>
    <cellStyle name="Normal 9 2 2 4 2" xfId="994" xr:uid="{00000000-0005-0000-0000-0000AB030000}"/>
    <cellStyle name="Normal 9 2 2 4 2 2" xfId="4467" xr:uid="{F97BE020-7FD1-4031-9D03-DF9AA99E9135}"/>
    <cellStyle name="Normal 9 2 2 4 2 2 2" xfId="8685" xr:uid="{739013C4-2D92-4019-B37C-B75E929BC71A}"/>
    <cellStyle name="Normal 9 2 2 4 2 3" xfId="6540" xr:uid="{D0CE02EA-11A6-475B-B8EB-FE173CC5E732}"/>
    <cellStyle name="Normal 9 2 2 4 2 4" xfId="2238" xr:uid="{B41A3FB6-875C-41D2-A6C5-C51CD21A1912}"/>
    <cellStyle name="Normal 9 2 2 4 3" xfId="1409" xr:uid="{3BFF2606-8381-4CF0-A63E-A9759EBDC5FB}"/>
    <cellStyle name="Normal 9 2 2 4 3 2" xfId="4880" xr:uid="{5733CAEA-9688-40A2-A6A4-ECB901D82254}"/>
    <cellStyle name="Normal 9 2 2 4 3 2 2" xfId="9098" xr:uid="{48424E45-5CCD-4FC1-BADF-3F47AA3D6C08}"/>
    <cellStyle name="Normal 9 2 2 4 3 3" xfId="6953" xr:uid="{8D308461-40A5-4648-874C-E5381EFAFD0C}"/>
    <cellStyle name="Normal 9 2 2 4 3 4" xfId="2651" xr:uid="{9075C8BD-0680-4954-82AF-9D5CEDC89E7F}"/>
    <cellStyle name="Normal 9 2 2 4 4" xfId="3064" xr:uid="{88FABE51-F2E7-4A91-8F91-48A93E5E3F68}"/>
    <cellStyle name="Normal 9 2 2 4 4 2" xfId="5293" xr:uid="{EEC04356-696D-4F4B-95F4-3995785F5158}"/>
    <cellStyle name="Normal 9 2 2 4 4 2 2" xfId="9511" xr:uid="{B95F9482-0D16-4EE6-B03E-D88EE686F6BC}"/>
    <cellStyle name="Normal 9 2 2 4 4 3" xfId="7366" xr:uid="{C261E4DD-78EC-485A-917D-85FA4B751250}"/>
    <cellStyle name="Normal 9 2 2 4 5" xfId="3477" xr:uid="{4451314B-FC5A-4DB3-BCDD-B555701E8A16}"/>
    <cellStyle name="Normal 9 2 2 4 5 2" xfId="5706" xr:uid="{4F3134C9-BCC1-4A76-BA7D-2858CC1C7A94}"/>
    <cellStyle name="Normal 9 2 2 4 5 2 2" xfId="9924" xr:uid="{CCB871ED-8F1E-419A-AC46-2EBEDD4EA08E}"/>
    <cellStyle name="Normal 9 2 2 4 5 3" xfId="7779" xr:uid="{AC6EE2DE-3847-4400-80C9-9F9713B2979E}"/>
    <cellStyle name="Normal 9 2 2 4 6" xfId="3913" xr:uid="{A15BCF8A-C41F-4E34-A26B-9B808E6C2C56}"/>
    <cellStyle name="Normal 9 2 2 4 6 2" xfId="8192" xr:uid="{3CFA6928-9F00-4BDB-A75A-5D4C3BD40CE7}"/>
    <cellStyle name="Normal 9 2 2 4 7" xfId="6127" xr:uid="{36542944-0E58-49BC-BCDF-CA9CB6115C4F}"/>
    <cellStyle name="Normal 9 2 2 4 8" xfId="1823" xr:uid="{3D3859D4-F13F-4F28-90CC-0FB76E28E0C8}"/>
    <cellStyle name="Normal 9 2 2 5" xfId="987" xr:uid="{00000000-0005-0000-0000-0000AC030000}"/>
    <cellStyle name="Normal 9 2 2 5 2" xfId="4460" xr:uid="{2B0FF925-5E44-42C8-B977-BDFC165E13BE}"/>
    <cellStyle name="Normal 9 2 2 5 2 2" xfId="8678" xr:uid="{4351BFED-2BF8-4AF7-BAA7-5485EBE1106A}"/>
    <cellStyle name="Normal 9 2 2 5 3" xfId="6533" xr:uid="{FD5BA7CD-06E2-4E1E-8638-E33072A58964}"/>
    <cellStyle name="Normal 9 2 2 5 4" xfId="2231" xr:uid="{D0B39B29-441B-4A18-8943-297D0C0EE32A}"/>
    <cellStyle name="Normal 9 2 2 6" xfId="1402" xr:uid="{62BC27EB-B688-43CC-BBB9-6323E8A7AC36}"/>
    <cellStyle name="Normal 9 2 2 6 2" xfId="4873" xr:uid="{31650C27-F34F-42CC-8C8E-4CCD3AAE4229}"/>
    <cellStyle name="Normal 9 2 2 6 2 2" xfId="9091" xr:uid="{30B59567-4A97-436B-98A5-A9E1975EFD06}"/>
    <cellStyle name="Normal 9 2 2 6 3" xfId="6946" xr:uid="{DE93081A-A05B-423A-AD78-D7FDD6A9E930}"/>
    <cellStyle name="Normal 9 2 2 6 4" xfId="2644" xr:uid="{71CC266A-2C50-440A-94A5-48C7311DC8E8}"/>
    <cellStyle name="Normal 9 2 2 7" xfId="3057" xr:uid="{503892DF-FB07-4AD0-A79E-523B118E3DDA}"/>
    <cellStyle name="Normal 9 2 2 7 2" xfId="5286" xr:uid="{7F345453-B72C-4D32-A8AF-7918D4A0FCC5}"/>
    <cellStyle name="Normal 9 2 2 7 2 2" xfId="9504" xr:uid="{5E5D843C-1418-4A50-ABA5-B03769458D15}"/>
    <cellStyle name="Normal 9 2 2 7 3" xfId="7359" xr:uid="{F479963F-8F98-4845-9C5A-061150B73A52}"/>
    <cellStyle name="Normal 9 2 2 8" xfId="3470" xr:uid="{48A93B3F-150C-4D29-B4C2-E10D2F2112DC}"/>
    <cellStyle name="Normal 9 2 2 8 2" xfId="5699" xr:uid="{38766BED-A89C-4581-8D25-4BB6772766DE}"/>
    <cellStyle name="Normal 9 2 2 8 2 2" xfId="9917" xr:uid="{75EE7847-F2F9-46D6-B213-27435F47569F}"/>
    <cellStyle name="Normal 9 2 2 8 3" xfId="7772" xr:uid="{D4AF9C03-13C8-4610-A1E8-5C2C4EA931CB}"/>
    <cellStyle name="Normal 9 2 2 9" xfId="3906" xr:uid="{FB0DF3BA-0290-470B-848D-4E173BB3912B}"/>
    <cellStyle name="Normal 9 2 2 9 2" xfId="8185" xr:uid="{5A6BE999-6224-4F0A-8300-01DF5A539402}"/>
    <cellStyle name="Normal 9 2 3" xfId="523" xr:uid="{00000000-0005-0000-0000-0000AD030000}"/>
    <cellStyle name="Normal 9 2 3 10" xfId="1824" xr:uid="{C53AA9BD-798C-432A-9770-4FD41513B890}"/>
    <cellStyle name="Normal 9 2 3 2" xfId="524" xr:uid="{00000000-0005-0000-0000-0000AE030000}"/>
    <cellStyle name="Normal 9 2 3 2 2" xfId="525" xr:uid="{00000000-0005-0000-0000-0000AF030000}"/>
    <cellStyle name="Normal 9 2 3 2 2 2" xfId="997" xr:uid="{00000000-0005-0000-0000-0000B0030000}"/>
    <cellStyle name="Normal 9 2 3 2 2 2 2" xfId="4470" xr:uid="{DE936F90-E3D8-49DD-8C12-616B430415EB}"/>
    <cellStyle name="Normal 9 2 3 2 2 2 2 2" xfId="8688" xr:uid="{20B0B845-5E79-4270-8529-553EC04439A7}"/>
    <cellStyle name="Normal 9 2 3 2 2 2 3" xfId="6543" xr:uid="{DD9824D3-7162-4B91-B522-C12AC79BA6B8}"/>
    <cellStyle name="Normal 9 2 3 2 2 2 4" xfId="2241" xr:uid="{6682653F-63B7-4DF8-9342-78B328F5EB5E}"/>
    <cellStyle name="Normal 9 2 3 2 2 3" xfId="1412" xr:uid="{487FF752-C5CA-4773-AC4B-D94BD668902B}"/>
    <cellStyle name="Normal 9 2 3 2 2 3 2" xfId="4883" xr:uid="{C8096B73-A07A-4493-9DD6-0D18028F2C92}"/>
    <cellStyle name="Normal 9 2 3 2 2 3 2 2" xfId="9101" xr:uid="{24D06AD4-3563-4639-9BAC-D549A1C13703}"/>
    <cellStyle name="Normal 9 2 3 2 2 3 3" xfId="6956" xr:uid="{95C7D57A-FF87-4906-87F0-586BF5998AFB}"/>
    <cellStyle name="Normal 9 2 3 2 2 3 4" xfId="2654" xr:uid="{9EB92434-321E-4578-AE18-CEDC649CC686}"/>
    <cellStyle name="Normal 9 2 3 2 2 4" xfId="3067" xr:uid="{8FE43A6A-4569-4256-910C-C2EB424D73F0}"/>
    <cellStyle name="Normal 9 2 3 2 2 4 2" xfId="5296" xr:uid="{037D7164-EC06-4D6C-A2AE-3A9FA0F26014}"/>
    <cellStyle name="Normal 9 2 3 2 2 4 2 2" xfId="9514" xr:uid="{E232E56B-6586-4DE1-936D-7F549305ED05}"/>
    <cellStyle name="Normal 9 2 3 2 2 4 3" xfId="7369" xr:uid="{AE15C206-9339-42FD-AB74-24350AB79E2A}"/>
    <cellStyle name="Normal 9 2 3 2 2 5" xfId="3480" xr:uid="{6103210D-7537-41A3-AE29-165CDA141EBF}"/>
    <cellStyle name="Normal 9 2 3 2 2 5 2" xfId="5709" xr:uid="{97658601-B0D2-443C-B71E-920B38344E4C}"/>
    <cellStyle name="Normal 9 2 3 2 2 5 2 2" xfId="9927" xr:uid="{F7F6DB69-67BF-43EF-B7CB-58BF2E713C28}"/>
    <cellStyle name="Normal 9 2 3 2 2 5 3" xfId="7782" xr:uid="{8AAC5C9C-B4C9-4A57-AC63-BBFD609782CA}"/>
    <cellStyle name="Normal 9 2 3 2 2 6" xfId="3916" xr:uid="{4FFA7A6F-8AAF-46B4-B415-53E0B727003B}"/>
    <cellStyle name="Normal 9 2 3 2 2 6 2" xfId="8195" xr:uid="{1E4EDFA3-683C-488A-91D7-9CBD024ECE06}"/>
    <cellStyle name="Normal 9 2 3 2 2 7" xfId="6130" xr:uid="{A0DA8724-7EEA-4892-9A21-4E6A18FABC5C}"/>
    <cellStyle name="Normal 9 2 3 2 2 8" xfId="1826" xr:uid="{BDFE3120-9499-4CB8-8FA5-FD692CBD73CB}"/>
    <cellStyle name="Normal 9 2 3 2 3" xfId="996" xr:uid="{00000000-0005-0000-0000-0000B1030000}"/>
    <cellStyle name="Normal 9 2 3 2 3 2" xfId="4469" xr:uid="{47B39671-E00F-469A-849F-CD4C00D24F0F}"/>
    <cellStyle name="Normal 9 2 3 2 3 2 2" xfId="8687" xr:uid="{60DEDA89-2C1B-4D37-BB11-7D1D89D93D47}"/>
    <cellStyle name="Normal 9 2 3 2 3 3" xfId="6542" xr:uid="{FBCF7C3B-D820-4881-861F-453F2906D88F}"/>
    <cellStyle name="Normal 9 2 3 2 3 4" xfId="2240" xr:uid="{99AA4A95-FE17-4324-B826-AC105EAACAD5}"/>
    <cellStyle name="Normal 9 2 3 2 4" xfId="1411" xr:uid="{5E11972B-2E1F-44B4-969B-432E2366BBB5}"/>
    <cellStyle name="Normal 9 2 3 2 4 2" xfId="4882" xr:uid="{C8722E6A-3A97-496D-9CAA-1F884EDC9B8A}"/>
    <cellStyle name="Normal 9 2 3 2 4 2 2" xfId="9100" xr:uid="{C7366112-2024-4C4B-A6EC-6A56EA5EBFD8}"/>
    <cellStyle name="Normal 9 2 3 2 4 3" xfId="6955" xr:uid="{B43733C3-A64D-443D-9A5D-5ECC2CA37925}"/>
    <cellStyle name="Normal 9 2 3 2 4 4" xfId="2653" xr:uid="{298454ED-3808-4FC4-B56F-53ED94D66C24}"/>
    <cellStyle name="Normal 9 2 3 2 5" xfId="3066" xr:uid="{E3DB7FCB-A49B-472A-AF47-E95CAFAE2C4B}"/>
    <cellStyle name="Normal 9 2 3 2 5 2" xfId="5295" xr:uid="{2E81D14B-8DD2-470A-9E06-E48F97D5C6D2}"/>
    <cellStyle name="Normal 9 2 3 2 5 2 2" xfId="9513" xr:uid="{0961061B-C55F-4E11-B7E2-88E2CE8FA6CE}"/>
    <cellStyle name="Normal 9 2 3 2 5 3" xfId="7368" xr:uid="{DEFC5E9B-0E29-4490-B738-CF567C057932}"/>
    <cellStyle name="Normal 9 2 3 2 6" xfId="3479" xr:uid="{30B098F2-9FC7-41C9-B450-E566484D6D56}"/>
    <cellStyle name="Normal 9 2 3 2 6 2" xfId="5708" xr:uid="{71A31511-C802-4F0F-83A0-894DE87E93CF}"/>
    <cellStyle name="Normal 9 2 3 2 6 2 2" xfId="9926" xr:uid="{7F506D8A-B491-49DC-AAFF-E402E0988D6F}"/>
    <cellStyle name="Normal 9 2 3 2 6 3" xfId="7781" xr:uid="{73D8C035-40B6-448E-BEA8-B1FD0363894E}"/>
    <cellStyle name="Normal 9 2 3 2 7" xfId="3915" xr:uid="{D708E477-96D5-4607-8154-8F0F2C0E2872}"/>
    <cellStyle name="Normal 9 2 3 2 7 2" xfId="8194" xr:uid="{5BFFC4C4-0FD5-4D86-A57F-12FE6240293A}"/>
    <cellStyle name="Normal 9 2 3 2 8" xfId="6129" xr:uid="{ECF449F3-F384-42D4-82B2-D042E336C592}"/>
    <cellStyle name="Normal 9 2 3 2 9" xfId="1825" xr:uid="{163436DF-47EE-40FD-97F7-F000125485D2}"/>
    <cellStyle name="Normal 9 2 3 3" xfId="526" xr:uid="{00000000-0005-0000-0000-0000B2030000}"/>
    <cellStyle name="Normal 9 2 3 3 2" xfId="998" xr:uid="{00000000-0005-0000-0000-0000B3030000}"/>
    <cellStyle name="Normal 9 2 3 3 2 2" xfId="4471" xr:uid="{08459D89-1ED7-4BBF-ABB3-5EF835D30BC3}"/>
    <cellStyle name="Normal 9 2 3 3 2 2 2" xfId="8689" xr:uid="{349E738F-682B-425F-A2CA-E94B12E3AD5E}"/>
    <cellStyle name="Normal 9 2 3 3 2 3" xfId="6544" xr:uid="{52165B4A-CB81-4FF4-BF31-C98A31F1F4D6}"/>
    <cellStyle name="Normal 9 2 3 3 2 4" xfId="2242" xr:uid="{5CCFC74B-A001-4FB1-BE9C-1DF2E922751D}"/>
    <cellStyle name="Normal 9 2 3 3 3" xfId="1413" xr:uid="{E4AE574A-3CEA-45ED-9246-897B308D54EE}"/>
    <cellStyle name="Normal 9 2 3 3 3 2" xfId="4884" xr:uid="{36FEDE44-7F34-48C6-8D7B-EFBDE17054AA}"/>
    <cellStyle name="Normal 9 2 3 3 3 2 2" xfId="9102" xr:uid="{7D6B0715-D899-4C6F-A216-02522ED4D8FC}"/>
    <cellStyle name="Normal 9 2 3 3 3 3" xfId="6957" xr:uid="{449D6F9C-CE31-493F-8EB5-D8AD77B3CF12}"/>
    <cellStyle name="Normal 9 2 3 3 3 4" xfId="2655" xr:uid="{F0154B6B-E787-4AAD-96AD-4EFC0C200FEF}"/>
    <cellStyle name="Normal 9 2 3 3 4" xfId="3068" xr:uid="{90E205BC-3D63-44DD-B399-EC4158616FED}"/>
    <cellStyle name="Normal 9 2 3 3 4 2" xfId="5297" xr:uid="{FF88B2D6-108E-4949-8D21-A8E28DB965F3}"/>
    <cellStyle name="Normal 9 2 3 3 4 2 2" xfId="9515" xr:uid="{3BDBB71D-C119-47F8-BE2B-B84BD30A6A53}"/>
    <cellStyle name="Normal 9 2 3 3 4 3" xfId="7370" xr:uid="{895A48D8-9A5C-40B7-B784-958430D13B6C}"/>
    <cellStyle name="Normal 9 2 3 3 5" xfId="3481" xr:uid="{8C3D6544-4024-476E-AA7E-FA2FD00965F1}"/>
    <cellStyle name="Normal 9 2 3 3 5 2" xfId="5710" xr:uid="{9A3533E6-C2B6-467A-B049-AED22F253436}"/>
    <cellStyle name="Normal 9 2 3 3 5 2 2" xfId="9928" xr:uid="{F9E492CD-9002-4782-820B-97F1B1246B22}"/>
    <cellStyle name="Normal 9 2 3 3 5 3" xfId="7783" xr:uid="{59D6BF21-4D66-4778-94A8-DB85EDD594FA}"/>
    <cellStyle name="Normal 9 2 3 3 6" xfId="3917" xr:uid="{64890096-8D09-4DB1-8291-DDB13C3BDA59}"/>
    <cellStyle name="Normal 9 2 3 3 6 2" xfId="8196" xr:uid="{4335F4E4-7D39-44B2-AD64-BE9874AE5746}"/>
    <cellStyle name="Normal 9 2 3 3 7" xfId="6131" xr:uid="{6FDF8513-50FD-4B54-8C68-10C71C6F6A1D}"/>
    <cellStyle name="Normal 9 2 3 3 8" xfId="1827" xr:uid="{669369D4-201B-4A9F-9054-0AC3FE132BF8}"/>
    <cellStyle name="Normal 9 2 3 4" xfId="995" xr:uid="{00000000-0005-0000-0000-0000B4030000}"/>
    <cellStyle name="Normal 9 2 3 4 2" xfId="4468" xr:uid="{3ADC5726-0F74-447E-ADA0-59A310E51825}"/>
    <cellStyle name="Normal 9 2 3 4 2 2" xfId="8686" xr:uid="{81AC992E-3A95-4112-8E08-FF04F0D2D04A}"/>
    <cellStyle name="Normal 9 2 3 4 3" xfId="6541" xr:uid="{4FE2BEA0-67F7-43F0-8213-7A13002B4BEE}"/>
    <cellStyle name="Normal 9 2 3 4 4" xfId="2239" xr:uid="{17CB75E8-E337-4731-AF70-A662C660217C}"/>
    <cellStyle name="Normal 9 2 3 5" xfId="1410" xr:uid="{D38FB28B-5DB6-45FD-A980-1699CB6038DA}"/>
    <cellStyle name="Normal 9 2 3 5 2" xfId="4881" xr:uid="{BC71764E-6CE0-4EF7-A623-FEBF9ACF04D4}"/>
    <cellStyle name="Normal 9 2 3 5 2 2" xfId="9099" xr:uid="{9DCBECE2-C282-4A42-8474-9BDF13E48FF8}"/>
    <cellStyle name="Normal 9 2 3 5 3" xfId="6954" xr:uid="{1928E62D-8A88-425E-ABBF-AC9EBEF08476}"/>
    <cellStyle name="Normal 9 2 3 5 4" xfId="2652" xr:uid="{C7979714-E8AC-4BD4-A1ED-4F74011FAB6C}"/>
    <cellStyle name="Normal 9 2 3 6" xfId="3065" xr:uid="{2F9CB143-0DF4-489C-89F9-EA95E6767FE5}"/>
    <cellStyle name="Normal 9 2 3 6 2" xfId="5294" xr:uid="{6388218A-7257-4BA7-8724-0EE30139773A}"/>
    <cellStyle name="Normal 9 2 3 6 2 2" xfId="9512" xr:uid="{EE15E2BD-834A-4031-A4C2-F1701AA6152D}"/>
    <cellStyle name="Normal 9 2 3 6 3" xfId="7367" xr:uid="{A1773D79-EE97-48AB-826E-437012DF83E5}"/>
    <cellStyle name="Normal 9 2 3 7" xfId="3478" xr:uid="{0D86629C-DAF1-4073-97CA-EB8DE4AD8FA2}"/>
    <cellStyle name="Normal 9 2 3 7 2" xfId="5707" xr:uid="{2CED3EEA-5F6C-4AE0-ACB7-517704429533}"/>
    <cellStyle name="Normal 9 2 3 7 2 2" xfId="9925" xr:uid="{AF9C1791-8450-42E5-9F8D-9139A09EEF97}"/>
    <cellStyle name="Normal 9 2 3 7 3" xfId="7780" xr:uid="{82E2A210-62E3-4B88-B8D8-38D8B85E6D5B}"/>
    <cellStyle name="Normal 9 2 3 8" xfId="3914" xr:uid="{C3804F58-85B4-497E-AC0C-685ADA05619E}"/>
    <cellStyle name="Normal 9 2 3 8 2" xfId="8193" xr:uid="{3C97AF2C-CBE6-4824-AFA8-E638F3385542}"/>
    <cellStyle name="Normal 9 2 3 9" xfId="6128" xr:uid="{0DDFDEC6-5EF4-40AF-A8AB-DA1016D0DAF0}"/>
    <cellStyle name="Normal 9 2 4" xfId="527" xr:uid="{00000000-0005-0000-0000-0000B5030000}"/>
    <cellStyle name="Normal 9 2 4 2" xfId="528" xr:uid="{00000000-0005-0000-0000-0000B6030000}"/>
    <cellStyle name="Normal 9 2 4 2 2" xfId="1000" xr:uid="{00000000-0005-0000-0000-0000B7030000}"/>
    <cellStyle name="Normal 9 2 4 2 2 2" xfId="4473" xr:uid="{2196E83A-50EF-4ABF-B4A1-F4DB70082652}"/>
    <cellStyle name="Normal 9 2 4 2 2 2 2" xfId="8691" xr:uid="{8D79FC45-00CE-4A68-B43F-CAD17CE665C1}"/>
    <cellStyle name="Normal 9 2 4 2 2 3" xfId="6546" xr:uid="{51D6CF02-F157-49E4-AD29-B545A0B371F3}"/>
    <cellStyle name="Normal 9 2 4 2 2 4" xfId="2244" xr:uid="{6FEEFBD1-5617-4962-8E25-73E47CBEFD9C}"/>
    <cellStyle name="Normal 9 2 4 2 3" xfId="1415" xr:uid="{681B3112-3942-4190-9F7D-A33BFEC91769}"/>
    <cellStyle name="Normal 9 2 4 2 3 2" xfId="4886" xr:uid="{C6B299CA-3EB2-473B-9E7B-BC4588139557}"/>
    <cellStyle name="Normal 9 2 4 2 3 2 2" xfId="9104" xr:uid="{8B1E8AD6-D968-4A8B-B93A-D36AAFAF9052}"/>
    <cellStyle name="Normal 9 2 4 2 3 3" xfId="6959" xr:uid="{EDC23E39-54B9-4276-B247-AD6D94C1401F}"/>
    <cellStyle name="Normal 9 2 4 2 3 4" xfId="2657" xr:uid="{29C2CCB5-4061-4D9E-87EF-420EAE510C2D}"/>
    <cellStyle name="Normal 9 2 4 2 4" xfId="3070" xr:uid="{7962A4B3-9646-4387-B4FB-4FDAE62EAFD2}"/>
    <cellStyle name="Normal 9 2 4 2 4 2" xfId="5299" xr:uid="{9C219473-9140-44B4-AA71-8857CE84F956}"/>
    <cellStyle name="Normal 9 2 4 2 4 2 2" xfId="9517" xr:uid="{1BEB3FBB-FD5F-45D0-A280-FC6A4267771E}"/>
    <cellStyle name="Normal 9 2 4 2 4 3" xfId="7372" xr:uid="{7F8E21F2-DBCB-4328-BFD6-025FAC344758}"/>
    <cellStyle name="Normal 9 2 4 2 5" xfId="3483" xr:uid="{4C689B9C-014C-4A33-8786-55456B986271}"/>
    <cellStyle name="Normal 9 2 4 2 5 2" xfId="5712" xr:uid="{A5F6F301-BC3C-4390-8127-0506449ADEC2}"/>
    <cellStyle name="Normal 9 2 4 2 5 2 2" xfId="9930" xr:uid="{A52845D3-638F-4DC3-B55D-55A6B5C28C55}"/>
    <cellStyle name="Normal 9 2 4 2 5 3" xfId="7785" xr:uid="{C25B189C-A84A-422C-B306-82740F460555}"/>
    <cellStyle name="Normal 9 2 4 2 6" xfId="3919" xr:uid="{DAEEB9FF-3093-40B7-8216-EFE816C39F08}"/>
    <cellStyle name="Normal 9 2 4 2 6 2" xfId="8198" xr:uid="{DF259389-0CA5-4943-96E8-CD29A5421DC5}"/>
    <cellStyle name="Normal 9 2 4 2 7" xfId="6133" xr:uid="{A110CC4D-532D-4EBC-83B9-FC0E1050F461}"/>
    <cellStyle name="Normal 9 2 4 2 8" xfId="1829" xr:uid="{7DA47F6A-BA8B-491B-A095-45C4BED79462}"/>
    <cellStyle name="Normal 9 2 4 3" xfId="999" xr:uid="{00000000-0005-0000-0000-0000B8030000}"/>
    <cellStyle name="Normal 9 2 4 3 2" xfId="4472" xr:uid="{5FDCA637-C6B3-46FD-9F94-BFCC106D6DD0}"/>
    <cellStyle name="Normal 9 2 4 3 2 2" xfId="8690" xr:uid="{872BDB1A-7572-491D-80E3-73E9FF5274E1}"/>
    <cellStyle name="Normal 9 2 4 3 3" xfId="6545" xr:uid="{FF276525-366F-4764-A6EA-6B96DA437E4B}"/>
    <cellStyle name="Normal 9 2 4 3 4" xfId="2243" xr:uid="{566DE821-4DF3-4B18-80D8-464E104FF20E}"/>
    <cellStyle name="Normal 9 2 4 4" xfId="1414" xr:uid="{29AE573D-C0B0-421A-A3C9-6A6FCF6A7F58}"/>
    <cellStyle name="Normal 9 2 4 4 2" xfId="4885" xr:uid="{E1E40E16-AC64-43ED-AB8B-169E0CCE1953}"/>
    <cellStyle name="Normal 9 2 4 4 2 2" xfId="9103" xr:uid="{43A42F28-D77D-4FB8-8F44-F39F2AE97927}"/>
    <cellStyle name="Normal 9 2 4 4 3" xfId="6958" xr:uid="{0A11645B-B9D8-4FA7-AD9B-86BDD8CC81AB}"/>
    <cellStyle name="Normal 9 2 4 4 4" xfId="2656" xr:uid="{BE6467BB-98A8-4B2B-9299-703DBC002A8E}"/>
    <cellStyle name="Normal 9 2 4 5" xfId="3069" xr:uid="{17198B10-36D0-4B21-9805-36DE1B60C46D}"/>
    <cellStyle name="Normal 9 2 4 5 2" xfId="5298" xr:uid="{DD62DB91-5C0C-41A8-B30C-FB8CF8137BCE}"/>
    <cellStyle name="Normal 9 2 4 5 2 2" xfId="9516" xr:uid="{F29F34D9-E14F-4C86-8BC3-30B3119C562A}"/>
    <cellStyle name="Normal 9 2 4 5 3" xfId="7371" xr:uid="{FD1D19F4-0BBF-4D2D-BC10-3FF91ED0EC41}"/>
    <cellStyle name="Normal 9 2 4 6" xfId="3482" xr:uid="{2902AC4B-42E7-43D2-B995-7A8EBB10E97C}"/>
    <cellStyle name="Normal 9 2 4 6 2" xfId="5711" xr:uid="{69C7527F-B5C1-4B7A-853F-1D9C506590E9}"/>
    <cellStyle name="Normal 9 2 4 6 2 2" xfId="9929" xr:uid="{EE5448E5-8276-4D8E-8ACB-56387ED6B9DF}"/>
    <cellStyle name="Normal 9 2 4 6 3" xfId="7784" xr:uid="{E035142D-96AC-4337-ADB5-4DC2E7A666D0}"/>
    <cellStyle name="Normal 9 2 4 7" xfId="3918" xr:uid="{8284C31D-6A79-425C-99A2-208DA79434BE}"/>
    <cellStyle name="Normal 9 2 4 7 2" xfId="8197" xr:uid="{92577557-FD16-43BD-9D8B-A4F85245FC6D}"/>
    <cellStyle name="Normal 9 2 4 8" xfId="6132" xr:uid="{883B0CCF-DDBF-4F56-AE2F-B0AFCBED3B16}"/>
    <cellStyle name="Normal 9 2 4 9" xfId="1828" xr:uid="{09808160-4E8A-4B95-A6A6-E49BE3656E5F}"/>
    <cellStyle name="Normal 9 2 5" xfId="529" xr:uid="{00000000-0005-0000-0000-0000B9030000}"/>
    <cellStyle name="Normal 9 2 5 2" xfId="1001" xr:uid="{00000000-0005-0000-0000-0000BA030000}"/>
    <cellStyle name="Normal 9 2 5 2 2" xfId="4474" xr:uid="{823D289F-51A1-4F49-8207-62D20754E67A}"/>
    <cellStyle name="Normal 9 2 5 2 2 2" xfId="8692" xr:uid="{C4DD3574-4AAA-491C-81A6-872BBE1A3AAD}"/>
    <cellStyle name="Normal 9 2 5 2 3" xfId="6547" xr:uid="{523ADBD4-C08B-46B6-A620-21C31D8D039C}"/>
    <cellStyle name="Normal 9 2 5 2 4" xfId="2245" xr:uid="{99BF8239-75F8-40A8-A5A3-81243BC318BF}"/>
    <cellStyle name="Normal 9 2 5 3" xfId="1416" xr:uid="{A2FDAD6E-68EB-4A77-9B10-D19C9A17E4AB}"/>
    <cellStyle name="Normal 9 2 5 3 2" xfId="4887" xr:uid="{8B2E25D2-6719-4A18-A67F-73BAA40654B7}"/>
    <cellStyle name="Normal 9 2 5 3 2 2" xfId="9105" xr:uid="{B452FE72-996C-4BEC-8312-3D7234FA7FC1}"/>
    <cellStyle name="Normal 9 2 5 3 3" xfId="6960" xr:uid="{13AFD2EB-422F-43AE-BF39-9D0261DD9AC6}"/>
    <cellStyle name="Normal 9 2 5 3 4" xfId="2658" xr:uid="{F076E272-82C2-4EEF-8800-E0269CEC29F6}"/>
    <cellStyle name="Normal 9 2 5 4" xfId="3071" xr:uid="{8C02E74C-6D20-4CEE-84D7-BD25A64BBADB}"/>
    <cellStyle name="Normal 9 2 5 4 2" xfId="5300" xr:uid="{3DEBCC69-3BC2-4271-9CA4-6F8F2D63A192}"/>
    <cellStyle name="Normal 9 2 5 4 2 2" xfId="9518" xr:uid="{3D9600EE-FA58-4EA1-8B35-EA0F7B3FB388}"/>
    <cellStyle name="Normal 9 2 5 4 3" xfId="7373" xr:uid="{3A1C70CD-25FC-4DA5-B4D3-3698FE6DC1B8}"/>
    <cellStyle name="Normal 9 2 5 5" xfId="3484" xr:uid="{43FD7922-DBA3-4418-8853-50306FDDD5F4}"/>
    <cellStyle name="Normal 9 2 5 5 2" xfId="5713" xr:uid="{DEA94907-A06B-4C75-96C8-8A583F23CE75}"/>
    <cellStyle name="Normal 9 2 5 5 2 2" xfId="9931" xr:uid="{80A579D6-8C6A-46E9-9021-8BCCF1B52B5B}"/>
    <cellStyle name="Normal 9 2 5 5 3" xfId="7786" xr:uid="{5141005C-8C5E-45E5-B91E-8DB3BE8DB130}"/>
    <cellStyle name="Normal 9 2 5 6" xfId="3920" xr:uid="{D524EACA-6598-482A-B270-9183F204747A}"/>
    <cellStyle name="Normal 9 2 5 6 2" xfId="8199" xr:uid="{8CC1A4C8-5DE2-4931-A38B-9771CA048E78}"/>
    <cellStyle name="Normal 9 2 5 7" xfId="6134" xr:uid="{36B44742-ACAE-40AB-A2A1-855B3B255EBC}"/>
    <cellStyle name="Normal 9 2 5 8" xfId="1830" xr:uid="{A95BA4A7-C501-4C12-BEB4-0C3BC9DB643F}"/>
    <cellStyle name="Normal 9 2 6" xfId="986" xr:uid="{00000000-0005-0000-0000-0000BB030000}"/>
    <cellStyle name="Normal 9 2 6 2" xfId="4459" xr:uid="{38578695-D8C3-4E25-B9F6-478E788964B0}"/>
    <cellStyle name="Normal 9 2 6 2 2" xfId="8677" xr:uid="{BD2A8BEF-7DEA-4195-83C3-E3D6678269AC}"/>
    <cellStyle name="Normal 9 2 6 3" xfId="6532" xr:uid="{431E56E3-879C-4F25-B30E-A09C2C9E871F}"/>
    <cellStyle name="Normal 9 2 6 4" xfId="2230" xr:uid="{E632A79D-5DA6-4C96-AE57-75E2998729E0}"/>
    <cellStyle name="Normal 9 2 7" xfId="1401" xr:uid="{3B786D5C-4863-43B9-911C-28FBE9032E7D}"/>
    <cellStyle name="Normal 9 2 7 2" xfId="4872" xr:uid="{B2F16BF1-5D49-4D00-84B5-0D0DD1DCFC54}"/>
    <cellStyle name="Normal 9 2 7 2 2" xfId="9090" xr:uid="{864ABCDD-D56F-4615-8E05-34E9BE723AE1}"/>
    <cellStyle name="Normal 9 2 7 3" xfId="6945" xr:uid="{EA84D464-DD59-4297-B2EC-3FF7AF3FADCA}"/>
    <cellStyle name="Normal 9 2 7 4" xfId="2643" xr:uid="{7272C9D3-2B21-446D-B7AE-450BE2D60555}"/>
    <cellStyle name="Normal 9 2 8" xfId="3056" xr:uid="{C71B8536-B0E9-48DD-9A82-2FC5F9FC7A53}"/>
    <cellStyle name="Normal 9 2 8 2" xfId="5285" xr:uid="{9E4E1D95-714C-4E78-B80F-A92046D8008F}"/>
    <cellStyle name="Normal 9 2 8 2 2" xfId="9503" xr:uid="{02A44362-8142-4FC1-8DFD-D07EA02CE9D3}"/>
    <cellStyle name="Normal 9 2 8 3" xfId="7358" xr:uid="{0052E5A4-E5CE-4482-AC2E-6637CFF80F15}"/>
    <cellStyle name="Normal 9 2 9" xfId="3469" xr:uid="{358FD9FD-83BF-4A60-B681-D1F0181F0F81}"/>
    <cellStyle name="Normal 9 2 9 2" xfId="5698" xr:uid="{AD58FAE6-5519-4EC6-B413-82C9C9C86DF6}"/>
    <cellStyle name="Normal 9 2 9 2 2" xfId="9916" xr:uid="{854E860E-C144-4FA9-B395-E22A29253917}"/>
    <cellStyle name="Normal 9 2 9 3" xfId="7771" xr:uid="{B25772E7-B060-4F4D-BDB0-CF81CDC59CF1}"/>
    <cellStyle name="Normal 9 3" xfId="530" xr:uid="{00000000-0005-0000-0000-0000BC030000}"/>
    <cellStyle name="Normal 9 3 10" xfId="6135" xr:uid="{34F21820-0378-4038-A871-8DA61FB4E881}"/>
    <cellStyle name="Normal 9 3 11" xfId="1831" xr:uid="{F8B24AED-9AED-4331-A89D-E13A72E16F74}"/>
    <cellStyle name="Normal 9 3 2" xfId="531" xr:uid="{00000000-0005-0000-0000-0000BD030000}"/>
    <cellStyle name="Normal 9 3 2 10" xfId="1832" xr:uid="{DBA4B9D4-1C8E-479B-96A8-98307EE8F405}"/>
    <cellStyle name="Normal 9 3 2 2" xfId="532" xr:uid="{00000000-0005-0000-0000-0000BE030000}"/>
    <cellStyle name="Normal 9 3 2 2 2" xfId="533" xr:uid="{00000000-0005-0000-0000-0000BF030000}"/>
    <cellStyle name="Normal 9 3 2 2 2 2" xfId="1005" xr:uid="{00000000-0005-0000-0000-0000C0030000}"/>
    <cellStyle name="Normal 9 3 2 2 2 2 2" xfId="4478" xr:uid="{6AB8596C-B552-46C5-9701-667115EB822F}"/>
    <cellStyle name="Normal 9 3 2 2 2 2 2 2" xfId="8696" xr:uid="{B21F2421-FEF6-4E23-86C5-274EC150A153}"/>
    <cellStyle name="Normal 9 3 2 2 2 2 3" xfId="6551" xr:uid="{CE8006DB-6433-425B-BC0D-063E956230E8}"/>
    <cellStyle name="Normal 9 3 2 2 2 2 4" xfId="2249" xr:uid="{22AEF549-27A7-4DF4-BFE0-82AC9F5BF761}"/>
    <cellStyle name="Normal 9 3 2 2 2 3" xfId="1420" xr:uid="{CB5D5B0F-59C8-4942-9625-1ACC986BA702}"/>
    <cellStyle name="Normal 9 3 2 2 2 3 2" xfId="4891" xr:uid="{E88AE6B3-F2C8-44C3-A4E8-1D02823A131E}"/>
    <cellStyle name="Normal 9 3 2 2 2 3 2 2" xfId="9109" xr:uid="{E873D378-50DB-4D06-9DE3-D53C5C520DF9}"/>
    <cellStyle name="Normal 9 3 2 2 2 3 3" xfId="6964" xr:uid="{95B9E26D-EFCF-4A7D-8CD9-CE9353BFE968}"/>
    <cellStyle name="Normal 9 3 2 2 2 3 4" xfId="2662" xr:uid="{D79C73CD-1ED4-4CB6-9E20-9BD842F4ACA0}"/>
    <cellStyle name="Normal 9 3 2 2 2 4" xfId="3075" xr:uid="{0384B194-1D3B-408E-B188-E0BC77B55E20}"/>
    <cellStyle name="Normal 9 3 2 2 2 4 2" xfId="5304" xr:uid="{0CB9D9C5-E78B-4E52-A00F-E5F6A4BD2E81}"/>
    <cellStyle name="Normal 9 3 2 2 2 4 2 2" xfId="9522" xr:uid="{6FB2317B-5B65-4978-B820-414F614B3B99}"/>
    <cellStyle name="Normal 9 3 2 2 2 4 3" xfId="7377" xr:uid="{BE872D18-0929-4A8B-84A9-2481EFD1350D}"/>
    <cellStyle name="Normal 9 3 2 2 2 5" xfId="3488" xr:uid="{A7880E22-494F-44EB-A12B-CC95646F9C8F}"/>
    <cellStyle name="Normal 9 3 2 2 2 5 2" xfId="5717" xr:uid="{B5FBD3C6-BAED-4D99-96BE-D165987FD8F9}"/>
    <cellStyle name="Normal 9 3 2 2 2 5 2 2" xfId="9935" xr:uid="{ED8C3377-0DEB-4218-8377-1D10ED68FC83}"/>
    <cellStyle name="Normal 9 3 2 2 2 5 3" xfId="7790" xr:uid="{46D80670-9C79-4FD6-A7F8-64C0C7A87339}"/>
    <cellStyle name="Normal 9 3 2 2 2 6" xfId="3924" xr:uid="{6092CC21-0C35-4045-B579-CBE91B6C7FBD}"/>
    <cellStyle name="Normal 9 3 2 2 2 6 2" xfId="8203" xr:uid="{8CBBD09F-90DD-4BFA-A8D2-3368FF79149F}"/>
    <cellStyle name="Normal 9 3 2 2 2 7" xfId="6138" xr:uid="{E244FD56-1EAC-4928-880C-3F9D94E086AB}"/>
    <cellStyle name="Normal 9 3 2 2 2 8" xfId="1834" xr:uid="{C4CF58A5-D63D-4273-BF65-FC2E8906B4E8}"/>
    <cellStyle name="Normal 9 3 2 2 3" xfId="1004" xr:uid="{00000000-0005-0000-0000-0000C1030000}"/>
    <cellStyle name="Normal 9 3 2 2 3 2" xfId="4477" xr:uid="{77713BF8-C66C-425C-A021-E3FE7896407D}"/>
    <cellStyle name="Normal 9 3 2 2 3 2 2" xfId="8695" xr:uid="{403DC19A-268A-4E2A-839F-0A3DECF16465}"/>
    <cellStyle name="Normal 9 3 2 2 3 3" xfId="6550" xr:uid="{7E92F9D2-DD60-4858-9886-F14EBAE43002}"/>
    <cellStyle name="Normal 9 3 2 2 3 4" xfId="2248" xr:uid="{5E3209AF-EC8C-4C42-8647-2AF7B4F1FBCC}"/>
    <cellStyle name="Normal 9 3 2 2 4" xfId="1419" xr:uid="{8BBDBACB-81EE-4B1A-822C-A279FDF1DC8B}"/>
    <cellStyle name="Normal 9 3 2 2 4 2" xfId="4890" xr:uid="{FD530366-AD86-40C3-B404-7157D174E406}"/>
    <cellStyle name="Normal 9 3 2 2 4 2 2" xfId="9108" xr:uid="{860F4946-B177-4801-BEDC-86B7868FE7B8}"/>
    <cellStyle name="Normal 9 3 2 2 4 3" xfId="6963" xr:uid="{A1487121-CB63-47EA-AE74-FBECCAE04248}"/>
    <cellStyle name="Normal 9 3 2 2 4 4" xfId="2661" xr:uid="{0220D9CE-D5DE-4AB0-BBBA-27884935FA17}"/>
    <cellStyle name="Normal 9 3 2 2 5" xfId="3074" xr:uid="{34144955-AF05-497C-9CC7-837F93B80D8C}"/>
    <cellStyle name="Normal 9 3 2 2 5 2" xfId="5303" xr:uid="{EAF44685-9247-4B8D-BD52-157A9F304411}"/>
    <cellStyle name="Normal 9 3 2 2 5 2 2" xfId="9521" xr:uid="{6459A1EB-9BE1-41DF-9460-4B18D2C1E615}"/>
    <cellStyle name="Normal 9 3 2 2 5 3" xfId="7376" xr:uid="{E3C2E86F-9FDC-4288-AF86-F51DBDAB9148}"/>
    <cellStyle name="Normal 9 3 2 2 6" xfId="3487" xr:uid="{8A6ABAE5-A4D8-4B0C-A953-C870AC33223C}"/>
    <cellStyle name="Normal 9 3 2 2 6 2" xfId="5716" xr:uid="{AA32E36B-EA18-4027-8195-EEC65FE31DA8}"/>
    <cellStyle name="Normal 9 3 2 2 6 2 2" xfId="9934" xr:uid="{D6A9FB71-3C42-4839-AF44-7A094702D2A3}"/>
    <cellStyle name="Normal 9 3 2 2 6 3" xfId="7789" xr:uid="{AF633D79-3494-4C40-BD28-2990F802FACE}"/>
    <cellStyle name="Normal 9 3 2 2 7" xfId="3923" xr:uid="{66673668-91BD-4A5B-88CF-1385850B659B}"/>
    <cellStyle name="Normal 9 3 2 2 7 2" xfId="8202" xr:uid="{4D34AA12-9281-4687-8924-889591167C5A}"/>
    <cellStyle name="Normal 9 3 2 2 8" xfId="6137" xr:uid="{C64EF780-D400-407B-90B5-3318F9489BA2}"/>
    <cellStyle name="Normal 9 3 2 2 9" xfId="1833" xr:uid="{DB888791-D662-4107-9142-1CD5AD997D9C}"/>
    <cellStyle name="Normal 9 3 2 3" xfId="534" xr:uid="{00000000-0005-0000-0000-0000C2030000}"/>
    <cellStyle name="Normal 9 3 2 3 2" xfId="1006" xr:uid="{00000000-0005-0000-0000-0000C3030000}"/>
    <cellStyle name="Normal 9 3 2 3 2 2" xfId="4479" xr:uid="{E2028D43-9683-4860-9D5D-BCEA8B285DA2}"/>
    <cellStyle name="Normal 9 3 2 3 2 2 2" xfId="8697" xr:uid="{DCF92F59-E993-40F2-A8DC-ED8A50F24316}"/>
    <cellStyle name="Normal 9 3 2 3 2 3" xfId="6552" xr:uid="{6C104A98-A9A4-401E-AC34-49349FB98CD3}"/>
    <cellStyle name="Normal 9 3 2 3 2 4" xfId="2250" xr:uid="{F1DB6B97-BECA-478E-A040-639EBDEA34E3}"/>
    <cellStyle name="Normal 9 3 2 3 3" xfId="1421" xr:uid="{DA04B3EF-9840-4145-80AB-B5998CC1B02E}"/>
    <cellStyle name="Normal 9 3 2 3 3 2" xfId="4892" xr:uid="{0FFAF41B-69C8-4C40-B347-E13671F2CB19}"/>
    <cellStyle name="Normal 9 3 2 3 3 2 2" xfId="9110" xr:uid="{5F756FF7-30D9-4978-A353-60E1696589AC}"/>
    <cellStyle name="Normal 9 3 2 3 3 3" xfId="6965" xr:uid="{CD6750C9-539F-4731-BECC-36F657EDE1AB}"/>
    <cellStyle name="Normal 9 3 2 3 3 4" xfId="2663" xr:uid="{9C318775-6887-4506-B2FA-14B7E9338B47}"/>
    <cellStyle name="Normal 9 3 2 3 4" xfId="3076" xr:uid="{17AA037A-A074-467E-B466-777F623BB6D9}"/>
    <cellStyle name="Normal 9 3 2 3 4 2" xfId="5305" xr:uid="{A5CE26C7-9E0C-40DC-9441-88696B56C6D3}"/>
    <cellStyle name="Normal 9 3 2 3 4 2 2" xfId="9523" xr:uid="{81A2BBA7-7931-4001-A3E9-2363121A8109}"/>
    <cellStyle name="Normal 9 3 2 3 4 3" xfId="7378" xr:uid="{97556226-D26E-4621-AB4A-67C152D99880}"/>
    <cellStyle name="Normal 9 3 2 3 5" xfId="3489" xr:uid="{FFDD994C-0975-4F56-A456-CCC5233EB87F}"/>
    <cellStyle name="Normal 9 3 2 3 5 2" xfId="5718" xr:uid="{690A0EDB-71B7-4E54-920B-1858E3610346}"/>
    <cellStyle name="Normal 9 3 2 3 5 2 2" xfId="9936" xr:uid="{32EBE9C0-A691-4628-AF5D-86BBFE45E452}"/>
    <cellStyle name="Normal 9 3 2 3 5 3" xfId="7791" xr:uid="{F370D14F-E422-4C43-8ED1-A70FDB667226}"/>
    <cellStyle name="Normal 9 3 2 3 6" xfId="3925" xr:uid="{339AC8F3-642F-4A9F-ABC3-EE2880DFDC52}"/>
    <cellStyle name="Normal 9 3 2 3 6 2" xfId="8204" xr:uid="{F8CFD2E3-B1B3-4D43-AFD4-0E77BFB6D10D}"/>
    <cellStyle name="Normal 9 3 2 3 7" xfId="6139" xr:uid="{565D589A-C9B2-4BF4-B1CD-7FEEC845AC02}"/>
    <cellStyle name="Normal 9 3 2 3 8" xfId="1835" xr:uid="{2A6FC8EC-CF97-4BFE-BB35-C2B9E36902CB}"/>
    <cellStyle name="Normal 9 3 2 4" xfId="1003" xr:uid="{00000000-0005-0000-0000-0000C4030000}"/>
    <cellStyle name="Normal 9 3 2 4 2" xfId="4476" xr:uid="{245A5402-3AFD-4C99-81F2-BC0BDABE0B34}"/>
    <cellStyle name="Normal 9 3 2 4 2 2" xfId="8694" xr:uid="{06C5758D-A69A-4E95-8067-BBA290C53EB4}"/>
    <cellStyle name="Normal 9 3 2 4 3" xfId="6549" xr:uid="{DE1E0A8A-8663-425D-BF51-B3D4CD057ECB}"/>
    <cellStyle name="Normal 9 3 2 4 4" xfId="2247" xr:uid="{4CB7632F-FDC6-4457-9DA2-32B249853725}"/>
    <cellStyle name="Normal 9 3 2 5" xfId="1418" xr:uid="{A8BB7161-FCC6-4667-92BA-B7B2706BDA8B}"/>
    <cellStyle name="Normal 9 3 2 5 2" xfId="4889" xr:uid="{35D8CF5D-7F49-44D6-B1CA-B5871DD53D57}"/>
    <cellStyle name="Normal 9 3 2 5 2 2" xfId="9107" xr:uid="{F18B4C54-3C03-40A6-BB5F-5B8DC21692E9}"/>
    <cellStyle name="Normal 9 3 2 5 3" xfId="6962" xr:uid="{F9482D15-EA6F-45A8-A49C-3C187CB585BA}"/>
    <cellStyle name="Normal 9 3 2 5 4" xfId="2660" xr:uid="{6570822E-B02C-4851-939A-E2B222786A66}"/>
    <cellStyle name="Normal 9 3 2 6" xfId="3073" xr:uid="{6EE655E3-DD11-48F8-A6C5-EA647D2398DA}"/>
    <cellStyle name="Normal 9 3 2 6 2" xfId="5302" xr:uid="{A52D9C4C-1E2F-4E81-8C5A-16C591AC4B0B}"/>
    <cellStyle name="Normal 9 3 2 6 2 2" xfId="9520" xr:uid="{5C8C9ECC-9DA5-425F-A3BA-8B85D969C071}"/>
    <cellStyle name="Normal 9 3 2 6 3" xfId="7375" xr:uid="{810315DF-97F2-4875-8F57-BCC8F2B31BD5}"/>
    <cellStyle name="Normal 9 3 2 7" xfId="3486" xr:uid="{D050B67F-4FAD-4B23-A85E-FA69D344FCDC}"/>
    <cellStyle name="Normal 9 3 2 7 2" xfId="5715" xr:uid="{EE0EB1DC-1E43-4F91-998D-CB4A434551CB}"/>
    <cellStyle name="Normal 9 3 2 7 2 2" xfId="9933" xr:uid="{6C9A91B2-F1BF-4EE8-AC6F-604DD12B9F9B}"/>
    <cellStyle name="Normal 9 3 2 7 3" xfId="7788" xr:uid="{D430C8C8-D22A-4E69-816B-55E952369D0E}"/>
    <cellStyle name="Normal 9 3 2 8" xfId="3922" xr:uid="{3D9A3DBA-54E2-42B1-A20F-5F5CDF48DF2B}"/>
    <cellStyle name="Normal 9 3 2 8 2" xfId="8201" xr:uid="{96B37F2D-A5E9-443E-B373-9FA96D61598E}"/>
    <cellStyle name="Normal 9 3 2 9" xfId="6136" xr:uid="{DD718F4B-E0F0-4984-9664-CB5EF6CF7EB4}"/>
    <cellStyle name="Normal 9 3 3" xfId="535" xr:uid="{00000000-0005-0000-0000-0000C5030000}"/>
    <cellStyle name="Normal 9 3 3 2" xfId="536" xr:uid="{00000000-0005-0000-0000-0000C6030000}"/>
    <cellStyle name="Normal 9 3 3 2 2" xfId="1008" xr:uid="{00000000-0005-0000-0000-0000C7030000}"/>
    <cellStyle name="Normal 9 3 3 2 2 2" xfId="4481" xr:uid="{140A1B92-3029-41A2-BDEA-4BC61DA36710}"/>
    <cellStyle name="Normal 9 3 3 2 2 2 2" xfId="8699" xr:uid="{604F65B6-990A-460B-A22F-1D67A17C7907}"/>
    <cellStyle name="Normal 9 3 3 2 2 3" xfId="6554" xr:uid="{5F337E85-ABFD-4E22-8263-004F754FE579}"/>
    <cellStyle name="Normal 9 3 3 2 2 4" xfId="2252" xr:uid="{C654E38F-5091-4E00-AB10-6246E8207A2C}"/>
    <cellStyle name="Normal 9 3 3 2 3" xfId="1423" xr:uid="{850C471D-E3B3-45C0-8513-FE07D1E5F996}"/>
    <cellStyle name="Normal 9 3 3 2 3 2" xfId="4894" xr:uid="{13782094-E013-49FF-8EB8-2BF7B1751827}"/>
    <cellStyle name="Normal 9 3 3 2 3 2 2" xfId="9112" xr:uid="{E466B5C4-9D54-47F4-A6E8-674E21EF6D8D}"/>
    <cellStyle name="Normal 9 3 3 2 3 3" xfId="6967" xr:uid="{B2D3C417-A13D-45C8-83DA-C4F7DB8DBBEE}"/>
    <cellStyle name="Normal 9 3 3 2 3 4" xfId="2665" xr:uid="{1C31EC07-466A-4525-B2B4-13F48C488EA3}"/>
    <cellStyle name="Normal 9 3 3 2 4" xfId="3078" xr:uid="{FE5724FF-8310-4679-B573-A472171581A9}"/>
    <cellStyle name="Normal 9 3 3 2 4 2" xfId="5307" xr:uid="{584B30AF-4947-4829-89E0-0C9D202EAE40}"/>
    <cellStyle name="Normal 9 3 3 2 4 2 2" xfId="9525" xr:uid="{3D7410E3-6CDD-4044-8A38-B12AA033FC5A}"/>
    <cellStyle name="Normal 9 3 3 2 4 3" xfId="7380" xr:uid="{03D6B588-3E03-42DB-8C33-F430212987C7}"/>
    <cellStyle name="Normal 9 3 3 2 5" xfId="3491" xr:uid="{8F31BE87-32B0-4746-8236-DF624249296E}"/>
    <cellStyle name="Normal 9 3 3 2 5 2" xfId="5720" xr:uid="{787CAF23-5CF3-4FF4-958D-AF15C3D0509B}"/>
    <cellStyle name="Normal 9 3 3 2 5 2 2" xfId="9938" xr:uid="{1792C699-606A-495F-8C9E-FB0A7C35D81D}"/>
    <cellStyle name="Normal 9 3 3 2 5 3" xfId="7793" xr:uid="{A693477B-163C-4038-8039-3A619FDA187F}"/>
    <cellStyle name="Normal 9 3 3 2 6" xfId="3927" xr:uid="{B88F7E80-325A-496F-8E87-643B4ACF2C4B}"/>
    <cellStyle name="Normal 9 3 3 2 6 2" xfId="8206" xr:uid="{B0F92E99-BC92-4A1A-96FB-DAEE6F24669B}"/>
    <cellStyle name="Normal 9 3 3 2 7" xfId="6141" xr:uid="{6EB03603-F465-46CE-88E2-643B11E42BAC}"/>
    <cellStyle name="Normal 9 3 3 2 8" xfId="1837" xr:uid="{E7446603-31FC-440C-A243-CA1B74BD25E9}"/>
    <cellStyle name="Normal 9 3 3 3" xfId="1007" xr:uid="{00000000-0005-0000-0000-0000C8030000}"/>
    <cellStyle name="Normal 9 3 3 3 2" xfId="4480" xr:uid="{6328494F-A4E8-45D0-BD72-77DE398B36F3}"/>
    <cellStyle name="Normal 9 3 3 3 2 2" xfId="8698" xr:uid="{39FC8416-C58F-4FEC-8B49-950526C8FEC1}"/>
    <cellStyle name="Normal 9 3 3 3 3" xfId="6553" xr:uid="{0FFF617F-3810-45CA-AC70-BA626A102C68}"/>
    <cellStyle name="Normal 9 3 3 3 4" xfId="2251" xr:uid="{A5ABEA0F-AC91-4283-953B-3C276A064D69}"/>
    <cellStyle name="Normal 9 3 3 4" xfId="1422" xr:uid="{2D5EC265-B647-4FA1-A24F-52150C47078F}"/>
    <cellStyle name="Normal 9 3 3 4 2" xfId="4893" xr:uid="{03810D75-BCAB-4625-8A0D-C54C90A24D0D}"/>
    <cellStyle name="Normal 9 3 3 4 2 2" xfId="9111" xr:uid="{9E78F578-E568-46C4-AD8B-D53A7465F54B}"/>
    <cellStyle name="Normal 9 3 3 4 3" xfId="6966" xr:uid="{78BBB7E5-702C-4D7E-9442-A0F589EBED99}"/>
    <cellStyle name="Normal 9 3 3 4 4" xfId="2664" xr:uid="{74383599-A97E-4278-9C13-625C26CA2E45}"/>
    <cellStyle name="Normal 9 3 3 5" xfId="3077" xr:uid="{CA1CE384-5683-4076-B79E-18F536BBFE99}"/>
    <cellStyle name="Normal 9 3 3 5 2" xfId="5306" xr:uid="{6CE83BD2-2C1D-4898-BD88-0655B9D11837}"/>
    <cellStyle name="Normal 9 3 3 5 2 2" xfId="9524" xr:uid="{19ACB5A0-E934-4A1A-917C-60D68BBB5755}"/>
    <cellStyle name="Normal 9 3 3 5 3" xfId="7379" xr:uid="{5813399F-1A56-476A-9A27-0080BB2A9707}"/>
    <cellStyle name="Normal 9 3 3 6" xfId="3490" xr:uid="{62AC68EC-D355-4E27-B92D-F6D7C84E7449}"/>
    <cellStyle name="Normal 9 3 3 6 2" xfId="5719" xr:uid="{EB0A8330-D0AD-445F-81BC-BD543CDB47B3}"/>
    <cellStyle name="Normal 9 3 3 6 2 2" xfId="9937" xr:uid="{17C4FF50-0FA9-4398-992C-6188E19DBE43}"/>
    <cellStyle name="Normal 9 3 3 6 3" xfId="7792" xr:uid="{13CDC1F9-4E5B-4BD8-A724-F101EE0E16CD}"/>
    <cellStyle name="Normal 9 3 3 7" xfId="3926" xr:uid="{EAB2D7F4-8237-4EFC-8199-1918B663380E}"/>
    <cellStyle name="Normal 9 3 3 7 2" xfId="8205" xr:uid="{6BB149F3-EE34-461C-AC67-28EBFCD9AEFD}"/>
    <cellStyle name="Normal 9 3 3 8" xfId="6140" xr:uid="{5F0C1AA1-AE90-4ADF-87F9-4CA6C620D777}"/>
    <cellStyle name="Normal 9 3 3 9" xfId="1836" xr:uid="{C80B7CB8-E95A-42DC-B09D-1531B2413226}"/>
    <cellStyle name="Normal 9 3 4" xfId="537" xr:uid="{00000000-0005-0000-0000-0000C9030000}"/>
    <cellStyle name="Normal 9 3 4 2" xfId="1009" xr:uid="{00000000-0005-0000-0000-0000CA030000}"/>
    <cellStyle name="Normal 9 3 4 2 2" xfId="4482" xr:uid="{E7AF75DC-AE70-4C2D-BF15-215C0104E28F}"/>
    <cellStyle name="Normal 9 3 4 2 2 2" xfId="8700" xr:uid="{789FBDFE-AD38-420A-8311-03CDF24B13AE}"/>
    <cellStyle name="Normal 9 3 4 2 3" xfId="6555" xr:uid="{03B6ADCB-CE3B-46F4-83AA-92EE5373F027}"/>
    <cellStyle name="Normal 9 3 4 2 4" xfId="2253" xr:uid="{FDA3F97C-D65A-4569-8ACE-A5DC62F8BCB0}"/>
    <cellStyle name="Normal 9 3 4 3" xfId="1424" xr:uid="{4461FC37-9CCC-4E8E-A45D-1B71898E5DB9}"/>
    <cellStyle name="Normal 9 3 4 3 2" xfId="4895" xr:uid="{7972D4BA-DD28-4C40-B9A8-65870CEF7931}"/>
    <cellStyle name="Normal 9 3 4 3 2 2" xfId="9113" xr:uid="{5DD37CB4-D146-43CA-9981-FC9AB4C1ACAA}"/>
    <cellStyle name="Normal 9 3 4 3 3" xfId="6968" xr:uid="{F2B4202B-B245-47A1-BFB1-C6BAEC26AA10}"/>
    <cellStyle name="Normal 9 3 4 3 4" xfId="2666" xr:uid="{7E583C1D-D26B-4E97-925C-FE036CE8F80A}"/>
    <cellStyle name="Normal 9 3 4 4" xfId="3079" xr:uid="{180CFE6B-A69D-4548-91C4-5CE4414FE5F8}"/>
    <cellStyle name="Normal 9 3 4 4 2" xfId="5308" xr:uid="{E0252BDE-C86F-4818-B5D2-C509923DA3E9}"/>
    <cellStyle name="Normal 9 3 4 4 2 2" xfId="9526" xr:uid="{7FFBEE5F-9401-40D7-A90C-9FA899A60E82}"/>
    <cellStyle name="Normal 9 3 4 4 3" xfId="7381" xr:uid="{A9EF906F-4EEE-4462-BC03-3263CB26ED7C}"/>
    <cellStyle name="Normal 9 3 4 5" xfId="3492" xr:uid="{9AFA51C3-0494-4EA8-81AD-9AA419380E31}"/>
    <cellStyle name="Normal 9 3 4 5 2" xfId="5721" xr:uid="{F68C42A2-15C6-4CC1-9106-6AFBE6F9E3D9}"/>
    <cellStyle name="Normal 9 3 4 5 2 2" xfId="9939" xr:uid="{9241EE88-7935-459E-AAD5-76FAF55C9D44}"/>
    <cellStyle name="Normal 9 3 4 5 3" xfId="7794" xr:uid="{30AB27B8-3DAF-4369-9F00-DE5E7B5B3774}"/>
    <cellStyle name="Normal 9 3 4 6" xfId="3928" xr:uid="{63928858-B9F2-4833-8DA8-3DB33EEF18DC}"/>
    <cellStyle name="Normal 9 3 4 6 2" xfId="8207" xr:uid="{C4018F1F-7486-47AF-84C4-508D96FA8478}"/>
    <cellStyle name="Normal 9 3 4 7" xfId="6142" xr:uid="{3330DA06-C54D-447E-A193-E44A04C6A11C}"/>
    <cellStyle name="Normal 9 3 4 8" xfId="1838" xr:uid="{8C9BFE74-69F0-4B5E-A41B-DCA611B59B3B}"/>
    <cellStyle name="Normal 9 3 5" xfId="1002" xr:uid="{00000000-0005-0000-0000-0000CB030000}"/>
    <cellStyle name="Normal 9 3 5 2" xfId="4475" xr:uid="{9C5B6D59-D88D-4023-B562-A5608CDBA2DC}"/>
    <cellStyle name="Normal 9 3 5 2 2" xfId="8693" xr:uid="{B42FD380-C168-470C-8642-40193D0AB975}"/>
    <cellStyle name="Normal 9 3 5 3" xfId="6548" xr:uid="{D47BC321-8CBD-4544-9059-25189D79240B}"/>
    <cellStyle name="Normal 9 3 5 4" xfId="2246" xr:uid="{58C7455F-4176-43D6-8B67-C76B2101C4C4}"/>
    <cellStyle name="Normal 9 3 6" xfId="1417" xr:uid="{FD9A2E79-4E4A-48E7-A872-6B6B7B12D475}"/>
    <cellStyle name="Normal 9 3 6 2" xfId="4888" xr:uid="{7737629E-FD55-40B6-A880-0D7D25BBF03B}"/>
    <cellStyle name="Normal 9 3 6 2 2" xfId="9106" xr:uid="{CAE4D41E-32C9-43A7-A095-9F51677D2ED4}"/>
    <cellStyle name="Normal 9 3 6 3" xfId="6961" xr:uid="{7C8E5F9C-E845-475D-8571-8591BB8ED6AE}"/>
    <cellStyle name="Normal 9 3 6 4" xfId="2659" xr:uid="{F4291D34-0183-4702-BCBC-26A9A60C8467}"/>
    <cellStyle name="Normal 9 3 7" xfId="3072" xr:uid="{6B605316-D813-4F31-963F-23C1D1054987}"/>
    <cellStyle name="Normal 9 3 7 2" xfId="5301" xr:uid="{E95910E1-E325-4226-9181-815B3A86012D}"/>
    <cellStyle name="Normal 9 3 7 2 2" xfId="9519" xr:uid="{339FC770-6D13-4C6F-9007-7601C4D0BA66}"/>
    <cellStyle name="Normal 9 3 7 3" xfId="7374" xr:uid="{49944A42-E2AF-4DE8-AB24-BCC97F8223F6}"/>
    <cellStyle name="Normal 9 3 8" xfId="3485" xr:uid="{40E21AFF-BC24-4208-9123-74AA6F870F19}"/>
    <cellStyle name="Normal 9 3 8 2" xfId="5714" xr:uid="{93E14245-7521-48FF-B077-02DC6A867C84}"/>
    <cellStyle name="Normal 9 3 8 2 2" xfId="9932" xr:uid="{B8C7CC9D-14D8-4E92-A944-5B35C4910976}"/>
    <cellStyle name="Normal 9 3 8 3" xfId="7787" xr:uid="{10065127-6C86-495A-86F8-C3A68C4150FC}"/>
    <cellStyle name="Normal 9 3 9" xfId="3921" xr:uid="{ACE34E78-9BC6-404F-905E-4AE92197CC84}"/>
    <cellStyle name="Normal 9 3 9 2" xfId="8200" xr:uid="{9566D253-6D1E-4E88-B440-49A67147A2F9}"/>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4484" xr:uid="{D7083582-BDE3-4852-9447-B6847F581A54}"/>
    <cellStyle name="Normal 9 5 2 2 2 2" xfId="8702" xr:uid="{EDAA8766-6809-4BDC-862B-5292349B71FA}"/>
    <cellStyle name="Normal 9 5 2 2 3" xfId="6557" xr:uid="{02B340DA-BCDF-499F-A7BD-2123F347D66A}"/>
    <cellStyle name="Normal 9 5 2 2 4" xfId="2255" xr:uid="{5E8D26E9-9518-4DC8-9595-B8B2039D38EB}"/>
    <cellStyle name="Normal 9 5 2 3" xfId="1426" xr:uid="{47A1EBFF-7B74-452D-9B60-0B6A895AF910}"/>
    <cellStyle name="Normal 9 5 2 3 2" xfId="4897" xr:uid="{40D4D7A4-F143-4F5A-B310-60719E45F4ED}"/>
    <cellStyle name="Normal 9 5 2 3 2 2" xfId="9115" xr:uid="{39D46BE1-E626-4223-8894-45DE7ADC36A8}"/>
    <cellStyle name="Normal 9 5 2 3 3" xfId="6970" xr:uid="{BAF31F87-F401-416F-B3E4-A885D0E8D11E}"/>
    <cellStyle name="Normal 9 5 2 3 4" xfId="2668" xr:uid="{6A082D1E-1AAB-49CA-8714-7F89BD8846F5}"/>
    <cellStyle name="Normal 9 5 2 4" xfId="3081" xr:uid="{16E16927-F993-4D45-9331-E2D6125331AF}"/>
    <cellStyle name="Normal 9 5 2 4 2" xfId="5310" xr:uid="{D1FDC584-A332-4B5E-B6E0-DF55FC5B7028}"/>
    <cellStyle name="Normal 9 5 2 4 2 2" xfId="9528" xr:uid="{E02D5D89-0100-4A0A-B837-0D4CC804C0BC}"/>
    <cellStyle name="Normal 9 5 2 4 3" xfId="7383" xr:uid="{88BC2E46-25B1-42AE-AF4B-DED9C836C271}"/>
    <cellStyle name="Normal 9 5 2 5" xfId="3494" xr:uid="{8F7A11DF-6030-4726-8F24-4A083103FBB5}"/>
    <cellStyle name="Normal 9 5 2 5 2" xfId="5723" xr:uid="{A3CA3C79-38DA-46BA-968A-720B7D58521D}"/>
    <cellStyle name="Normal 9 5 2 5 2 2" xfId="9941" xr:uid="{4CB20254-634A-4542-854B-DF06A8D64C59}"/>
    <cellStyle name="Normal 9 5 2 5 3" xfId="7796" xr:uid="{130CD3ED-876B-45D7-94CC-CC93C14C126D}"/>
    <cellStyle name="Normal 9 5 2 6" xfId="3930" xr:uid="{8E35B145-5E72-49D7-99E4-DE177BA605F6}"/>
    <cellStyle name="Normal 9 5 2 6 2" xfId="8209" xr:uid="{12C84205-850B-424C-91F9-C29FD25104E1}"/>
    <cellStyle name="Normal 9 5 2 7" xfId="6144" xr:uid="{2ABBDBC1-E346-49E4-BF3A-329CA1858BAE}"/>
    <cellStyle name="Normal 9 5 2 8" xfId="1840" xr:uid="{45A6C52B-DF6B-4F5A-88EE-C8EB17FF7F3F}"/>
    <cellStyle name="Normal 9 5 3" xfId="1011" xr:uid="{00000000-0005-0000-0000-0000D1030000}"/>
    <cellStyle name="Normal 9 5 3 2" xfId="4483" xr:uid="{8DD966D2-EE02-448D-8113-F1D5F05C0DA8}"/>
    <cellStyle name="Normal 9 5 3 2 2" xfId="8701" xr:uid="{80478A6C-BED4-4F69-8F82-19B4B59938C0}"/>
    <cellStyle name="Normal 9 5 3 3" xfId="6556" xr:uid="{1214B179-098B-4116-B9D5-1925E55DCF10}"/>
    <cellStyle name="Normal 9 5 3 4" xfId="2254" xr:uid="{2FF83792-1894-4656-A0B8-91DE3F03129A}"/>
    <cellStyle name="Normal 9 5 4" xfId="1425" xr:uid="{01BD2D01-8FA3-4B77-9506-88C58B231059}"/>
    <cellStyle name="Normal 9 5 4 2" xfId="4896" xr:uid="{E7D28F6E-12D0-45F6-89AB-B6F6269F8A22}"/>
    <cellStyle name="Normal 9 5 4 2 2" xfId="9114" xr:uid="{7A6C4CD8-9B1D-4F44-89DA-EBB5969070B8}"/>
    <cellStyle name="Normal 9 5 4 3" xfId="6969" xr:uid="{59AA4E4C-EFD5-439F-8038-427A88977BA1}"/>
    <cellStyle name="Normal 9 5 4 4" xfId="2667" xr:uid="{EDE23774-21C1-4579-868F-9F96CEC11C13}"/>
    <cellStyle name="Normal 9 5 5" xfId="3080" xr:uid="{2064D286-CD0A-4B6E-9722-B0A799CF2C11}"/>
    <cellStyle name="Normal 9 5 5 2" xfId="5309" xr:uid="{22C4D212-C113-48BA-8BBF-84CCA1B36E61}"/>
    <cellStyle name="Normal 9 5 5 2 2" xfId="9527" xr:uid="{2897B10E-C586-4322-A217-8D2A4A81BCE3}"/>
    <cellStyle name="Normal 9 5 5 3" xfId="7382" xr:uid="{8B43D770-3C7D-408C-94F9-CFC42E4D69F7}"/>
    <cellStyle name="Normal 9 5 6" xfId="3493" xr:uid="{9B2C7409-6317-4F32-9BAA-E710A7222DBC}"/>
    <cellStyle name="Normal 9 5 6 2" xfId="5722" xr:uid="{A3F244CE-1F8A-45DA-91DF-BA2419151966}"/>
    <cellStyle name="Normal 9 5 6 2 2" xfId="9940" xr:uid="{CDA77F04-6A5E-41ED-A04B-0DB72F53AEE0}"/>
    <cellStyle name="Normal 9 5 6 3" xfId="7795" xr:uid="{37F77DEA-1D25-40D7-8396-01924A19EA31}"/>
    <cellStyle name="Normal 9 5 7" xfId="3929" xr:uid="{F64D9D6B-FC8C-4919-8A69-3F3D484E107F}"/>
    <cellStyle name="Normal 9 5 7 2" xfId="8208" xr:uid="{C30BEEC1-7E37-41F6-9152-6CBF7E850E98}"/>
    <cellStyle name="Normal 9 5 8" xfId="6143" xr:uid="{76C62948-5DF4-4003-BDCC-DA704F0B0473}"/>
    <cellStyle name="Normal 9 5 9" xfId="1839" xr:uid="{610D5CA5-BA06-46C3-9329-8A8DDBF1B7DF}"/>
    <cellStyle name="Normal 9 6" xfId="541" xr:uid="{00000000-0005-0000-0000-0000D2030000}"/>
    <cellStyle name="Normal 9 6 2" xfId="1013" xr:uid="{00000000-0005-0000-0000-0000D3030000}"/>
    <cellStyle name="Normal 9 6 2 2" xfId="4485" xr:uid="{25BAB5F1-18CA-4C58-BB03-AE7B421B4760}"/>
    <cellStyle name="Normal 9 6 2 2 2" xfId="8703" xr:uid="{437011F0-AECC-4B1A-AC0D-EC25ACB90308}"/>
    <cellStyle name="Normal 9 6 2 3" xfId="6558" xr:uid="{4216CAE6-4638-4784-9CB3-7BF8CB5060D7}"/>
    <cellStyle name="Normal 9 6 2 4" xfId="2256" xr:uid="{599F112B-0A65-4645-869E-12C037807AC0}"/>
    <cellStyle name="Normal 9 6 3" xfId="1427" xr:uid="{7C478692-E5C4-4168-89AD-D8FD3B5F4DA2}"/>
    <cellStyle name="Normal 9 6 3 2" xfId="4898" xr:uid="{24FD4398-B7AE-43AF-8136-102B53EAEF26}"/>
    <cellStyle name="Normal 9 6 3 2 2" xfId="9116" xr:uid="{07B57DFA-C1DE-45FC-ACA5-D884DBC3596A}"/>
    <cellStyle name="Normal 9 6 3 3" xfId="6971" xr:uid="{262F531E-7A45-4D37-A5E3-77BEF8FE8D48}"/>
    <cellStyle name="Normal 9 6 3 4" xfId="2669" xr:uid="{ED548649-C5C1-404B-9202-8A6502DA1E56}"/>
    <cellStyle name="Normal 9 6 4" xfId="3082" xr:uid="{036A0E63-44D9-46E6-A99A-004EB0686277}"/>
    <cellStyle name="Normal 9 6 4 2" xfId="5311" xr:uid="{16DB3D44-DDB9-41F6-8BCC-792A6E7EA63E}"/>
    <cellStyle name="Normal 9 6 4 2 2" xfId="9529" xr:uid="{A3BBD35E-0025-422D-BDF1-2DB7B151CA13}"/>
    <cellStyle name="Normal 9 6 4 3" xfId="7384" xr:uid="{3DE9BABE-A511-49D2-879A-E4F67C2ECA82}"/>
    <cellStyle name="Normal 9 6 5" xfId="3495" xr:uid="{FE18A0AE-FCAB-4157-AABB-BDB20C8AE8F6}"/>
    <cellStyle name="Normal 9 6 5 2" xfId="5724" xr:uid="{5B3E63A1-9FA1-4ECC-AECF-3FAF99E64E12}"/>
    <cellStyle name="Normal 9 6 5 2 2" xfId="9942" xr:uid="{3B156863-8226-4479-9608-3C21F4DE0F2D}"/>
    <cellStyle name="Normal 9 6 5 3" xfId="7797" xr:uid="{E0144C7D-B90C-40B0-8D65-C7CB71819E5E}"/>
    <cellStyle name="Normal 9 6 6" xfId="3931" xr:uid="{42B853D8-C02E-443A-AF78-0D8731E779EC}"/>
    <cellStyle name="Normal 9 6 6 2" xfId="8210" xr:uid="{0064F5B2-B63C-4E23-95D9-24C95F5F79D0}"/>
    <cellStyle name="Normal 9 6 7" xfId="6145" xr:uid="{D8860AF8-2719-4291-8FEA-8B378B87623D}"/>
    <cellStyle name="Normal 9 6 8" xfId="1841" xr:uid="{FCEF0270-2317-41CE-B650-1BCA24772444}"/>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4072" xr:uid="{FC0EE8FD-F1D5-472F-B9D1-FE91352CC38A}"/>
    <cellStyle name="Note 2 2 10 2" xfId="8291" xr:uid="{74C32289-34FE-4A93-B44D-6203D807FCF7}"/>
    <cellStyle name="Note 2 2 11" xfId="6146" xr:uid="{11959254-5361-433A-92E6-6777B198790A}"/>
    <cellStyle name="Note 2 2 12" xfId="1842" xr:uid="{B7A6C7EB-E85E-4EA1-B0BE-3051E0E7EF00}"/>
    <cellStyle name="Note 2 2 2" xfId="550" xr:uid="{00000000-0005-0000-0000-0000DD030000}"/>
    <cellStyle name="Note 2 2 2 10" xfId="6147" xr:uid="{144165A4-DAAA-469D-BD92-48485AB04990}"/>
    <cellStyle name="Note 2 2 2 11" xfId="1843" xr:uid="{2F40F4D0-8CA1-4163-8C59-088A3E0F8412}"/>
    <cellStyle name="Note 2 2 2 2" xfId="551" xr:uid="{00000000-0005-0000-0000-0000DE030000}"/>
    <cellStyle name="Note 2 2 2 2 10" xfId="1844" xr:uid="{7659284C-E42B-47F6-B63F-28B818ED0F6D}"/>
    <cellStyle name="Note 2 2 2 2 2" xfId="1016" xr:uid="{00000000-0005-0000-0000-0000DF030000}"/>
    <cellStyle name="Note 2 2 2 2 2 2" xfId="4488" xr:uid="{70D00170-A0D5-4081-BA59-79BDBBAC7ADD}"/>
    <cellStyle name="Note 2 2 2 2 2 2 2" xfId="8706" xr:uid="{7FC8CE72-C8D0-424A-9E7B-A0E5FE459999}"/>
    <cellStyle name="Note 2 2 2 2 2 3" xfId="6561" xr:uid="{E3B17407-78B1-4D26-B2EC-DEAE295FBCFE}"/>
    <cellStyle name="Note 2 2 2 2 2 4" xfId="2259" xr:uid="{372A667A-068D-4BF0-A55C-BB1E4A1E832B}"/>
    <cellStyle name="Note 2 2 2 2 3" xfId="1430" xr:uid="{BDF683C7-8103-407F-9412-19558CAD38D1}"/>
    <cellStyle name="Note 2 2 2 2 3 2" xfId="4901" xr:uid="{48918A76-2AF0-4C43-A3F9-6C2CE69CF84D}"/>
    <cellStyle name="Note 2 2 2 2 3 2 2" xfId="9119" xr:uid="{31796529-908E-4CE2-8447-F2AEFD49F4E0}"/>
    <cellStyle name="Note 2 2 2 2 3 3" xfId="6974" xr:uid="{CA2CBB7E-FF8D-49B3-A787-85D51427D05B}"/>
    <cellStyle name="Note 2 2 2 2 3 4" xfId="2672" xr:uid="{C39FEC54-EB41-4817-8044-02A4924B02D2}"/>
    <cellStyle name="Note 2 2 2 2 4" xfId="3085" xr:uid="{BD184321-1DEE-4254-8A7E-6722C46EB4AC}"/>
    <cellStyle name="Note 2 2 2 2 4 2" xfId="5314" xr:uid="{BA959D11-EE29-4278-B889-1389994DD629}"/>
    <cellStyle name="Note 2 2 2 2 4 2 2" xfId="9532" xr:uid="{297762E1-3A4D-4A3D-B279-E6B41669D6CB}"/>
    <cellStyle name="Note 2 2 2 2 4 3" xfId="7387" xr:uid="{38982121-EAB0-4E26-93B3-DF23EA8FBB72}"/>
    <cellStyle name="Note 2 2 2 2 5" xfId="3498" xr:uid="{FCBA2B32-34ED-4142-AF79-41F32E2CD6AD}"/>
    <cellStyle name="Note 2 2 2 2 5 2" xfId="5727" xr:uid="{EA29BD94-774A-438B-B7AD-603C28877474}"/>
    <cellStyle name="Note 2 2 2 2 5 2 2" xfId="9945" xr:uid="{04E3CB79-3A09-41FB-A8C7-0AE05A231CFA}"/>
    <cellStyle name="Note 2 2 2 2 5 3" xfId="7800" xr:uid="{D180E844-6834-41FC-BBC1-90913881907B}"/>
    <cellStyle name="Note 2 2 2 2 6" xfId="3934" xr:uid="{2D4D08EA-7CA1-4DDF-81BA-3EA023D33FE3}"/>
    <cellStyle name="Note 2 2 2 2 6 2" xfId="8213" xr:uid="{35380ED5-55A2-4943-9D69-3558CF626401}"/>
    <cellStyle name="Note 2 2 2 2 7" xfId="3993" xr:uid="{480019C6-6EA4-4849-B2E3-FB9317385ED1}"/>
    <cellStyle name="Note 2 2 2 2 8" xfId="4074" xr:uid="{74A1B240-0C56-4393-B32C-25F068D8673E}"/>
    <cellStyle name="Note 2 2 2 2 8 2" xfId="8293" xr:uid="{A9E8F06C-EFFC-4DED-8438-6782106D1D98}"/>
    <cellStyle name="Note 2 2 2 2 9" xfId="6148" xr:uid="{919606D4-A005-4EB5-9ADF-B734F4F2115A}"/>
    <cellStyle name="Note 2 2 2 3" xfId="1015" xr:uid="{00000000-0005-0000-0000-0000E0030000}"/>
    <cellStyle name="Note 2 2 2 3 2" xfId="4487" xr:uid="{42E73B56-BB75-4D1E-83D7-A9C7C0653BD9}"/>
    <cellStyle name="Note 2 2 2 3 2 2" xfId="8705" xr:uid="{435176FB-A71D-415C-9D7D-1D998D50E257}"/>
    <cellStyle name="Note 2 2 2 3 3" xfId="6560" xr:uid="{D54140FA-F120-42CB-B004-AE89A066648F}"/>
    <cellStyle name="Note 2 2 2 3 4" xfId="2258" xr:uid="{E73C14C5-07DD-4502-ABA8-D0FE4879A73B}"/>
    <cellStyle name="Note 2 2 2 4" xfId="1429" xr:uid="{803B5032-3584-4F22-8B2D-03D34C50CCEE}"/>
    <cellStyle name="Note 2 2 2 4 2" xfId="4900" xr:uid="{451DA8A5-F6C4-45BF-9BC2-DF23D3E2D0B3}"/>
    <cellStyle name="Note 2 2 2 4 2 2" xfId="9118" xr:uid="{70A2DDDE-3557-4F3B-AE01-02CD9DA11861}"/>
    <cellStyle name="Note 2 2 2 4 3" xfId="6973" xr:uid="{C1E83BE4-398B-4EF4-A0B1-7097623CFFED}"/>
    <cellStyle name="Note 2 2 2 4 4" xfId="2671" xr:uid="{1A43F28A-C804-475C-A9E7-3A5B8027B6F8}"/>
    <cellStyle name="Note 2 2 2 5" xfId="3084" xr:uid="{5368B37D-9F3C-4AE0-A987-250223EC6464}"/>
    <cellStyle name="Note 2 2 2 5 2" xfId="5313" xr:uid="{162AC342-EE32-4E14-A469-44B6DB7D517C}"/>
    <cellStyle name="Note 2 2 2 5 2 2" xfId="9531" xr:uid="{CA720077-8295-4BA7-8148-432396A8737A}"/>
    <cellStyle name="Note 2 2 2 5 3" xfId="7386" xr:uid="{89695E94-55BD-4010-AAC1-CC6ED2CE1D90}"/>
    <cellStyle name="Note 2 2 2 6" xfId="3497" xr:uid="{B2B03658-5A24-460D-A785-B7821197F0D8}"/>
    <cellStyle name="Note 2 2 2 6 2" xfId="5726" xr:uid="{F6BFCC80-253A-4BD4-A31E-44318633B59F}"/>
    <cellStyle name="Note 2 2 2 6 2 2" xfId="9944" xr:uid="{ED8076EA-0F69-43D7-8F51-93EC063654A4}"/>
    <cellStyle name="Note 2 2 2 6 3" xfId="7799" xr:uid="{F89F6863-AD91-4504-8EA0-4619F70B5566}"/>
    <cellStyle name="Note 2 2 2 7" xfId="3933" xr:uid="{07008E04-E1F6-41A4-901A-22F8F34803C8}"/>
    <cellStyle name="Note 2 2 2 7 2" xfId="8212" xr:uid="{C410FB04-750B-4554-B85B-5800235B0775}"/>
    <cellStyle name="Note 2 2 2 8" xfId="3992" xr:uid="{70F9D1E7-27A6-466C-86C9-C3E3367EB2E4}"/>
    <cellStyle name="Note 2 2 2 9" xfId="4073" xr:uid="{9243BDF4-7F5E-46A2-A79D-6A6EE70DB80F}"/>
    <cellStyle name="Note 2 2 2 9 2" xfId="8292" xr:uid="{7A33127B-0B30-4E9D-B13E-94F653BEA6DB}"/>
    <cellStyle name="Note 2 2 3" xfId="552" xr:uid="{00000000-0005-0000-0000-0000E1030000}"/>
    <cellStyle name="Note 2 2 3 10" xfId="1845" xr:uid="{2B1299E9-325A-4517-9A2D-DE431A64ECBA}"/>
    <cellStyle name="Note 2 2 3 2" xfId="1017" xr:uid="{00000000-0005-0000-0000-0000E2030000}"/>
    <cellStyle name="Note 2 2 3 2 2" xfId="4489" xr:uid="{BF19DFC1-051F-4F49-AB80-B12F2860E400}"/>
    <cellStyle name="Note 2 2 3 2 2 2" xfId="8707" xr:uid="{4DC9AA93-A4CF-45C6-BC39-35A402032A5D}"/>
    <cellStyle name="Note 2 2 3 2 3" xfId="6562" xr:uid="{4CD75166-1E3F-4521-9F53-529AA6CA3CA4}"/>
    <cellStyle name="Note 2 2 3 2 4" xfId="2260" xr:uid="{C1B363FF-F4F6-4007-B05E-B463C51730D7}"/>
    <cellStyle name="Note 2 2 3 3" xfId="1431" xr:uid="{6D42F666-619C-4EB6-BE42-A8A18350F5B2}"/>
    <cellStyle name="Note 2 2 3 3 2" xfId="4902" xr:uid="{520E46EF-C6D3-42D3-9F00-9D3E528C21C5}"/>
    <cellStyle name="Note 2 2 3 3 2 2" xfId="9120" xr:uid="{AE11B3F4-E56B-41B5-9911-530023549AF8}"/>
    <cellStyle name="Note 2 2 3 3 3" xfId="6975" xr:uid="{FF9A9B00-DB68-46AF-AFB5-2F24660D9077}"/>
    <cellStyle name="Note 2 2 3 3 4" xfId="2673" xr:uid="{D4B20922-082E-4390-BC09-1AB584D5DFC9}"/>
    <cellStyle name="Note 2 2 3 4" xfId="3086" xr:uid="{627356F0-3F8D-4568-A149-8D0857EE0344}"/>
    <cellStyle name="Note 2 2 3 4 2" xfId="5315" xr:uid="{238801D2-0290-4904-84FC-83DA856E524C}"/>
    <cellStyle name="Note 2 2 3 4 2 2" xfId="9533" xr:uid="{D40B1027-FD71-4044-A1D4-502E5EE18E70}"/>
    <cellStyle name="Note 2 2 3 4 3" xfId="7388" xr:uid="{F44DE1E7-C201-46BC-A848-3D7D3E583D7A}"/>
    <cellStyle name="Note 2 2 3 5" xfId="3499" xr:uid="{2619DF32-E44E-4A27-96B1-D58C185E6EF1}"/>
    <cellStyle name="Note 2 2 3 5 2" xfId="5728" xr:uid="{256FF2DC-5CD5-4DFF-83C1-D5953440B5FA}"/>
    <cellStyle name="Note 2 2 3 5 2 2" xfId="9946" xr:uid="{623D855D-443E-4ECD-B8A6-9F289DB2DDC8}"/>
    <cellStyle name="Note 2 2 3 5 3" xfId="7801" xr:uid="{50941DCB-B205-4B52-A2FF-701E0BB07609}"/>
    <cellStyle name="Note 2 2 3 6" xfId="3935" xr:uid="{C974263D-6639-4AC2-B8DB-05B3081264AA}"/>
    <cellStyle name="Note 2 2 3 6 2" xfId="8214" xr:uid="{3974325D-3C2B-414D-88DB-5E38F3BA936E}"/>
    <cellStyle name="Note 2 2 3 7" xfId="3994" xr:uid="{A5DF70C9-AADA-4C5A-B751-4BBE4A0AB97B}"/>
    <cellStyle name="Note 2 2 3 8" xfId="4075" xr:uid="{EBF78F56-844B-4CCE-8E07-AD3F8A2D442E}"/>
    <cellStyle name="Note 2 2 3 8 2" xfId="8294" xr:uid="{9A9E1821-809C-48AF-B3B5-5D7283626BDD}"/>
    <cellStyle name="Note 2 2 3 9" xfId="6149" xr:uid="{3ACBE0EF-A89B-4A03-97F5-B02B7E26BB78}"/>
    <cellStyle name="Note 2 2 4" xfId="1014" xr:uid="{00000000-0005-0000-0000-0000E3030000}"/>
    <cellStyle name="Note 2 2 4 2" xfId="4486" xr:uid="{860841CA-4F26-44F7-A920-1622EA4BEC6E}"/>
    <cellStyle name="Note 2 2 4 2 2" xfId="8704" xr:uid="{FFF1BF8C-111C-42B0-B08C-1D3D955C39AA}"/>
    <cellStyle name="Note 2 2 4 3" xfId="6559" xr:uid="{4F0E413C-D79F-4B92-B289-4E52B0FBFC35}"/>
    <cellStyle name="Note 2 2 4 4" xfId="2257" xr:uid="{A6F1B454-2547-4C22-ACAA-6866079AD57E}"/>
    <cellStyle name="Note 2 2 5" xfId="1428" xr:uid="{2CB0F5D1-6A65-453E-B419-CA65C6090009}"/>
    <cellStyle name="Note 2 2 5 2" xfId="4899" xr:uid="{620144F9-95F5-41EC-90FD-818EF2B6817B}"/>
    <cellStyle name="Note 2 2 5 2 2" xfId="9117" xr:uid="{F2CBBA22-6D06-4BBE-AC8A-7506807E239D}"/>
    <cellStyle name="Note 2 2 5 3" xfId="6972" xr:uid="{8F842D3B-19D6-4762-9FA8-9C5CF4FA9A8A}"/>
    <cellStyle name="Note 2 2 5 4" xfId="2670" xr:uid="{886190A5-B464-42A7-A36D-1DDC990048AD}"/>
    <cellStyle name="Note 2 2 6" xfId="3083" xr:uid="{07B262F1-F7AC-4C5A-96FA-B2049E0ED489}"/>
    <cellStyle name="Note 2 2 6 2" xfId="5312" xr:uid="{A119C65C-C601-4841-8A6A-DA29E39A9ECB}"/>
    <cellStyle name="Note 2 2 6 2 2" xfId="9530" xr:uid="{43EA7F7D-CE28-46EA-A04A-8D0FA5BDCADE}"/>
    <cellStyle name="Note 2 2 6 3" xfId="7385" xr:uid="{11DB6F4B-D935-4BFA-8CAD-6FD108C8CFA4}"/>
    <cellStyle name="Note 2 2 7" xfId="3496" xr:uid="{8DB425FE-C5BC-41FC-8C73-5671E4BA2E1D}"/>
    <cellStyle name="Note 2 2 7 2" xfId="5725" xr:uid="{A536C025-3895-4002-9283-147E3D4037C0}"/>
    <cellStyle name="Note 2 2 7 2 2" xfId="9943" xr:uid="{0E80CD1A-6B37-4577-8F20-E0BF972257BB}"/>
    <cellStyle name="Note 2 2 7 3" xfId="7798" xr:uid="{A723566B-D9CB-4721-B746-0A3B8694A023}"/>
    <cellStyle name="Note 2 2 8" xfId="3932" xr:uid="{C87C8DC1-F3D8-4ACA-9E78-DD91891D8811}"/>
    <cellStyle name="Note 2 2 8 2" xfId="8211" xr:uid="{06C3293B-9C41-4784-BC3B-22C5A1C668A0}"/>
    <cellStyle name="Note 2 2 9" xfId="3991" xr:uid="{E5FAEED4-0D66-4E51-9ACD-F33FFC5818C5}"/>
    <cellStyle name="Note 2 3" xfId="553" xr:uid="{00000000-0005-0000-0000-0000E4030000}"/>
    <cellStyle name="Note 2 3 10" xfId="6150" xr:uid="{404BA1E7-67E7-4736-8C42-AA681765863D}"/>
    <cellStyle name="Note 2 3 11" xfId="1846" xr:uid="{F24C98CF-46C0-4631-9170-2F9129B5E4C7}"/>
    <cellStyle name="Note 2 3 2" xfId="554" xr:uid="{00000000-0005-0000-0000-0000E5030000}"/>
    <cellStyle name="Note 2 3 2 10" xfId="1847" xr:uid="{7F086088-906D-4504-B5E7-204DC9FDC99A}"/>
    <cellStyle name="Note 2 3 2 2" xfId="1019" xr:uid="{00000000-0005-0000-0000-0000E6030000}"/>
    <cellStyle name="Note 2 3 2 2 2" xfId="4491" xr:uid="{C55D0B73-0744-4FD4-8895-02048FE0EF11}"/>
    <cellStyle name="Note 2 3 2 2 2 2" xfId="8709" xr:uid="{30496A9C-BEFB-42A5-859C-3892BCD35E32}"/>
    <cellStyle name="Note 2 3 2 2 3" xfId="6564" xr:uid="{74523452-91E2-4757-A645-0B2213D874CE}"/>
    <cellStyle name="Note 2 3 2 2 4" xfId="2262" xr:uid="{A1C4140A-649E-4303-8D41-D4CCB24A7D72}"/>
    <cellStyle name="Note 2 3 2 3" xfId="1433" xr:uid="{40D2A107-6C8A-4145-998F-63E507390B98}"/>
    <cellStyle name="Note 2 3 2 3 2" xfId="4904" xr:uid="{731F4337-5139-4F65-8758-9D3B67DFD530}"/>
    <cellStyle name="Note 2 3 2 3 2 2" xfId="9122" xr:uid="{542C7F41-93EC-4CEE-A1BC-72328415F389}"/>
    <cellStyle name="Note 2 3 2 3 3" xfId="6977" xr:uid="{9607F437-F904-4C05-A4FF-0511B3E55C49}"/>
    <cellStyle name="Note 2 3 2 3 4" xfId="2675" xr:uid="{BFE0D63F-1607-433D-AF0F-DD94FA9A6D3A}"/>
    <cellStyle name="Note 2 3 2 4" xfId="3088" xr:uid="{4E32DC7F-7856-4C50-85DF-D636FCA90F53}"/>
    <cellStyle name="Note 2 3 2 4 2" xfId="5317" xr:uid="{BFCDCB0D-09BC-492A-8B9C-CF6178370DE8}"/>
    <cellStyle name="Note 2 3 2 4 2 2" xfId="9535" xr:uid="{8F38998E-D4BE-4496-8A05-8D55FA427073}"/>
    <cellStyle name="Note 2 3 2 4 3" xfId="7390" xr:uid="{6801A231-4671-43C7-BFEA-CB481D77E27A}"/>
    <cellStyle name="Note 2 3 2 5" xfId="3501" xr:uid="{12B8E72C-D85E-4BE3-8304-15CABEF7A8FF}"/>
    <cellStyle name="Note 2 3 2 5 2" xfId="5730" xr:uid="{8544CCB3-26CF-4CD5-890E-51BBD21A97FD}"/>
    <cellStyle name="Note 2 3 2 5 2 2" xfId="9948" xr:uid="{1677A96B-5C80-4F87-90F5-C0210F5D786F}"/>
    <cellStyle name="Note 2 3 2 5 3" xfId="7803" xr:uid="{68A356CA-A6D2-44F7-8227-4B7109FF23C6}"/>
    <cellStyle name="Note 2 3 2 6" xfId="3937" xr:uid="{928BE422-124F-4A65-9055-FE9386492341}"/>
    <cellStyle name="Note 2 3 2 6 2" xfId="8216" xr:uid="{6E59592D-DC15-49BF-B36E-A7AA4551A7E6}"/>
    <cellStyle name="Note 2 3 2 7" xfId="3996" xr:uid="{44C8BA09-9FDA-46D7-8EE4-6B7592A5808C}"/>
    <cellStyle name="Note 2 3 2 8" xfId="4077" xr:uid="{2C80BA18-5545-4A86-9EDD-3F9336F63586}"/>
    <cellStyle name="Note 2 3 2 8 2" xfId="8296" xr:uid="{99AFF91E-A111-4068-8D99-C355594EBFDA}"/>
    <cellStyle name="Note 2 3 2 9" xfId="6151" xr:uid="{F034E551-A557-46A0-A873-608F039DEFAB}"/>
    <cellStyle name="Note 2 3 3" xfId="1018" xr:uid="{00000000-0005-0000-0000-0000E7030000}"/>
    <cellStyle name="Note 2 3 3 2" xfId="4490" xr:uid="{E94CBAED-86ED-4D6D-89D3-B5079CD670D5}"/>
    <cellStyle name="Note 2 3 3 2 2" xfId="8708" xr:uid="{7BCC05A9-736C-4D44-8EAE-79BEA0A77FDE}"/>
    <cellStyle name="Note 2 3 3 3" xfId="6563" xr:uid="{FC069F20-9B71-405F-9A28-5E2B98A4A9BF}"/>
    <cellStyle name="Note 2 3 3 4" xfId="2261" xr:uid="{62000C07-534D-4D25-99FA-2F76571E0F9F}"/>
    <cellStyle name="Note 2 3 4" xfId="1432" xr:uid="{ECB3E69D-8952-4925-9F66-963ACACCD4EC}"/>
    <cellStyle name="Note 2 3 4 2" xfId="4903" xr:uid="{2AA1C589-0A1B-4955-BB6B-2332EFEB4E33}"/>
    <cellStyle name="Note 2 3 4 2 2" xfId="9121" xr:uid="{2B6A0AB1-268D-436F-B107-4F9AE5DB77B0}"/>
    <cellStyle name="Note 2 3 4 3" xfId="6976" xr:uid="{EBBA208F-A3E2-4D7E-BAB6-4B69B90BAF14}"/>
    <cellStyle name="Note 2 3 4 4" xfId="2674" xr:uid="{85F89D25-55A9-446F-96FF-617AEF9F37B4}"/>
    <cellStyle name="Note 2 3 5" xfId="3087" xr:uid="{891F27FB-65CF-4C94-A66E-2EDA16967B41}"/>
    <cellStyle name="Note 2 3 5 2" xfId="5316" xr:uid="{B1C8A67D-AF0E-4AAF-98F7-BEE0E640C84C}"/>
    <cellStyle name="Note 2 3 5 2 2" xfId="9534" xr:uid="{9ADE7224-D3DA-44A4-8F94-613EBB3B9CF3}"/>
    <cellStyle name="Note 2 3 5 3" xfId="7389" xr:uid="{8AA1F40F-0E1B-48DE-9357-D7AD2548E3AB}"/>
    <cellStyle name="Note 2 3 6" xfId="3500" xr:uid="{798E7FD3-AE6F-4AD7-BB34-B4527236B046}"/>
    <cellStyle name="Note 2 3 6 2" xfId="5729" xr:uid="{AC2783FC-32A5-4608-8B36-B822B15E03E0}"/>
    <cellStyle name="Note 2 3 6 2 2" xfId="9947" xr:uid="{D7AB9337-C739-46CB-995B-B3A91ADFCFC7}"/>
    <cellStyle name="Note 2 3 6 3" xfId="7802" xr:uid="{1E7B6715-3CE4-4AA5-AA77-B34A47C56B9C}"/>
    <cellStyle name="Note 2 3 7" xfId="3936" xr:uid="{24224427-49A1-4E13-8E8D-C5686B480F86}"/>
    <cellStyle name="Note 2 3 7 2" xfId="8215" xr:uid="{0E05DFEB-7E0A-44A0-8690-F5F823FE9447}"/>
    <cellStyle name="Note 2 3 8" xfId="3995" xr:uid="{19ADD520-ED65-42F7-A6EB-4E4FD9E1C432}"/>
    <cellStyle name="Note 2 3 9" xfId="4076" xr:uid="{106F6F47-D8EA-4190-A844-D0A857AB6FA7}"/>
    <cellStyle name="Note 2 3 9 2" xfId="8295" xr:uid="{03F91016-DCAA-4992-BDBB-DDDB72364FC4}"/>
    <cellStyle name="Note 2 4" xfId="555" xr:uid="{00000000-0005-0000-0000-0000E8030000}"/>
    <cellStyle name="Note 2 4 10" xfId="1848" xr:uid="{28AA34CA-B84C-4EBD-AB2F-BF215319E4F2}"/>
    <cellStyle name="Note 2 4 2" xfId="1020" xr:uid="{00000000-0005-0000-0000-0000E9030000}"/>
    <cellStyle name="Note 2 4 2 2" xfId="4492" xr:uid="{6258D2E7-5EBC-467F-BA8A-361037723380}"/>
    <cellStyle name="Note 2 4 2 2 2" xfId="8710" xr:uid="{1749E02D-A132-4EFA-B1CA-02009E3B472B}"/>
    <cellStyle name="Note 2 4 2 3" xfId="6565" xr:uid="{485AE388-6ABA-4E7D-8B2F-41346E271E87}"/>
    <cellStyle name="Note 2 4 2 4" xfId="2263" xr:uid="{9D1CF75B-73E2-4CA1-BAE7-99301F7EFF72}"/>
    <cellStyle name="Note 2 4 3" xfId="1434" xr:uid="{2C5EB44E-0037-4E06-84F1-9DC59FA4A071}"/>
    <cellStyle name="Note 2 4 3 2" xfId="4905" xr:uid="{9491A477-5A48-46D1-8F5B-8F304486FA63}"/>
    <cellStyle name="Note 2 4 3 2 2" xfId="9123" xr:uid="{E391F789-050E-42FB-AC12-BF549BA204FE}"/>
    <cellStyle name="Note 2 4 3 3" xfId="6978" xr:uid="{A087FA28-5712-4004-8E7E-0A512C5E514A}"/>
    <cellStyle name="Note 2 4 3 4" xfId="2676" xr:uid="{4B371065-4E03-4785-BE60-0F0606BC1816}"/>
    <cellStyle name="Note 2 4 4" xfId="3089" xr:uid="{9DC8FAC1-5C07-467F-A9BA-86B98E2E1D9C}"/>
    <cellStyle name="Note 2 4 4 2" xfId="5318" xr:uid="{9A4C4887-6AE0-42F9-9216-F1328BC6E88B}"/>
    <cellStyle name="Note 2 4 4 2 2" xfId="9536" xr:uid="{C00E4DB1-4901-484C-8D67-EB383802017A}"/>
    <cellStyle name="Note 2 4 4 3" xfId="7391" xr:uid="{53C007E0-656A-4DC0-815C-0D1120CC9626}"/>
    <cellStyle name="Note 2 4 5" xfId="3502" xr:uid="{A41D5E4C-E36B-4996-A35F-DF9FB27178A3}"/>
    <cellStyle name="Note 2 4 5 2" xfId="5731" xr:uid="{0BDB694D-CA28-49FA-9006-399581F00D02}"/>
    <cellStyle name="Note 2 4 5 2 2" xfId="9949" xr:uid="{7DF95C84-B90B-4EC9-A110-1B0A40BCEB22}"/>
    <cellStyle name="Note 2 4 5 3" xfId="7804" xr:uid="{65357CC4-9E33-4DD7-8FBE-3F82B80600F6}"/>
    <cellStyle name="Note 2 4 6" xfId="3938" xr:uid="{16205E73-3EAD-44E2-99C8-26AE796117D0}"/>
    <cellStyle name="Note 2 4 6 2" xfId="8217" xr:uid="{33CF15C0-0081-4E73-ABDD-CCC100CCAD27}"/>
    <cellStyle name="Note 2 4 7" xfId="3997" xr:uid="{058AE634-AABD-4DEF-9ADE-2FAF75BE2CDF}"/>
    <cellStyle name="Note 2 4 8" xfId="4078" xr:uid="{5729C307-FE0D-4956-A2CA-96ADEB93F44E}"/>
    <cellStyle name="Note 2 4 8 2" xfId="8297" xr:uid="{DD208939-FB4F-484C-AE80-D6016B904A77}"/>
    <cellStyle name="Note 2 4 9" xfId="6152" xr:uid="{5CEECA20-F054-4E35-9271-B8A8751AF885}"/>
    <cellStyle name="Note 2 5" xfId="556" xr:uid="{00000000-0005-0000-0000-0000EA030000}"/>
    <cellStyle name="Note 2 5 10" xfId="1849" xr:uid="{FA9E7502-12BC-4005-90C3-51F35E127F6F}"/>
    <cellStyle name="Note 2 5 2" xfId="1021" xr:uid="{00000000-0005-0000-0000-0000EB030000}"/>
    <cellStyle name="Note 2 5 2 2" xfId="4493" xr:uid="{4EF6A2D4-B8A0-4677-97BA-D6ED2B34B050}"/>
    <cellStyle name="Note 2 5 2 2 2" xfId="8711" xr:uid="{D9364545-5240-4267-8E24-01C61A213E63}"/>
    <cellStyle name="Note 2 5 2 3" xfId="6566" xr:uid="{135A2F55-99F0-40EB-8CBC-ED612EE2A3AD}"/>
    <cellStyle name="Note 2 5 2 4" xfId="2264" xr:uid="{10D75F58-530D-4E0D-9360-EF7D0B9ABD3E}"/>
    <cellStyle name="Note 2 5 3" xfId="1435" xr:uid="{3C122388-1E65-4DF7-BA3F-B0B4D645F15C}"/>
    <cellStyle name="Note 2 5 3 2" xfId="4906" xr:uid="{5465A2C1-9E67-4ED0-8B29-368BB25C72A4}"/>
    <cellStyle name="Note 2 5 3 2 2" xfId="9124" xr:uid="{A2E0A5F5-3436-4CFE-B02B-C8F7BF74C29B}"/>
    <cellStyle name="Note 2 5 3 3" xfId="6979" xr:uid="{D3E8C77E-1AE4-4314-A2BE-E72D2232FF6D}"/>
    <cellStyle name="Note 2 5 3 4" xfId="2677" xr:uid="{8B663ABB-CC1C-4BC9-8572-E44083E02D88}"/>
    <cellStyle name="Note 2 5 4" xfId="3090" xr:uid="{AB1F2590-32AD-450F-885A-0BC15A6343CC}"/>
    <cellStyle name="Note 2 5 4 2" xfId="5319" xr:uid="{512ACBDE-8C1B-4946-AFF8-DA0DC33EAC55}"/>
    <cellStyle name="Note 2 5 4 2 2" xfId="9537" xr:uid="{EE288FC3-8E61-4FDC-9FCD-498FA0268525}"/>
    <cellStyle name="Note 2 5 4 3" xfId="7392" xr:uid="{43DC0353-2769-405E-821A-8713720F874F}"/>
    <cellStyle name="Note 2 5 5" xfId="3503" xr:uid="{A1A4E8DA-F67F-4BA3-9652-3FB57CD40DEF}"/>
    <cellStyle name="Note 2 5 5 2" xfId="5732" xr:uid="{4229711B-9541-43D9-859D-C31EB17ED93E}"/>
    <cellStyle name="Note 2 5 5 2 2" xfId="9950" xr:uid="{A66C3F86-9114-4E25-A7E7-D3DE9B8A9AA0}"/>
    <cellStyle name="Note 2 5 5 3" xfId="7805" xr:uid="{EC3EC932-56A6-45B3-9707-B2AF3117983E}"/>
    <cellStyle name="Note 2 5 6" xfId="3939" xr:uid="{F657EB15-0F45-4E6F-B16A-8BB918422DB5}"/>
    <cellStyle name="Note 2 5 6 2" xfId="8218" xr:uid="{B0B85C12-118E-4270-8053-65D4B20235F9}"/>
    <cellStyle name="Note 2 5 7" xfId="3998" xr:uid="{FA6A5C97-D9D0-44D9-A323-95C1A0D94E0C}"/>
    <cellStyle name="Note 2 5 8" xfId="4079" xr:uid="{C2ACD529-F3D2-4070-B701-7339DDB0B7CA}"/>
    <cellStyle name="Note 2 5 8 2" xfId="8298" xr:uid="{65BB7DF9-5BD7-4428-A745-43831EE39C8B}"/>
    <cellStyle name="Note 2 5 9" xfId="6153" xr:uid="{C824C707-3C23-451E-A34E-6208055672A6}"/>
    <cellStyle name="Note 3" xfId="557" xr:uid="{00000000-0005-0000-0000-0000EC030000}"/>
    <cellStyle name="Note 3 2" xfId="558" xr:uid="{00000000-0005-0000-0000-0000ED030000}"/>
    <cellStyle name="Note 3 2 10" xfId="4080" xr:uid="{73BD9772-03D2-40F1-86B9-4DEAA813808F}"/>
    <cellStyle name="Note 3 2 10 2" xfId="8299" xr:uid="{A8D0EC33-C90F-4263-A3B5-5376BF03D828}"/>
    <cellStyle name="Note 3 2 11" xfId="6154" xr:uid="{E4762246-C89F-4B71-B14B-5D9F7999F8CE}"/>
    <cellStyle name="Note 3 2 12" xfId="1850" xr:uid="{5539BD9A-C8B2-41C9-A0C7-6A42D9BA9B79}"/>
    <cellStyle name="Note 3 2 2" xfId="559" xr:uid="{00000000-0005-0000-0000-0000EE030000}"/>
    <cellStyle name="Note 3 2 2 10" xfId="6155" xr:uid="{9D835FCD-02F0-4025-819A-48D71BB8D023}"/>
    <cellStyle name="Note 3 2 2 11" xfId="1851" xr:uid="{121482A9-95A4-428A-993A-03C785A1DE4A}"/>
    <cellStyle name="Note 3 2 2 2" xfId="560" xr:uid="{00000000-0005-0000-0000-0000EF030000}"/>
    <cellStyle name="Note 3 2 2 2 10" xfId="1852" xr:uid="{F73D9857-931A-423C-B95E-14624C0971A3}"/>
    <cellStyle name="Note 3 2 2 2 2" xfId="1024" xr:uid="{00000000-0005-0000-0000-0000F0030000}"/>
    <cellStyle name="Note 3 2 2 2 2 2" xfId="4496" xr:uid="{C9099F6E-60F3-4B1B-B481-69C6DACEB961}"/>
    <cellStyle name="Note 3 2 2 2 2 2 2" xfId="8714" xr:uid="{13B8BCC6-A561-4F7A-88C6-93B6591538D4}"/>
    <cellStyle name="Note 3 2 2 2 2 3" xfId="6569" xr:uid="{E3D0A174-D4EF-427C-9276-D5DE6158C693}"/>
    <cellStyle name="Note 3 2 2 2 2 4" xfId="2267" xr:uid="{EDA1A3E3-E9C1-4D17-BC9E-57F43FD8AD2E}"/>
    <cellStyle name="Note 3 2 2 2 3" xfId="1438" xr:uid="{1B2113A1-9634-4952-BB24-CE5DD75FE8B0}"/>
    <cellStyle name="Note 3 2 2 2 3 2" xfId="4909" xr:uid="{3F6EB476-F083-483F-94D6-9C349F55DFF9}"/>
    <cellStyle name="Note 3 2 2 2 3 2 2" xfId="9127" xr:uid="{7A308BE6-CE59-4075-A97E-105B15DDE3B6}"/>
    <cellStyle name="Note 3 2 2 2 3 3" xfId="6982" xr:uid="{A5E365C8-ABA6-49B1-8B5C-8F8C7D5FD757}"/>
    <cellStyle name="Note 3 2 2 2 3 4" xfId="2680" xr:uid="{82015D4B-CC3B-4AE0-9947-2D0E7D41D788}"/>
    <cellStyle name="Note 3 2 2 2 4" xfId="3093" xr:uid="{340C9A0D-5D28-4802-A578-EBCBD9876B46}"/>
    <cellStyle name="Note 3 2 2 2 4 2" xfId="5322" xr:uid="{21BC1C78-1478-42FA-B4D3-1CA7C2BB2CEE}"/>
    <cellStyle name="Note 3 2 2 2 4 2 2" xfId="9540" xr:uid="{16AA6387-20B4-4A1C-B106-FA4600031188}"/>
    <cellStyle name="Note 3 2 2 2 4 3" xfId="7395" xr:uid="{3D4403A3-29B1-471C-897F-98AC3F1669D4}"/>
    <cellStyle name="Note 3 2 2 2 5" xfId="3506" xr:uid="{4749BBF5-090C-402D-A64D-B35A7A1F725D}"/>
    <cellStyle name="Note 3 2 2 2 5 2" xfId="5735" xr:uid="{F826451B-B3B3-4FBC-8876-157193B4319F}"/>
    <cellStyle name="Note 3 2 2 2 5 2 2" xfId="9953" xr:uid="{4E07D8DF-E74C-4B10-9C18-795E4C606B08}"/>
    <cellStyle name="Note 3 2 2 2 5 3" xfId="7808" xr:uid="{80CA531D-F7C7-40E8-962A-076B97FF9375}"/>
    <cellStyle name="Note 3 2 2 2 6" xfId="3942" xr:uid="{B0CE9945-2B30-4014-9BA5-6785965D028A}"/>
    <cellStyle name="Note 3 2 2 2 6 2" xfId="8221" xr:uid="{C34942E7-77C7-4338-8A05-8D66E8ED8700}"/>
    <cellStyle name="Note 3 2 2 2 7" xfId="4001" xr:uid="{D5881DEB-BEDE-425C-B40D-CFF2BD7FFDC0}"/>
    <cellStyle name="Note 3 2 2 2 8" xfId="4082" xr:uid="{AD11792F-F93D-4ECF-8EA1-22B1336805C7}"/>
    <cellStyle name="Note 3 2 2 2 8 2" xfId="8301" xr:uid="{D4D32975-7742-4DB6-B878-BF78A3B6E2DE}"/>
    <cellStyle name="Note 3 2 2 2 9" xfId="6156" xr:uid="{FFABC69E-91C2-4DEA-B66E-DA1FC400AE5A}"/>
    <cellStyle name="Note 3 2 2 3" xfId="1023" xr:uid="{00000000-0005-0000-0000-0000F1030000}"/>
    <cellStyle name="Note 3 2 2 3 2" xfId="4495" xr:uid="{D8148C76-BF36-4378-B2DF-82E319E57C39}"/>
    <cellStyle name="Note 3 2 2 3 2 2" xfId="8713" xr:uid="{938DAE9A-C593-48D9-8522-9C6B8D34B7CF}"/>
    <cellStyle name="Note 3 2 2 3 3" xfId="6568" xr:uid="{D09A349A-F184-4B56-83CE-6C69100A6ED0}"/>
    <cellStyle name="Note 3 2 2 3 4" xfId="2266" xr:uid="{7470BBCC-769D-4226-9192-1A9EB07FC69E}"/>
    <cellStyle name="Note 3 2 2 4" xfId="1437" xr:uid="{BAE669C9-6294-41C3-8249-DD265625F923}"/>
    <cellStyle name="Note 3 2 2 4 2" xfId="4908" xr:uid="{5A3BB14B-7DBE-41BF-8D7D-AE55976D154E}"/>
    <cellStyle name="Note 3 2 2 4 2 2" xfId="9126" xr:uid="{67BB52AA-0915-40BD-953D-7C6463E343B7}"/>
    <cellStyle name="Note 3 2 2 4 3" xfId="6981" xr:uid="{7E438B46-B59A-4F43-A73A-D796A8047EE7}"/>
    <cellStyle name="Note 3 2 2 4 4" xfId="2679" xr:uid="{E462437F-BE9D-405F-B659-FEF5D480A591}"/>
    <cellStyle name="Note 3 2 2 5" xfId="3092" xr:uid="{5501335D-C99B-4C06-B31D-670A04091271}"/>
    <cellStyle name="Note 3 2 2 5 2" xfId="5321" xr:uid="{1D5F25D0-CC26-45A3-8DCC-C1B5882DDC87}"/>
    <cellStyle name="Note 3 2 2 5 2 2" xfId="9539" xr:uid="{7E6BB6E7-477A-4E4E-924A-E528F784C02E}"/>
    <cellStyle name="Note 3 2 2 5 3" xfId="7394" xr:uid="{175DD8EA-6E24-4F17-951C-293E5D076266}"/>
    <cellStyle name="Note 3 2 2 6" xfId="3505" xr:uid="{F3177B6A-7D17-45B6-90CA-06E87462F72A}"/>
    <cellStyle name="Note 3 2 2 6 2" xfId="5734" xr:uid="{A9857E91-6A1A-46F4-98D1-8C5FA34A9BC6}"/>
    <cellStyle name="Note 3 2 2 6 2 2" xfId="9952" xr:uid="{4169FC80-45A9-4609-A4E1-DD98C604C0B1}"/>
    <cellStyle name="Note 3 2 2 6 3" xfId="7807" xr:uid="{CF048703-E5F3-4E54-AA3A-7DB00C16E887}"/>
    <cellStyle name="Note 3 2 2 7" xfId="3941" xr:uid="{86D86B9F-249C-40E8-ADE4-32124D73EEB5}"/>
    <cellStyle name="Note 3 2 2 7 2" xfId="8220" xr:uid="{DD756C20-E360-46B9-BAA6-E97BA7A372A4}"/>
    <cellStyle name="Note 3 2 2 8" xfId="4000" xr:uid="{9E141A1E-45FD-42CC-BB9D-651F5C6FAD28}"/>
    <cellStyle name="Note 3 2 2 9" xfId="4081" xr:uid="{AE3A8523-0BE3-41F8-9534-8AD9B9B3E28D}"/>
    <cellStyle name="Note 3 2 2 9 2" xfId="8300" xr:uid="{AD7B70F9-F26C-4209-A560-B94C53F9D7C0}"/>
    <cellStyle name="Note 3 2 3" xfId="561" xr:uid="{00000000-0005-0000-0000-0000F2030000}"/>
    <cellStyle name="Note 3 2 3 10" xfId="1853" xr:uid="{7BDA1208-6238-4743-95F7-56F814408806}"/>
    <cellStyle name="Note 3 2 3 2" xfId="1025" xr:uid="{00000000-0005-0000-0000-0000F3030000}"/>
    <cellStyle name="Note 3 2 3 2 2" xfId="4497" xr:uid="{E077C3B8-575A-4029-804E-ACCA86176213}"/>
    <cellStyle name="Note 3 2 3 2 2 2" xfId="8715" xr:uid="{E6E1C21A-369D-49EB-9F15-B1432811F77E}"/>
    <cellStyle name="Note 3 2 3 2 3" xfId="6570" xr:uid="{C8605E7E-B794-43AD-95A1-9CEB71041FF5}"/>
    <cellStyle name="Note 3 2 3 2 4" xfId="2268" xr:uid="{415F6409-D3B1-4167-A4AD-901A48E9CCD1}"/>
    <cellStyle name="Note 3 2 3 3" xfId="1439" xr:uid="{900DAC8D-4ABE-4C65-AF25-14ED4401FAD2}"/>
    <cellStyle name="Note 3 2 3 3 2" xfId="4910" xr:uid="{9B99C49D-1BD6-413F-91BC-74D87A2BE8DF}"/>
    <cellStyle name="Note 3 2 3 3 2 2" xfId="9128" xr:uid="{5EC40AD2-5ACA-4155-93F7-ECFE1E72569F}"/>
    <cellStyle name="Note 3 2 3 3 3" xfId="6983" xr:uid="{2DB9C875-754B-4701-8204-C505C45ADECA}"/>
    <cellStyle name="Note 3 2 3 3 4" xfId="2681" xr:uid="{AB898590-A380-42B7-B4CC-397CA8A22E08}"/>
    <cellStyle name="Note 3 2 3 4" xfId="3094" xr:uid="{F86052CC-31CF-4073-B33B-9027231D947F}"/>
    <cellStyle name="Note 3 2 3 4 2" xfId="5323" xr:uid="{1D9F0C9C-1816-4ABD-A67D-66FB021A9145}"/>
    <cellStyle name="Note 3 2 3 4 2 2" xfId="9541" xr:uid="{6679A93B-5C74-499C-A117-3A3687F22B5C}"/>
    <cellStyle name="Note 3 2 3 4 3" xfId="7396" xr:uid="{C3031B2B-AC44-41DD-9432-DB79072ECC2E}"/>
    <cellStyle name="Note 3 2 3 5" xfId="3507" xr:uid="{EAD96DC2-FFFA-49C0-8073-83ECF65CCBAD}"/>
    <cellStyle name="Note 3 2 3 5 2" xfId="5736" xr:uid="{C570892A-8B06-4638-9635-5B788C3B2D40}"/>
    <cellStyle name="Note 3 2 3 5 2 2" xfId="9954" xr:uid="{AC80BAC0-953B-4788-A0AE-4FA92EDE1901}"/>
    <cellStyle name="Note 3 2 3 5 3" xfId="7809" xr:uid="{1423BD25-0F36-4D8D-AF88-E2F77DDFFE8B}"/>
    <cellStyle name="Note 3 2 3 6" xfId="3943" xr:uid="{83CED85F-75EC-4533-B075-4AD631B8166C}"/>
    <cellStyle name="Note 3 2 3 6 2" xfId="8222" xr:uid="{57813D22-A49C-46A8-B3F0-23604A9E94FC}"/>
    <cellStyle name="Note 3 2 3 7" xfId="4002" xr:uid="{D4A30D89-9720-478D-A0FD-F6837CF29EC1}"/>
    <cellStyle name="Note 3 2 3 8" xfId="4083" xr:uid="{ED0AFBC2-91C6-4D96-B8D2-FAF443EDEDB5}"/>
    <cellStyle name="Note 3 2 3 8 2" xfId="8302" xr:uid="{CFEC487B-0BD0-4C97-8752-A3BA7F13F851}"/>
    <cellStyle name="Note 3 2 3 9" xfId="6157" xr:uid="{70D66EB9-D701-45D4-88D9-283CF0DEA2C3}"/>
    <cellStyle name="Note 3 2 4" xfId="1022" xr:uid="{00000000-0005-0000-0000-0000F4030000}"/>
    <cellStyle name="Note 3 2 4 2" xfId="4494" xr:uid="{EF96D571-8F8B-432A-BEF0-CD52A494420F}"/>
    <cellStyle name="Note 3 2 4 2 2" xfId="8712" xr:uid="{0D849DF4-3280-4741-A2D6-DACE3482BE0C}"/>
    <cellStyle name="Note 3 2 4 3" xfId="6567" xr:uid="{3AD5288C-69A2-4794-9771-F7549564DC7D}"/>
    <cellStyle name="Note 3 2 4 4" xfId="2265" xr:uid="{53BE9528-04E5-44F3-A133-43E64BEB3907}"/>
    <cellStyle name="Note 3 2 5" xfId="1436" xr:uid="{078B2AA4-48C8-479B-8F2D-DA3D50BFF71E}"/>
    <cellStyle name="Note 3 2 5 2" xfId="4907" xr:uid="{06328C7E-2BC6-4182-B8C9-FCCCAA7B7BDE}"/>
    <cellStyle name="Note 3 2 5 2 2" xfId="9125" xr:uid="{B4B8D0B3-F7CE-4524-A0BE-770012CBA76E}"/>
    <cellStyle name="Note 3 2 5 3" xfId="6980" xr:uid="{1B3EF1C6-A73D-4190-BCF8-6BD9AA2139B5}"/>
    <cellStyle name="Note 3 2 5 4" xfId="2678" xr:uid="{12C3678F-9F7C-47AE-8D23-012D03F606BD}"/>
    <cellStyle name="Note 3 2 6" xfId="3091" xr:uid="{2F5E1316-3830-4824-BF36-AED2893AFCF1}"/>
    <cellStyle name="Note 3 2 6 2" xfId="5320" xr:uid="{C758C97E-ABFA-4FDC-BBD6-271A97431C21}"/>
    <cellStyle name="Note 3 2 6 2 2" xfId="9538" xr:uid="{142A770B-A33D-475E-9E0B-80EB65356AE8}"/>
    <cellStyle name="Note 3 2 6 3" xfId="7393" xr:uid="{BE756D20-29F1-4A06-BE56-0BB4341D0975}"/>
    <cellStyle name="Note 3 2 7" xfId="3504" xr:uid="{AB08CAB7-8428-41F5-8CA3-987D33349E19}"/>
    <cellStyle name="Note 3 2 7 2" xfId="5733" xr:uid="{8F155128-2B7B-492F-A989-8714C1CE395B}"/>
    <cellStyle name="Note 3 2 7 2 2" xfId="9951" xr:uid="{0D307ABB-6DBA-4BD3-9DA3-0ECF67CC0C89}"/>
    <cellStyle name="Note 3 2 7 3" xfId="7806" xr:uid="{BF633CB2-B642-4FD4-9723-339DBD9083DF}"/>
    <cellStyle name="Note 3 2 8" xfId="3940" xr:uid="{D6CA90FA-D0E7-4647-B041-83A3CD25C765}"/>
    <cellStyle name="Note 3 2 8 2" xfId="8219" xr:uid="{93264A15-C10F-4E0A-B80B-09B11CD63E1C}"/>
    <cellStyle name="Note 3 2 9" xfId="3999" xr:uid="{51939572-B5B3-4AFB-B03C-9F7BDB11C9AC}"/>
    <cellStyle name="Note 3 3" xfId="562" xr:uid="{00000000-0005-0000-0000-0000F5030000}"/>
    <cellStyle name="Note 3 3 10" xfId="6158" xr:uid="{BFD3DA10-4665-4A3B-9ACB-635F4A37B8B9}"/>
    <cellStyle name="Note 3 3 11" xfId="1854" xr:uid="{5019F1FD-468B-4704-966A-036999CBF8D2}"/>
    <cellStyle name="Note 3 3 2" xfId="563" xr:uid="{00000000-0005-0000-0000-0000F6030000}"/>
    <cellStyle name="Note 3 3 2 10" xfId="1855" xr:uid="{5612770F-B8F3-4F33-91EB-68760F2E90EC}"/>
    <cellStyle name="Note 3 3 2 2" xfId="1027" xr:uid="{00000000-0005-0000-0000-0000F7030000}"/>
    <cellStyle name="Note 3 3 2 2 2" xfId="4499" xr:uid="{6D046BCF-040B-4311-99D8-9B4F30279E1A}"/>
    <cellStyle name="Note 3 3 2 2 2 2" xfId="8717" xr:uid="{D43CD01D-5815-46CE-A889-B716BC9AD2F7}"/>
    <cellStyle name="Note 3 3 2 2 3" xfId="6572" xr:uid="{70BA75C7-05DB-4D30-8147-435BD0191070}"/>
    <cellStyle name="Note 3 3 2 2 4" xfId="2270" xr:uid="{16642BB8-4CC7-42BE-B03B-C70734AECAA7}"/>
    <cellStyle name="Note 3 3 2 3" xfId="1441" xr:uid="{A703A57E-9181-4536-926F-866BD6922101}"/>
    <cellStyle name="Note 3 3 2 3 2" xfId="4912" xr:uid="{9840E863-5780-4860-B094-F12E2EEF592A}"/>
    <cellStyle name="Note 3 3 2 3 2 2" xfId="9130" xr:uid="{232D39DD-930D-4D21-BADA-BFCD2F89FAB5}"/>
    <cellStyle name="Note 3 3 2 3 3" xfId="6985" xr:uid="{2EF53954-DDE7-4BD3-9955-647C7EBC6B08}"/>
    <cellStyle name="Note 3 3 2 3 4" xfId="2683" xr:uid="{E8F3A0B3-24E2-43C0-88D5-E9A19F9A7575}"/>
    <cellStyle name="Note 3 3 2 4" xfId="3096" xr:uid="{B9CD6D65-B2E5-473F-8972-AEB65EE4034E}"/>
    <cellStyle name="Note 3 3 2 4 2" xfId="5325" xr:uid="{57F7B193-1C7C-47DB-9CEA-9FA42CD514A5}"/>
    <cellStyle name="Note 3 3 2 4 2 2" xfId="9543" xr:uid="{4D73E720-CA40-400D-95A2-97D83543670F}"/>
    <cellStyle name="Note 3 3 2 4 3" xfId="7398" xr:uid="{4ED6CF58-65FA-458C-9CE3-8E3B615150BC}"/>
    <cellStyle name="Note 3 3 2 5" xfId="3509" xr:uid="{AE7EB86C-A980-41FF-8A12-7DDE9985B804}"/>
    <cellStyle name="Note 3 3 2 5 2" xfId="5738" xr:uid="{70978004-63A0-4B36-BAE5-2DD7C5E4642F}"/>
    <cellStyle name="Note 3 3 2 5 2 2" xfId="9956" xr:uid="{CB506AED-1232-4756-A989-6C2CABED20AE}"/>
    <cellStyle name="Note 3 3 2 5 3" xfId="7811" xr:uid="{99F98C7B-2110-4876-8DDA-14E69A9530E2}"/>
    <cellStyle name="Note 3 3 2 6" xfId="3945" xr:uid="{0A448525-1441-4E2F-9D95-A60DA160E679}"/>
    <cellStyle name="Note 3 3 2 6 2" xfId="8224" xr:uid="{BF3F74D0-70E6-4554-B1A5-C4C622087F42}"/>
    <cellStyle name="Note 3 3 2 7" xfId="4004" xr:uid="{1C17798B-70EE-477F-B9F7-50327304B160}"/>
    <cellStyle name="Note 3 3 2 8" xfId="4085" xr:uid="{B9FC52CB-9911-4B94-B259-DB3F49450D23}"/>
    <cellStyle name="Note 3 3 2 8 2" xfId="8304" xr:uid="{D3AEB704-CF56-4959-A67C-F60EE7E24E2F}"/>
    <cellStyle name="Note 3 3 2 9" xfId="6159" xr:uid="{4ACD32E4-B8F1-482B-B061-B461B1D3B5B1}"/>
    <cellStyle name="Note 3 3 3" xfId="1026" xr:uid="{00000000-0005-0000-0000-0000F8030000}"/>
    <cellStyle name="Note 3 3 3 2" xfId="4498" xr:uid="{87920017-0B5A-4AB4-B04F-BC9CEA5A696A}"/>
    <cellStyle name="Note 3 3 3 2 2" xfId="8716" xr:uid="{91F27FE3-EEE9-4145-B176-0107D9CD2799}"/>
    <cellStyle name="Note 3 3 3 3" xfId="6571" xr:uid="{0383B67C-0CB5-43DA-9846-43EB05AB573E}"/>
    <cellStyle name="Note 3 3 3 4" xfId="2269" xr:uid="{F52437B8-F464-4BF5-B047-41119525B752}"/>
    <cellStyle name="Note 3 3 4" xfId="1440" xr:uid="{19D4E27E-B446-4BCA-8667-699CF581853D}"/>
    <cellStyle name="Note 3 3 4 2" xfId="4911" xr:uid="{6EBAEC5D-03DE-4473-8706-A47956339ED8}"/>
    <cellStyle name="Note 3 3 4 2 2" xfId="9129" xr:uid="{5CC4681E-9748-4004-BB68-8389CEC4BD36}"/>
    <cellStyle name="Note 3 3 4 3" xfId="6984" xr:uid="{3FED22FB-9363-4962-9EC3-B8216B6CE642}"/>
    <cellStyle name="Note 3 3 4 4" xfId="2682" xr:uid="{CD365DC2-0335-47DB-B967-451507F38DFC}"/>
    <cellStyle name="Note 3 3 5" xfId="3095" xr:uid="{AA25C7B2-FD92-4030-8540-3A3784E66736}"/>
    <cellStyle name="Note 3 3 5 2" xfId="5324" xr:uid="{9B99EE42-CFDC-4A98-8667-FD1BD44463DD}"/>
    <cellStyle name="Note 3 3 5 2 2" xfId="9542" xr:uid="{A15C5612-21B7-47E0-BC29-8F416656ED0E}"/>
    <cellStyle name="Note 3 3 5 3" xfId="7397" xr:uid="{B8C16CC4-3078-465B-B42C-1B895AD2047C}"/>
    <cellStyle name="Note 3 3 6" xfId="3508" xr:uid="{C97D2849-3356-457B-A9CE-9ED14145B02A}"/>
    <cellStyle name="Note 3 3 6 2" xfId="5737" xr:uid="{89CD342C-1FB9-40A5-A73B-0F8827379435}"/>
    <cellStyle name="Note 3 3 6 2 2" xfId="9955" xr:uid="{4613547E-E142-4AAC-A98B-8124F5EFBEC1}"/>
    <cellStyle name="Note 3 3 6 3" xfId="7810" xr:uid="{8E296B30-C98D-4DC3-9C9B-853261E66C3E}"/>
    <cellStyle name="Note 3 3 7" xfId="3944" xr:uid="{D04BBB5B-C75C-40A8-BA24-A8D4192226FC}"/>
    <cellStyle name="Note 3 3 7 2" xfId="8223" xr:uid="{8848A2D9-832B-49C8-99DF-1AB62062779F}"/>
    <cellStyle name="Note 3 3 8" xfId="4003" xr:uid="{474E2E2B-3F8A-4D3D-9CE9-C8C53FDBF3CC}"/>
    <cellStyle name="Note 3 3 9" xfId="4084" xr:uid="{4CF983CB-E18B-4D57-8541-9EAC26EF22D2}"/>
    <cellStyle name="Note 3 3 9 2" xfId="8303" xr:uid="{4735F65D-5D70-469D-92EC-B86C21B67A7E}"/>
    <cellStyle name="Note 3 4" xfId="564" xr:uid="{00000000-0005-0000-0000-0000F9030000}"/>
    <cellStyle name="Note 3 4 10" xfId="1856" xr:uid="{55FBF98C-AC7F-4FC5-A2A2-F6C35C6F1B99}"/>
    <cellStyle name="Note 3 4 2" xfId="1028" xr:uid="{00000000-0005-0000-0000-0000FA030000}"/>
    <cellStyle name="Note 3 4 2 2" xfId="4500" xr:uid="{5B7B51F7-C7E3-4FB6-98EE-33C6CDD6C7CE}"/>
    <cellStyle name="Note 3 4 2 2 2" xfId="8718" xr:uid="{EEE3A106-84F9-4C93-8179-B8E270064C71}"/>
    <cellStyle name="Note 3 4 2 3" xfId="6573" xr:uid="{A706A3C3-84AE-440D-8695-AD5F10B74E3E}"/>
    <cellStyle name="Note 3 4 2 4" xfId="2271" xr:uid="{640E1493-4CEB-48F8-9BBC-B96BC4C4991E}"/>
    <cellStyle name="Note 3 4 3" xfId="1442" xr:uid="{66030915-4EB0-45C6-B8E9-E2A427E7287E}"/>
    <cellStyle name="Note 3 4 3 2" xfId="4913" xr:uid="{8E267804-1B05-4C88-A39D-812188D201E7}"/>
    <cellStyle name="Note 3 4 3 2 2" xfId="9131" xr:uid="{8494D6FC-6274-440A-8EB8-E9409719AB93}"/>
    <cellStyle name="Note 3 4 3 3" xfId="6986" xr:uid="{DA4A0753-4EA3-4687-AC4C-073C1C3661D8}"/>
    <cellStyle name="Note 3 4 3 4" xfId="2684" xr:uid="{31BF7802-108F-4DAE-915A-2BEE3A7B5F66}"/>
    <cellStyle name="Note 3 4 4" xfId="3097" xr:uid="{999641AA-E805-4970-9D5A-8A07D2486BD4}"/>
    <cellStyle name="Note 3 4 4 2" xfId="5326" xr:uid="{6A313EFD-104F-4694-BDAA-DBDD12F2226A}"/>
    <cellStyle name="Note 3 4 4 2 2" xfId="9544" xr:uid="{197164BA-CDB9-4DA0-9F30-9860085682FA}"/>
    <cellStyle name="Note 3 4 4 3" xfId="7399" xr:uid="{0B1E61A3-E179-4DC9-89F7-A6C4FD489304}"/>
    <cellStyle name="Note 3 4 5" xfId="3510" xr:uid="{E97F5FF8-9AAA-4708-B79F-571E70D72CD3}"/>
    <cellStyle name="Note 3 4 5 2" xfId="5739" xr:uid="{0943C0D9-6CA8-42C1-B5C4-C89F1BEBE460}"/>
    <cellStyle name="Note 3 4 5 2 2" xfId="9957" xr:uid="{11FA111D-7DB0-44D4-9D1D-B63FB624144F}"/>
    <cellStyle name="Note 3 4 5 3" xfId="7812" xr:uid="{9213C048-9265-46C0-89D9-A9E74AB5F0B5}"/>
    <cellStyle name="Note 3 4 6" xfId="3946" xr:uid="{B9553E18-B782-4BBD-B049-620C345FF75E}"/>
    <cellStyle name="Note 3 4 6 2" xfId="8225" xr:uid="{5DB345CE-7575-4D7A-AFC8-F8F456A448C9}"/>
    <cellStyle name="Note 3 4 7" xfId="4005" xr:uid="{802C7586-B4EB-4277-928D-F08F0666C20E}"/>
    <cellStyle name="Note 3 4 8" xfId="4086" xr:uid="{377F6DE4-F3C5-4140-9EA6-F4F801B082FA}"/>
    <cellStyle name="Note 3 4 8 2" xfId="8305" xr:uid="{1FED7636-8B2D-4BEF-9D95-A304161C66E3}"/>
    <cellStyle name="Note 3 4 9" xfId="6160" xr:uid="{505B7710-7B89-46B7-B508-AD0B97EF512F}"/>
    <cellStyle name="Note 3 5" xfId="565" xr:uid="{00000000-0005-0000-0000-0000FB030000}"/>
    <cellStyle name="Note 3 5 10" xfId="1857" xr:uid="{765D61BA-3353-453F-B850-51A6D9C21C24}"/>
    <cellStyle name="Note 3 5 2" xfId="1029" xr:uid="{00000000-0005-0000-0000-0000FC030000}"/>
    <cellStyle name="Note 3 5 2 2" xfId="4501" xr:uid="{C193BEFA-7D8B-4C04-B1FE-789F8C5CE1FA}"/>
    <cellStyle name="Note 3 5 2 2 2" xfId="8719" xr:uid="{8A676784-D46D-4CEB-9BE2-44D07A84F292}"/>
    <cellStyle name="Note 3 5 2 3" xfId="6574" xr:uid="{87435DA3-E04E-4AD2-9DE2-2E5B550E7DE1}"/>
    <cellStyle name="Note 3 5 2 4" xfId="2272" xr:uid="{70C50A97-6D71-47DF-94D1-C3FAC6E23FD0}"/>
    <cellStyle name="Note 3 5 3" xfId="1443" xr:uid="{9D381912-CECD-4080-9DE8-BF182A75CB8E}"/>
    <cellStyle name="Note 3 5 3 2" xfId="4914" xr:uid="{A2592410-CEF2-4581-A78C-91861FB3B3BE}"/>
    <cellStyle name="Note 3 5 3 2 2" xfId="9132" xr:uid="{E4589295-12DF-43DA-8C16-2C89797FF3E6}"/>
    <cellStyle name="Note 3 5 3 3" xfId="6987" xr:uid="{A32AEA30-9BCC-41D7-BDFF-153E9ADE9CE5}"/>
    <cellStyle name="Note 3 5 3 4" xfId="2685" xr:uid="{C6A42D54-C97E-4DBD-8F0F-F6A045086900}"/>
    <cellStyle name="Note 3 5 4" xfId="3098" xr:uid="{83BAB70C-05FE-4299-85D9-3913BE975324}"/>
    <cellStyle name="Note 3 5 4 2" xfId="5327" xr:uid="{3B3673F1-89A8-4E30-84A2-3A4FF745DFFE}"/>
    <cellStyle name="Note 3 5 4 2 2" xfId="9545" xr:uid="{933A154B-0B6E-4E1E-93F8-4B847D78C949}"/>
    <cellStyle name="Note 3 5 4 3" xfId="7400" xr:uid="{106F1462-3ED5-4C8F-B6AB-87EFC2DDF47D}"/>
    <cellStyle name="Note 3 5 5" xfId="3511" xr:uid="{6DE3F6CE-193B-4BE8-9E6B-10589ACD0E00}"/>
    <cellStyle name="Note 3 5 5 2" xfId="5740" xr:uid="{626A856C-32A6-48DE-813C-7A600F12305C}"/>
    <cellStyle name="Note 3 5 5 2 2" xfId="9958" xr:uid="{BF6CD50D-1525-4A05-8D48-6EA3ABBC5A42}"/>
    <cellStyle name="Note 3 5 5 3" xfId="7813" xr:uid="{2B2DBE75-C1FA-498A-9927-3B26C20D567E}"/>
    <cellStyle name="Note 3 5 6" xfId="3947" xr:uid="{AE654D9C-B096-473A-8DB4-7F9F8B54C862}"/>
    <cellStyle name="Note 3 5 6 2" xfId="8226" xr:uid="{482D3A96-C6B8-4107-856B-9F68C3E344F7}"/>
    <cellStyle name="Note 3 5 7" xfId="4006" xr:uid="{D8F63E29-E22D-4538-A25E-895921C50F17}"/>
    <cellStyle name="Note 3 5 8" xfId="4087" xr:uid="{D81B2BF7-C9C8-4C93-BC25-6894F55EA1B6}"/>
    <cellStyle name="Note 3 5 8 2" xfId="8306" xr:uid="{9C6D3391-3649-4981-9FD7-D76FFD7034D7}"/>
    <cellStyle name="Note 3 5 9" xfId="6161" xr:uid="{4DC0D11C-64D3-4A67-8878-7198A7315B18}"/>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5744" xr:uid="{A11EEA3A-CF09-4B10-BA76-428067A82BED}"/>
    <cellStyle name="Percent 4" xfId="5747" xr:uid="{997C0A57-0322-4D5A-942A-86D585A68494}"/>
    <cellStyle name="Percent 4 2" xfId="9961" xr:uid="{9233E511-4B01-422E-AF26-BE1090122D53}"/>
    <cellStyle name="Percent 4 3" xfId="9964" xr:uid="{226B5DC5-AF6B-481E-9728-5782489FBD77}"/>
    <cellStyle name="Text Entry" xfId="568" xr:uid="{00000000-0005-0000-0000-000002040000}"/>
    <cellStyle name="Title 2" xfId="569" xr:uid="{00000000-0005-0000-0000-000003040000}"/>
    <cellStyle name="Title 2 2" xfId="4007" xr:uid="{DC9FC64A-37C1-45B4-A176-58A883F6BE3A}"/>
    <cellStyle name="Title 2 3" xfId="4088" xr:uid="{9CFF77D3-4C80-4725-97FB-03868D68FE21}"/>
    <cellStyle name="Total" xfId="570" builtinId="25" customBuiltin="1"/>
    <cellStyle name="Total 2" xfId="571" xr:uid="{00000000-0005-0000-0000-000005040000}"/>
    <cellStyle name="Warning Text" xfId="572" builtinId="11" customBuiltin="1"/>
  </cellStyles>
  <dxfs count="12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Zohreh%20Khodabandelu\Eden%20Housing\Mitchell%20Park%20Place\Eden-%20Mitchell%20Park%20Place%20-%209%25%20%2022%2006%2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ow r="5">
          <cell r="C5">
            <v>1558000</v>
          </cell>
        </row>
        <row r="6">
          <cell r="C6">
            <v>4294000</v>
          </cell>
        </row>
        <row r="7">
          <cell r="C7">
            <v>8000000</v>
          </cell>
        </row>
        <row r="8">
          <cell r="C8">
            <v>351425</v>
          </cell>
        </row>
        <row r="9">
          <cell r="C9">
            <v>2000000</v>
          </cell>
        </row>
        <row r="10">
          <cell r="C10">
            <v>1000000</v>
          </cell>
        </row>
        <row r="11">
          <cell r="C11">
            <v>6000000</v>
          </cell>
        </row>
        <row r="15">
          <cell r="C15">
            <v>100</v>
          </cell>
        </row>
        <row r="16">
          <cell r="C16">
            <v>26041658.979608379</v>
          </cell>
          <cell r="G16">
            <v>3255207.3724510474</v>
          </cell>
        </row>
        <row r="21">
          <cell r="C21">
            <v>26325847.607157331</v>
          </cell>
        </row>
        <row r="24">
          <cell r="R24">
            <v>6.6326530612244902E-2</v>
          </cell>
        </row>
        <row r="28">
          <cell r="D28">
            <v>5700000</v>
          </cell>
          <cell r="E28">
            <v>300000</v>
          </cell>
          <cell r="Q28">
            <v>14</v>
          </cell>
          <cell r="R28">
            <v>2359</v>
          </cell>
        </row>
        <row r="29">
          <cell r="Q29">
            <v>7</v>
          </cell>
        </row>
        <row r="30">
          <cell r="Q30">
            <v>1</v>
          </cell>
          <cell r="R30">
            <v>2659</v>
          </cell>
        </row>
        <row r="31">
          <cell r="D31">
            <v>95000</v>
          </cell>
          <cell r="E31">
            <v>5000</v>
          </cell>
          <cell r="Q31">
            <v>2</v>
          </cell>
        </row>
        <row r="32">
          <cell r="D32">
            <v>43868.15</v>
          </cell>
          <cell r="E32">
            <v>2308.8499999999985</v>
          </cell>
          <cell r="R32">
            <v>3154</v>
          </cell>
        </row>
        <row r="35">
          <cell r="D35">
            <v>476691</v>
          </cell>
          <cell r="E35">
            <v>25089</v>
          </cell>
        </row>
        <row r="38">
          <cell r="D38">
            <v>1527058.5</v>
          </cell>
          <cell r="E38">
            <v>80371.5</v>
          </cell>
          <cell r="F38">
            <v>1020251.5</v>
          </cell>
        </row>
        <row r="39">
          <cell r="D39">
            <v>20920091.550000001</v>
          </cell>
          <cell r="E39">
            <v>1101057.4499999993</v>
          </cell>
        </row>
        <row r="40">
          <cell r="D40">
            <v>259452</v>
          </cell>
          <cell r="E40">
            <v>0</v>
          </cell>
        </row>
        <row r="41">
          <cell r="D41">
            <v>696105.85</v>
          </cell>
          <cell r="E41">
            <v>36637.150000000023</v>
          </cell>
        </row>
        <row r="42">
          <cell r="D42">
            <v>1905748.8870000001</v>
          </cell>
          <cell r="E42">
            <v>100302.57300000009</v>
          </cell>
        </row>
        <row r="43">
          <cell r="D43">
            <v>1988682.5</v>
          </cell>
          <cell r="E43">
            <v>104667.5</v>
          </cell>
        </row>
        <row r="44">
          <cell r="D44">
            <v>206395.09999999998</v>
          </cell>
          <cell r="E44">
            <v>10862.900000000023</v>
          </cell>
        </row>
        <row r="45">
          <cell r="D45">
            <v>1163480.2</v>
          </cell>
          <cell r="E45">
            <v>61235.800000000047</v>
          </cell>
        </row>
        <row r="48">
          <cell r="D48">
            <v>1708100</v>
          </cell>
          <cell r="E48">
            <v>89900</v>
          </cell>
          <cell r="U48">
            <v>123757.78057672051</v>
          </cell>
        </row>
        <row r="49">
          <cell r="U49">
            <v>341088.51719925407</v>
          </cell>
        </row>
        <row r="51">
          <cell r="D51">
            <v>416841</v>
          </cell>
          <cell r="E51">
            <v>21939</v>
          </cell>
        </row>
        <row r="53">
          <cell r="D53">
            <v>1875716.6420099607</v>
          </cell>
          <cell r="E53">
            <v>98721.928526840173</v>
          </cell>
          <cell r="F53">
            <v>1146271.281228309</v>
          </cell>
        </row>
        <row r="55">
          <cell r="D55">
            <v>302345.55226799467</v>
          </cell>
          <cell r="E55">
            <v>15912.923803578655</v>
          </cell>
        </row>
        <row r="57">
          <cell r="D57">
            <v>7600</v>
          </cell>
          <cell r="E57">
            <v>400</v>
          </cell>
        </row>
        <row r="58">
          <cell r="D58">
            <v>708832.04999999993</v>
          </cell>
          <cell r="E58">
            <v>37306.95000000007</v>
          </cell>
        </row>
        <row r="59">
          <cell r="D59">
            <v>61750</v>
          </cell>
          <cell r="E59">
            <v>3250</v>
          </cell>
        </row>
        <row r="62">
          <cell r="D62">
            <v>58520</v>
          </cell>
        </row>
        <row r="64">
          <cell r="D64">
            <v>20000</v>
          </cell>
        </row>
        <row r="65">
          <cell r="D65">
            <v>30000</v>
          </cell>
        </row>
        <row r="69">
          <cell r="D69">
            <v>57000</v>
          </cell>
          <cell r="E69">
            <v>3000</v>
          </cell>
        </row>
        <row r="70">
          <cell r="D70">
            <v>40000</v>
          </cell>
          <cell r="E70">
            <v>0</v>
          </cell>
        </row>
        <row r="71">
          <cell r="D71">
            <v>61750</v>
          </cell>
          <cell r="E71">
            <v>3250</v>
          </cell>
        </row>
        <row r="74">
          <cell r="D74">
            <v>492514</v>
          </cell>
        </row>
        <row r="79">
          <cell r="D79">
            <v>9500</v>
          </cell>
          <cell r="E79">
            <v>500</v>
          </cell>
        </row>
        <row r="80">
          <cell r="D80">
            <v>1456536.6493500001</v>
          </cell>
          <cell r="E80">
            <v>76659.823650000151</v>
          </cell>
        </row>
        <row r="82">
          <cell r="D82">
            <v>122090</v>
          </cell>
        </row>
        <row r="83">
          <cell r="D83">
            <v>201951.94999999998</v>
          </cell>
          <cell r="E83">
            <v>10629.050000000017</v>
          </cell>
        </row>
        <row r="84">
          <cell r="D84">
            <v>310121.8</v>
          </cell>
          <cell r="E84">
            <v>16322.200000000012</v>
          </cell>
        </row>
        <row r="85">
          <cell r="D85">
            <v>855000</v>
          </cell>
          <cell r="E85">
            <v>45000</v>
          </cell>
        </row>
        <row r="86">
          <cell r="D86">
            <v>10000</v>
          </cell>
          <cell r="E86">
            <v>0</v>
          </cell>
        </row>
        <row r="87">
          <cell r="D87">
            <v>120000</v>
          </cell>
          <cell r="E87">
            <v>0</v>
          </cell>
        </row>
        <row r="88">
          <cell r="D88">
            <v>40010.199999999997</v>
          </cell>
          <cell r="E88">
            <v>2105.8000000000029</v>
          </cell>
        </row>
        <row r="89">
          <cell r="D89">
            <v>120000</v>
          </cell>
          <cell r="E89">
            <v>0</v>
          </cell>
        </row>
        <row r="91">
          <cell r="D91">
            <v>475000</v>
          </cell>
          <cell r="E91">
            <v>25000</v>
          </cell>
        </row>
        <row r="95">
          <cell r="C95">
            <v>2200000</v>
          </cell>
        </row>
        <row r="109">
          <cell r="C109">
            <v>224000</v>
          </cell>
        </row>
        <row r="120">
          <cell r="I120">
            <v>0.90103999999999995</v>
          </cell>
        </row>
        <row r="122">
          <cell r="J122">
            <v>17447988</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4" workbookViewId="0">
      <selection activeCell="G256" sqref="G256"/>
    </sheetView>
  </sheetViews>
  <sheetFormatPr defaultColWidth="0" defaultRowHeight="12.75" zeroHeight="1"/>
  <cols>
    <col min="1" max="38" width="2.42578125" customWidth="1"/>
    <col min="39" max="16384" width="8.85546875" style="272" hidden="1"/>
  </cols>
  <sheetData>
    <row r="1" spans="1:38">
      <c r="A1" s="1524" t="s">
        <v>2062</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5"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8" t="s">
        <v>2066</v>
      </c>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
    </row>
    <row r="8" spans="1:38">
      <c r="A8" s="283"/>
      <c r="B8" s="1"/>
      <c r="C8" s="35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1528"/>
      <c r="AC8" s="1528"/>
      <c r="AD8" s="1528"/>
      <c r="AE8" s="1528"/>
      <c r="AF8" s="1528"/>
      <c r="AG8" s="1528"/>
      <c r="AH8" s="1528"/>
      <c r="AI8" s="1528"/>
      <c r="AJ8" s="1528"/>
      <c r="AK8" s="1528"/>
      <c r="AL8" s="1"/>
    </row>
    <row r="9" spans="1:38">
      <c r="A9" s="283"/>
      <c r="B9" s="1"/>
      <c r="C9" s="35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
    </row>
    <row r="10" spans="1:38">
      <c r="A10" s="283"/>
      <c r="B10" s="1"/>
      <c r="C10" s="358"/>
      <c r="D10" s="1528"/>
      <c r="E10" s="1528"/>
      <c r="F10" s="1528"/>
      <c r="G10" s="1528"/>
      <c r="H10" s="1528"/>
      <c r="I10" s="1528"/>
      <c r="J10" s="1528"/>
      <c r="K10" s="1528"/>
      <c r="L10" s="1528"/>
      <c r="M10" s="1528"/>
      <c r="N10" s="1528"/>
      <c r="O10" s="1528"/>
      <c r="P10" s="1528"/>
      <c r="Q10" s="1528"/>
      <c r="R10" s="1528"/>
      <c r="S10" s="1528"/>
      <c r="T10" s="1528"/>
      <c r="U10" s="1528"/>
      <c r="V10" s="1528"/>
      <c r="W10" s="1528"/>
      <c r="X10" s="1528"/>
      <c r="Y10" s="1528"/>
      <c r="Z10" s="1528"/>
      <c r="AA10" s="1528"/>
      <c r="AB10" s="1528"/>
      <c r="AC10" s="1528"/>
      <c r="AD10" s="1528"/>
      <c r="AE10" s="1528"/>
      <c r="AF10" s="1528"/>
      <c r="AG10" s="1528"/>
      <c r="AH10" s="1528"/>
      <c r="AI10" s="1528"/>
      <c r="AJ10" s="1528"/>
      <c r="AK10" s="1528"/>
      <c r="AL10" s="1"/>
    </row>
    <row r="11" spans="1:38">
      <c r="A11" s="283"/>
      <c r="B11" s="1"/>
      <c r="C11" s="358"/>
      <c r="D11" s="1528"/>
      <c r="E11" s="1528"/>
      <c r="F11" s="1528"/>
      <c r="G11" s="1528"/>
      <c r="H11" s="1528"/>
      <c r="I11" s="1528"/>
      <c r="J11" s="1528"/>
      <c r="K11" s="1528"/>
      <c r="L11" s="1528"/>
      <c r="M11" s="1528"/>
      <c r="N11" s="1528"/>
      <c r="O11" s="1528"/>
      <c r="P11" s="1528"/>
      <c r="Q11" s="1528"/>
      <c r="R11" s="1528"/>
      <c r="S11" s="1528"/>
      <c r="T11" s="1528"/>
      <c r="U11" s="1528"/>
      <c r="V11" s="1528"/>
      <c r="W11" s="1528"/>
      <c r="X11" s="1528"/>
      <c r="Y11" s="1528"/>
      <c r="Z11" s="1528"/>
      <c r="AA11" s="1528"/>
      <c r="AB11" s="1528"/>
      <c r="AC11" s="1528"/>
      <c r="AD11" s="1528"/>
      <c r="AE11" s="1528"/>
      <c r="AF11" s="1528"/>
      <c r="AG11" s="1528"/>
      <c r="AH11" s="1528"/>
      <c r="AI11" s="1528"/>
      <c r="AJ11" s="1528"/>
      <c r="AK11" s="1528"/>
      <c r="AL11" s="1"/>
    </row>
    <row r="12" spans="1:38">
      <c r="A12" s="283"/>
      <c r="B12" s="1"/>
      <c r="C12" s="35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
    </row>
    <row r="13" spans="1:38">
      <c r="A13" s="283"/>
      <c r="B13" s="1"/>
      <c r="C13" s="358"/>
      <c r="D13" s="1528"/>
      <c r="E13" s="1528"/>
      <c r="F13" s="1528"/>
      <c r="G13" s="1528"/>
      <c r="H13" s="1528"/>
      <c r="I13" s="1528"/>
      <c r="J13" s="1528"/>
      <c r="K13" s="1528"/>
      <c r="L13" s="1528"/>
      <c r="M13" s="1528"/>
      <c r="N13" s="1528"/>
      <c r="O13" s="1528"/>
      <c r="P13" s="1528"/>
      <c r="Q13" s="1528"/>
      <c r="R13" s="1528"/>
      <c r="S13" s="1528"/>
      <c r="T13" s="1528"/>
      <c r="U13" s="1528"/>
      <c r="V13" s="1528"/>
      <c r="W13" s="1528"/>
      <c r="X13" s="1528"/>
      <c r="Y13" s="1528"/>
      <c r="Z13" s="1528"/>
      <c r="AA13" s="1528"/>
      <c r="AB13" s="1528"/>
      <c r="AC13" s="1528"/>
      <c r="AD13" s="1528"/>
      <c r="AE13" s="1528"/>
      <c r="AF13" s="1528"/>
      <c r="AG13" s="1528"/>
      <c r="AH13" s="1528"/>
      <c r="AI13" s="1528"/>
      <c r="AJ13" s="1528"/>
      <c r="AK13" s="1528"/>
      <c r="AL13" s="1"/>
    </row>
    <row r="14" spans="1:38">
      <c r="A14" s="283"/>
      <c r="B14" s="1"/>
      <c r="C14" s="35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c r="AJ14" s="1528"/>
      <c r="AK14" s="1528"/>
      <c r="AL14" s="1"/>
    </row>
    <row r="15" spans="1:38">
      <c r="A15" s="283"/>
      <c r="B15" s="1"/>
      <c r="C15" s="358"/>
      <c r="D15" s="1528"/>
      <c r="E15" s="1528"/>
      <c r="F15" s="1528"/>
      <c r="G15" s="1528"/>
      <c r="H15" s="1528"/>
      <c r="I15" s="1528"/>
      <c r="J15" s="1528"/>
      <c r="K15" s="1528"/>
      <c r="L15" s="1528"/>
      <c r="M15" s="1528"/>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c r="AL15" s="1"/>
    </row>
    <row r="16" spans="1:38">
      <c r="A16" s="283"/>
      <c r="B16" s="1"/>
      <c r="C16" s="35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
    </row>
    <row r="17" spans="1:38">
      <c r="A17" s="283"/>
      <c r="B17" s="1"/>
      <c r="C17" s="35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c r="AL17" s="1"/>
    </row>
    <row r="18" spans="1:38" ht="11.1" customHeight="1">
      <c r="A18" s="283"/>
      <c r="B18" s="1"/>
      <c r="C18" s="35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c r="AL18" s="1"/>
    </row>
    <row r="19" spans="1:38" ht="13.7" customHeight="1">
      <c r="A19" s="283"/>
      <c r="B19" s="1"/>
      <c r="C19" s="358"/>
      <c r="D19" s="1528" t="s">
        <v>2237</v>
      </c>
      <c r="E19" s="1528"/>
      <c r="F19" s="1528"/>
      <c r="G19" s="1528"/>
      <c r="H19" s="1528"/>
      <c r="I19" s="1528"/>
      <c r="J19" s="1528"/>
      <c r="K19" s="1528"/>
      <c r="L19" s="1528"/>
      <c r="M19" s="1528"/>
      <c r="N19" s="1528"/>
      <c r="O19" s="1528"/>
      <c r="P19" s="1528"/>
      <c r="Q19" s="1528"/>
      <c r="R19" s="1528"/>
      <c r="S19" s="1528"/>
      <c r="T19" s="1528"/>
      <c r="U19" s="1528"/>
      <c r="V19" s="1528"/>
      <c r="W19" s="1528"/>
      <c r="X19" s="1528"/>
      <c r="Y19" s="1528"/>
      <c r="Z19" s="1528"/>
      <c r="AA19" s="1528"/>
      <c r="AB19" s="1528"/>
      <c r="AC19" s="1528"/>
      <c r="AD19" s="1528"/>
      <c r="AE19" s="1528"/>
      <c r="AF19" s="1528"/>
      <c r="AG19" s="1528"/>
      <c r="AH19" s="1528"/>
      <c r="AI19" s="1528"/>
      <c r="AJ19" s="1528"/>
      <c r="AK19" s="1528"/>
      <c r="AL19" s="1"/>
    </row>
    <row r="20" spans="1:38">
      <c r="A20" s="283"/>
      <c r="B20" s="1"/>
      <c r="C20" s="358"/>
      <c r="D20" s="1528"/>
      <c r="E20" s="1528"/>
      <c r="F20" s="1528"/>
      <c r="G20" s="1528"/>
      <c r="H20" s="1528"/>
      <c r="I20" s="1528"/>
      <c r="J20" s="1528"/>
      <c r="K20" s="1528"/>
      <c r="L20" s="1528"/>
      <c r="M20" s="1528"/>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c r="AL20" s="1"/>
    </row>
    <row r="21" spans="1:38">
      <c r="A21" s="283"/>
      <c r="B21" s="1"/>
      <c r="C21" s="358"/>
      <c r="D21" s="1528"/>
      <c r="E21" s="1528"/>
      <c r="F21" s="1528"/>
      <c r="G21" s="1528"/>
      <c r="H21" s="1528"/>
      <c r="I21" s="1528"/>
      <c r="J21" s="1528"/>
      <c r="K21" s="1528"/>
      <c r="L21" s="1528"/>
      <c r="M21" s="1528"/>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c r="AL21" s="1"/>
    </row>
    <row r="22" spans="1:38">
      <c r="A22" s="283"/>
      <c r="B22" s="1"/>
      <c r="C22" s="358"/>
      <c r="D22" s="1528"/>
      <c r="E22" s="1528"/>
      <c r="F22" s="1528"/>
      <c r="G22" s="1528"/>
      <c r="H22" s="1528"/>
      <c r="I22" s="1528"/>
      <c r="J22" s="1528"/>
      <c r="K22" s="1528"/>
      <c r="L22" s="1528"/>
      <c r="M22" s="1528"/>
      <c r="N22" s="1528"/>
      <c r="O22" s="1528"/>
      <c r="P22" s="1528"/>
      <c r="Q22" s="1528"/>
      <c r="R22" s="1528"/>
      <c r="S22" s="1528"/>
      <c r="T22" s="1528"/>
      <c r="U22" s="1528"/>
      <c r="V22" s="1528"/>
      <c r="W22" s="1528"/>
      <c r="X22" s="1528"/>
      <c r="Y22" s="1528"/>
      <c r="Z22" s="1528"/>
      <c r="AA22" s="1528"/>
      <c r="AB22" s="1528"/>
      <c r="AC22" s="1528"/>
      <c r="AD22" s="1528"/>
      <c r="AE22" s="1528"/>
      <c r="AF22" s="1528"/>
      <c r="AG22" s="1528"/>
      <c r="AH22" s="1528"/>
      <c r="AI22" s="1528"/>
      <c r="AJ22" s="1528"/>
      <c r="AK22" s="1528"/>
      <c r="AL22" s="1"/>
    </row>
    <row r="23" spans="1:38">
      <c r="A23" s="283"/>
      <c r="B23" s="1"/>
      <c r="C23" s="358"/>
      <c r="D23" s="1528"/>
      <c r="E23" s="1528"/>
      <c r="F23" s="1528"/>
      <c r="G23" s="1528"/>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c r="AL23" s="1"/>
    </row>
    <row r="24" spans="1:38">
      <c r="A24" s="283"/>
      <c r="B24" s="1"/>
      <c r="C24" s="358"/>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c r="AL24" s="1"/>
    </row>
    <row r="25" spans="1:38">
      <c r="A25" s="283"/>
      <c r="B25" s="1"/>
      <c r="C25" s="358"/>
      <c r="D25" s="1528"/>
      <c r="E25" s="1528"/>
      <c r="F25" s="1528"/>
      <c r="G25" s="1528"/>
      <c r="H25" s="1528"/>
      <c r="I25" s="1528"/>
      <c r="J25" s="1528"/>
      <c r="K25" s="1528"/>
      <c r="L25" s="1528"/>
      <c r="M25" s="1528"/>
      <c r="N25" s="1528"/>
      <c r="O25" s="1528"/>
      <c r="P25" s="1528"/>
      <c r="Q25" s="1528"/>
      <c r="R25" s="1528"/>
      <c r="S25" s="1528"/>
      <c r="T25" s="1528"/>
      <c r="U25" s="1528"/>
      <c r="V25" s="1528"/>
      <c r="W25" s="1528"/>
      <c r="X25" s="1528"/>
      <c r="Y25" s="1528"/>
      <c r="Z25" s="1528"/>
      <c r="AA25" s="1528"/>
      <c r="AB25" s="1528"/>
      <c r="AC25" s="1528"/>
      <c r="AD25" s="1528"/>
      <c r="AE25" s="1528"/>
      <c r="AF25" s="1528"/>
      <c r="AG25" s="1528"/>
      <c r="AH25" s="1528"/>
      <c r="AI25" s="1528"/>
      <c r="AJ25" s="1528"/>
      <c r="AK25" s="1528"/>
      <c r="AL25" s="1"/>
    </row>
    <row r="26" spans="1:38">
      <c r="A26" s="283"/>
      <c r="B26" s="1"/>
      <c r="C26" s="358"/>
      <c r="D26" s="288"/>
      <c r="E26" s="1539" t="s">
        <v>2289</v>
      </c>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9"/>
      <c r="AE26" s="1539"/>
      <c r="AF26" s="1539"/>
      <c r="AG26" s="1539"/>
      <c r="AH26" s="1539"/>
      <c r="AI26" s="1539"/>
      <c r="AJ26" s="1539"/>
      <c r="AK26" s="1539"/>
      <c r="AL26" s="1"/>
    </row>
    <row r="27" spans="1:38">
      <c r="A27" s="283"/>
      <c r="B27" s="1"/>
      <c r="C27" s="358"/>
      <c r="D27" s="272"/>
      <c r="E27" s="1539" t="s">
        <v>2290</v>
      </c>
      <c r="F27" s="1539"/>
      <c r="G27" s="1539"/>
      <c r="H27" s="1539"/>
      <c r="I27" s="1539"/>
      <c r="J27" s="1539"/>
      <c r="K27" s="1539"/>
      <c r="L27" s="1539"/>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39"/>
      <c r="AI27" s="1539"/>
      <c r="AJ27" s="1539"/>
      <c r="AK27" s="153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8" t="s">
        <v>2234</v>
      </c>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
    </row>
    <row r="30" spans="1:38">
      <c r="A30" s="283"/>
      <c r="B30" s="1"/>
      <c r="C30" s="1"/>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
    </row>
    <row r="31" spans="1:38">
      <c r="A31" s="283"/>
      <c r="B31" s="1"/>
      <c r="C31" s="1"/>
      <c r="D31" s="1044"/>
      <c r="E31" s="1540" t="s">
        <v>1390</v>
      </c>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
    </row>
    <row r="32" spans="1:38">
      <c r="A32" s="283"/>
      <c r="B32" s="1"/>
      <c r="C32" s="1"/>
      <c r="D32" s="1044"/>
      <c r="E32" s="1540" t="s">
        <v>1234</v>
      </c>
      <c r="F32" s="1540"/>
      <c r="G32" s="1540"/>
      <c r="H32" s="1540"/>
      <c r="I32" s="1540"/>
      <c r="J32" s="1540"/>
      <c r="K32" s="1540"/>
      <c r="L32" s="1540"/>
      <c r="M32" s="1540"/>
      <c r="N32" s="1540"/>
      <c r="O32" s="1540"/>
      <c r="P32" s="1540"/>
      <c r="Q32" s="1540"/>
      <c r="R32" s="1540"/>
      <c r="S32" s="1540"/>
      <c r="T32" s="1540"/>
      <c r="U32" s="1540"/>
      <c r="V32" s="1540"/>
      <c r="W32" s="1540"/>
      <c r="X32" s="1540"/>
      <c r="Y32" s="1540"/>
      <c r="Z32" s="1540"/>
      <c r="AA32" s="1540"/>
      <c r="AB32" s="1540"/>
      <c r="AC32" s="1540"/>
      <c r="AD32" s="1540"/>
      <c r="AE32" s="1540"/>
      <c r="AF32" s="1540"/>
      <c r="AG32" s="1540"/>
      <c r="AH32" s="1540"/>
      <c r="AI32" s="1540"/>
      <c r="AJ32" s="1540"/>
      <c r="AK32" s="154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8" t="s">
        <v>1846</v>
      </c>
      <c r="G36" s="1528"/>
      <c r="H36" s="1528"/>
      <c r="I36" s="1528"/>
      <c r="J36" s="1528"/>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8"/>
      <c r="AH36" s="1528"/>
      <c r="AI36" s="1528"/>
      <c r="AJ36" s="1528"/>
      <c r="AK36" s="1528"/>
      <c r="AL36" s="1"/>
    </row>
    <row r="37" spans="1:38">
      <c r="A37" s="283"/>
      <c r="B37" s="1"/>
      <c r="C37" s="358"/>
      <c r="D37" s="283"/>
      <c r="E37" s="283"/>
      <c r="F37" s="1528"/>
      <c r="G37" s="1528"/>
      <c r="H37" s="1528"/>
      <c r="I37" s="1528"/>
      <c r="J37" s="1528"/>
      <c r="K37" s="1528"/>
      <c r="L37" s="1528"/>
      <c r="M37" s="1528"/>
      <c r="N37" s="1528"/>
      <c r="O37" s="1528"/>
      <c r="P37" s="1528"/>
      <c r="Q37" s="1528"/>
      <c r="R37" s="1528"/>
      <c r="S37" s="1528"/>
      <c r="T37" s="1528"/>
      <c r="U37" s="1528"/>
      <c r="V37" s="1528"/>
      <c r="W37" s="1528"/>
      <c r="X37" s="1528"/>
      <c r="Y37" s="1528"/>
      <c r="Z37" s="1528"/>
      <c r="AA37" s="1528"/>
      <c r="AB37" s="1528"/>
      <c r="AC37" s="1528"/>
      <c r="AD37" s="1528"/>
      <c r="AE37" s="1528"/>
      <c r="AF37" s="1528"/>
      <c r="AG37" s="1528"/>
      <c r="AH37" s="1528"/>
      <c r="AI37" s="1528"/>
      <c r="AJ37" s="1528"/>
      <c r="AK37" s="1528"/>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28" t="s">
        <v>2061</v>
      </c>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
    </row>
    <row r="43" spans="1:38">
      <c r="A43" s="283"/>
      <c r="B43" s="1"/>
      <c r="C43" s="358"/>
      <c r="D43" s="283"/>
      <c r="E43" s="283"/>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
    </row>
    <row r="44" spans="1:38">
      <c r="A44" s="283"/>
      <c r="B44" s="1"/>
      <c r="C44" s="358"/>
      <c r="D44" s="283"/>
      <c r="E44" s="283"/>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30" t="s">
        <v>2063</v>
      </c>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
    </row>
    <row r="49" spans="1:38">
      <c r="A49" s="283"/>
      <c r="B49" s="1"/>
      <c r="C49" s="358"/>
      <c r="D49" s="358"/>
      <c r="E49" s="283"/>
      <c r="F49" s="499"/>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
    </row>
    <row r="50" spans="1:38">
      <c r="A50" s="283"/>
      <c r="B50" s="1"/>
      <c r="C50" s="358"/>
      <c r="D50" s="358"/>
      <c r="E50" s="283"/>
      <c r="F50" s="499"/>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1"/>
    </row>
    <row r="51" spans="1:38">
      <c r="A51" s="283"/>
      <c r="B51" s="358"/>
      <c r="C51" s="358"/>
      <c r="D51" s="358"/>
      <c r="E51" s="283"/>
      <c r="F51" s="499" t="s">
        <v>212</v>
      </c>
      <c r="G51" s="1531" t="s">
        <v>1847</v>
      </c>
      <c r="H51" s="1531"/>
      <c r="I51" s="1531"/>
      <c r="J51" s="1531"/>
      <c r="K51" s="1531"/>
      <c r="L51" s="1531"/>
      <c r="M51" s="1531"/>
      <c r="N51" s="1531"/>
      <c r="O51" s="1531"/>
      <c r="P51" s="1531"/>
      <c r="Q51" s="1531"/>
      <c r="R51" s="1531"/>
      <c r="S51" s="1531"/>
      <c r="T51" s="1531"/>
      <c r="U51" s="1531"/>
      <c r="V51" s="1531"/>
      <c r="W51" s="1531"/>
      <c r="X51" s="1531"/>
      <c r="Y51" s="1531"/>
      <c r="Z51" s="1531"/>
      <c r="AA51" s="1531"/>
      <c r="AB51" s="1531"/>
      <c r="AC51" s="1531"/>
      <c r="AD51" s="1531"/>
      <c r="AE51" s="1531"/>
      <c r="AF51" s="1531"/>
      <c r="AG51" s="1531"/>
      <c r="AH51" s="1531"/>
      <c r="AI51" s="1531"/>
      <c r="AJ51" s="1531"/>
      <c r="AK51" s="1531"/>
      <c r="AL51" s="1"/>
    </row>
    <row r="52" spans="1:38" s="288" customFormat="1">
      <c r="A52" s="283"/>
      <c r="B52" s="1"/>
      <c r="C52" s="358"/>
      <c r="D52" s="358"/>
      <c r="E52" s="283"/>
      <c r="F52" s="499"/>
      <c r="G52" s="1531"/>
      <c r="H52" s="1531"/>
      <c r="I52" s="1531"/>
      <c r="J52" s="1531"/>
      <c r="K52" s="1531"/>
      <c r="L52" s="1531"/>
      <c r="M52" s="1531"/>
      <c r="N52" s="1531"/>
      <c r="O52" s="1531"/>
      <c r="P52" s="1531"/>
      <c r="Q52" s="1531"/>
      <c r="R52" s="1531"/>
      <c r="S52" s="1531"/>
      <c r="T52" s="1531"/>
      <c r="U52" s="1531"/>
      <c r="V52" s="1531"/>
      <c r="W52" s="1531"/>
      <c r="X52" s="1531"/>
      <c r="Y52" s="1531"/>
      <c r="Z52" s="1531"/>
      <c r="AA52" s="1531"/>
      <c r="AB52" s="1531"/>
      <c r="AC52" s="1531"/>
      <c r="AD52" s="1531"/>
      <c r="AE52" s="1531"/>
      <c r="AF52" s="1531"/>
      <c r="AG52" s="1531"/>
      <c r="AH52" s="1531"/>
      <c r="AI52" s="1531"/>
      <c r="AJ52" s="1531"/>
      <c r="AK52" s="1531"/>
      <c r="AL52" s="1"/>
    </row>
    <row r="53" spans="1:38">
      <c r="A53" s="288"/>
      <c r="B53" s="272"/>
      <c r="C53" s="359"/>
      <c r="D53" s="359"/>
      <c r="E53" s="288"/>
      <c r="F53" s="1046"/>
      <c r="G53" s="1531"/>
      <c r="H53" s="1531"/>
      <c r="I53" s="1531"/>
      <c r="J53" s="1531"/>
      <c r="K53" s="1531"/>
      <c r="L53" s="1531"/>
      <c r="M53" s="1531"/>
      <c r="N53" s="1531"/>
      <c r="O53" s="1531"/>
      <c r="P53" s="1531"/>
      <c r="Q53" s="1531"/>
      <c r="R53" s="1531"/>
      <c r="S53" s="1531"/>
      <c r="T53" s="1531"/>
      <c r="U53" s="1531"/>
      <c r="V53" s="1531"/>
      <c r="W53" s="1531"/>
      <c r="X53" s="1531"/>
      <c r="Y53" s="1531"/>
      <c r="Z53" s="1531"/>
      <c r="AA53" s="1531"/>
      <c r="AB53" s="1531"/>
      <c r="AC53" s="1531"/>
      <c r="AD53" s="1531"/>
      <c r="AE53" s="1531"/>
      <c r="AF53" s="1531"/>
      <c r="AG53" s="1531"/>
      <c r="AH53" s="1531"/>
      <c r="AI53" s="1531"/>
      <c r="AJ53" s="1531"/>
      <c r="AK53" s="1531"/>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8" t="s">
        <v>1850</v>
      </c>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
    </row>
    <row r="59" spans="1:38">
      <c r="A59" s="283"/>
      <c r="B59" s="1"/>
      <c r="C59" s="358"/>
      <c r="D59" s="283"/>
      <c r="E59" s="283"/>
      <c r="F59" s="426"/>
      <c r="G59" s="1528"/>
      <c r="H59" s="1528"/>
      <c r="I59" s="1528"/>
      <c r="J59" s="1528"/>
      <c r="K59" s="1528"/>
      <c r="L59" s="1528"/>
      <c r="M59" s="1528"/>
      <c r="N59" s="1528"/>
      <c r="O59" s="1528"/>
      <c r="P59" s="1528"/>
      <c r="Q59" s="1528"/>
      <c r="R59" s="1528"/>
      <c r="S59" s="1528"/>
      <c r="T59" s="1528"/>
      <c r="U59" s="1528"/>
      <c r="V59" s="1528"/>
      <c r="W59" s="1528"/>
      <c r="X59" s="1528"/>
      <c r="Y59" s="1528"/>
      <c r="Z59" s="1528"/>
      <c r="AA59" s="1528"/>
      <c r="AB59" s="1528"/>
      <c r="AC59" s="1528"/>
      <c r="AD59" s="1528"/>
      <c r="AE59" s="1528"/>
      <c r="AF59" s="1528"/>
      <c r="AG59" s="1528"/>
      <c r="AH59" s="1528"/>
      <c r="AI59" s="1528"/>
      <c r="AJ59" s="1528"/>
      <c r="AK59" s="1528"/>
      <c r="AL59" s="1"/>
    </row>
    <row r="60" spans="1:38">
      <c r="A60" s="283"/>
      <c r="B60" s="1"/>
      <c r="C60" s="358"/>
      <c r="D60" s="283"/>
      <c r="E60" s="283"/>
      <c r="F60" s="426"/>
      <c r="G60" s="1528"/>
      <c r="H60" s="1528"/>
      <c r="I60" s="1528"/>
      <c r="J60" s="1528"/>
      <c r="K60" s="1528"/>
      <c r="L60" s="1528"/>
      <c r="M60" s="1528"/>
      <c r="N60" s="1528"/>
      <c r="O60" s="1528"/>
      <c r="P60" s="1528"/>
      <c r="Q60" s="1528"/>
      <c r="R60" s="1528"/>
      <c r="S60" s="1528"/>
      <c r="T60" s="1528"/>
      <c r="U60" s="1528"/>
      <c r="V60" s="1528"/>
      <c r="W60" s="1528"/>
      <c r="X60" s="1528"/>
      <c r="Y60" s="1528"/>
      <c r="Z60" s="1528"/>
      <c r="AA60" s="1528"/>
      <c r="AB60" s="1528"/>
      <c r="AC60" s="1528"/>
      <c r="AD60" s="1528"/>
      <c r="AE60" s="1528"/>
      <c r="AF60" s="1528"/>
      <c r="AG60" s="1528"/>
      <c r="AH60" s="1528"/>
      <c r="AI60" s="1528"/>
      <c r="AJ60" s="1528"/>
      <c r="AK60" s="1528"/>
      <c r="AL60" s="1"/>
    </row>
    <row r="61" spans="1:38">
      <c r="A61" s="283"/>
      <c r="B61" s="1"/>
      <c r="C61" s="358"/>
      <c r="D61" s="283"/>
      <c r="E61" s="283"/>
      <c r="F61" s="426" t="s">
        <v>212</v>
      </c>
      <c r="G61" s="1528" t="s">
        <v>1849</v>
      </c>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
    </row>
    <row r="62" spans="1:38">
      <c r="A62" s="283"/>
      <c r="B62" s="1"/>
      <c r="C62" s="358"/>
      <c r="D62" s="283"/>
      <c r="E62" s="283"/>
      <c r="F62" s="426"/>
      <c r="G62" s="1528"/>
      <c r="H62" s="1528"/>
      <c r="I62" s="1528"/>
      <c r="J62" s="1528"/>
      <c r="K62" s="1528"/>
      <c r="L62" s="1528"/>
      <c r="M62" s="1528"/>
      <c r="N62" s="1528"/>
      <c r="O62" s="1528"/>
      <c r="P62" s="1528"/>
      <c r="Q62" s="1528"/>
      <c r="R62" s="1528"/>
      <c r="S62" s="1528"/>
      <c r="T62" s="1528"/>
      <c r="U62" s="1528"/>
      <c r="V62" s="1528"/>
      <c r="W62" s="1528"/>
      <c r="X62" s="1528"/>
      <c r="Y62" s="1528"/>
      <c r="Z62" s="1528"/>
      <c r="AA62" s="1528"/>
      <c r="AB62" s="1528"/>
      <c r="AC62" s="1528"/>
      <c r="AD62" s="1528"/>
      <c r="AE62" s="1528"/>
      <c r="AF62" s="1528"/>
      <c r="AG62" s="1528"/>
      <c r="AH62" s="1528"/>
      <c r="AI62" s="1528"/>
      <c r="AJ62" s="1528"/>
      <c r="AK62" s="1528"/>
      <c r="AL62" s="1"/>
    </row>
    <row r="63" spans="1:38">
      <c r="A63" s="283"/>
      <c r="B63" s="1"/>
      <c r="C63" s="358"/>
      <c r="D63" s="283"/>
      <c r="E63" s="283"/>
      <c r="F63" s="1047"/>
      <c r="G63" s="1528"/>
      <c r="H63" s="1528"/>
      <c r="I63" s="1528"/>
      <c r="J63" s="1528"/>
      <c r="K63" s="1528"/>
      <c r="L63" s="1528"/>
      <c r="M63" s="1528"/>
      <c r="N63" s="1528"/>
      <c r="O63" s="1528"/>
      <c r="P63" s="1528"/>
      <c r="Q63" s="1528"/>
      <c r="R63" s="1528"/>
      <c r="S63" s="1528"/>
      <c r="T63" s="1528"/>
      <c r="U63" s="1528"/>
      <c r="V63" s="1528"/>
      <c r="W63" s="1528"/>
      <c r="X63" s="1528"/>
      <c r="Y63" s="1528"/>
      <c r="Z63" s="1528"/>
      <c r="AA63" s="1528"/>
      <c r="AB63" s="1528"/>
      <c r="AC63" s="1528"/>
      <c r="AD63" s="1528"/>
      <c r="AE63" s="1528"/>
      <c r="AF63" s="1528"/>
      <c r="AG63" s="1528"/>
      <c r="AH63" s="1528"/>
      <c r="AI63" s="1528"/>
      <c r="AJ63" s="1528"/>
      <c r="AK63" s="1528"/>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8" t="s">
        <v>1851</v>
      </c>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
    </row>
    <row r="66" spans="1:38">
      <c r="A66" s="283"/>
      <c r="B66" s="1"/>
      <c r="C66" s="358"/>
      <c r="D66" s="283"/>
      <c r="E66" s="283"/>
      <c r="F66" s="499"/>
      <c r="G66" s="1528"/>
      <c r="H66" s="1528"/>
      <c r="I66" s="1528"/>
      <c r="J66" s="1528"/>
      <c r="K66" s="152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
    </row>
    <row r="67" spans="1:38">
      <c r="A67" s="283"/>
      <c r="B67" s="1"/>
      <c r="C67" s="358"/>
      <c r="D67" s="283"/>
      <c r="E67" s="283"/>
      <c r="F67" s="499" t="s">
        <v>212</v>
      </c>
      <c r="G67" s="1528" t="s">
        <v>1852</v>
      </c>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
    </row>
    <row r="68" spans="1:38">
      <c r="A68" s="283"/>
      <c r="B68" s="1"/>
      <c r="C68" s="358"/>
      <c r="D68" s="283"/>
      <c r="E68" s="283"/>
      <c r="F68" s="499"/>
      <c r="G68" s="1528"/>
      <c r="H68" s="1528"/>
      <c r="I68" s="1528"/>
      <c r="J68" s="1528"/>
      <c r="K68" s="1528"/>
      <c r="L68" s="1528"/>
      <c r="M68" s="1528"/>
      <c r="N68" s="1528"/>
      <c r="O68" s="1528"/>
      <c r="P68" s="1528"/>
      <c r="Q68" s="1528"/>
      <c r="R68" s="1528"/>
      <c r="S68" s="1528"/>
      <c r="T68" s="1528"/>
      <c r="U68" s="1528"/>
      <c r="V68" s="1528"/>
      <c r="W68" s="1528"/>
      <c r="X68" s="1528"/>
      <c r="Y68" s="1528"/>
      <c r="Z68" s="1528"/>
      <c r="AA68" s="1528"/>
      <c r="AB68" s="1528"/>
      <c r="AC68" s="1528"/>
      <c r="AD68" s="1528"/>
      <c r="AE68" s="1528"/>
      <c r="AF68" s="1528"/>
      <c r="AG68" s="1528"/>
      <c r="AH68" s="1528"/>
      <c r="AI68" s="1528"/>
      <c r="AJ68" s="1528"/>
      <c r="AK68" s="1528"/>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8" t="s">
        <v>1867</v>
      </c>
      <c r="H75" s="1528"/>
      <c r="I75" s="1528"/>
      <c r="J75" s="1528"/>
      <c r="K75" s="1528"/>
      <c r="L75" s="1528"/>
      <c r="M75" s="1528"/>
      <c r="N75" s="1528"/>
      <c r="O75" s="1528"/>
      <c r="P75" s="1528"/>
      <c r="Q75" s="1528"/>
      <c r="R75" s="1528"/>
      <c r="S75" s="1528"/>
      <c r="T75" s="1528"/>
      <c r="U75" s="1528"/>
      <c r="V75" s="1528"/>
      <c r="W75" s="1528"/>
      <c r="X75" s="1528"/>
      <c r="Y75" s="1528"/>
      <c r="Z75" s="1528"/>
      <c r="AA75" s="1528"/>
      <c r="AB75" s="1528"/>
      <c r="AC75" s="1528"/>
      <c r="AD75" s="1528"/>
      <c r="AE75" s="1528"/>
      <c r="AF75" s="1528"/>
      <c r="AG75" s="1528"/>
      <c r="AH75" s="1528"/>
      <c r="AI75" s="1528"/>
      <c r="AJ75" s="1528"/>
      <c r="AK75" s="1528"/>
      <c r="AL75" s="1"/>
    </row>
    <row r="76" spans="1:38">
      <c r="A76" s="283"/>
      <c r="B76" s="1"/>
      <c r="C76" s="358"/>
      <c r="D76" s="283"/>
      <c r="E76" s="283"/>
      <c r="F76" s="283"/>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1528"/>
      <c r="AD76" s="1528"/>
      <c r="AE76" s="1528"/>
      <c r="AF76" s="1528"/>
      <c r="AG76" s="1528"/>
      <c r="AH76" s="1528"/>
      <c r="AI76" s="1528"/>
      <c r="AJ76" s="1528"/>
      <c r="AK76" s="1528"/>
      <c r="AL76" s="1"/>
    </row>
    <row r="77" spans="1:38">
      <c r="A77" s="283"/>
      <c r="B77" s="1"/>
      <c r="C77" s="358"/>
      <c r="D77" s="283"/>
      <c r="E77" s="283"/>
      <c r="F77" s="283"/>
      <c r="G77" s="1528"/>
      <c r="H77" s="1528"/>
      <c r="I77" s="1528"/>
      <c r="J77" s="1528"/>
      <c r="K77" s="1528"/>
      <c r="L77" s="1528"/>
      <c r="M77" s="1528"/>
      <c r="N77" s="1528"/>
      <c r="O77" s="1528"/>
      <c r="P77" s="1528"/>
      <c r="Q77" s="1528"/>
      <c r="R77" s="1528"/>
      <c r="S77" s="1528"/>
      <c r="T77" s="1528"/>
      <c r="U77" s="1528"/>
      <c r="V77" s="1528"/>
      <c r="W77" s="1528"/>
      <c r="X77" s="1528"/>
      <c r="Y77" s="1528"/>
      <c r="Z77" s="1528"/>
      <c r="AA77" s="1528"/>
      <c r="AB77" s="1528"/>
      <c r="AC77" s="1528"/>
      <c r="AD77" s="1528"/>
      <c r="AE77" s="1528"/>
      <c r="AF77" s="1528"/>
      <c r="AG77" s="1528"/>
      <c r="AH77" s="1528"/>
      <c r="AI77" s="1528"/>
      <c r="AJ77" s="1528"/>
      <c r="AK77" s="1528"/>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8" t="s">
        <v>1868</v>
      </c>
      <c r="H79" s="1528"/>
      <c r="I79" s="1528"/>
      <c r="J79" s="1528"/>
      <c r="K79" s="1528"/>
      <c r="L79" s="1528"/>
      <c r="M79" s="1528"/>
      <c r="N79" s="1528"/>
      <c r="O79" s="1528"/>
      <c r="P79" s="1528"/>
      <c r="Q79" s="1528"/>
      <c r="R79" s="1528"/>
      <c r="S79" s="1528"/>
      <c r="T79" s="1528"/>
      <c r="U79" s="1528"/>
      <c r="V79" s="1528"/>
      <c r="W79" s="1528"/>
      <c r="X79" s="1528"/>
      <c r="Y79" s="1528"/>
      <c r="Z79" s="1528"/>
      <c r="AA79" s="1528"/>
      <c r="AB79" s="1528"/>
      <c r="AC79" s="1528"/>
      <c r="AD79" s="1528"/>
      <c r="AE79" s="1528"/>
      <c r="AF79" s="1528"/>
      <c r="AG79" s="1528"/>
      <c r="AH79" s="1528"/>
      <c r="AI79" s="1528"/>
      <c r="AJ79" s="1528"/>
      <c r="AK79" s="1528"/>
      <c r="AL79" s="1"/>
    </row>
    <row r="80" spans="1:38">
      <c r="A80" s="283"/>
      <c r="B80" s="1"/>
      <c r="C80" s="358"/>
      <c r="D80" s="283"/>
      <c r="E80" s="283"/>
      <c r="F80" s="283"/>
      <c r="G80" s="1528"/>
      <c r="H80" s="1528"/>
      <c r="I80" s="1528"/>
      <c r="J80" s="1528"/>
      <c r="K80" s="1528"/>
      <c r="L80" s="1528"/>
      <c r="M80" s="1528"/>
      <c r="N80" s="1528"/>
      <c r="O80" s="1528"/>
      <c r="P80" s="1528"/>
      <c r="Q80" s="1528"/>
      <c r="R80" s="1528"/>
      <c r="S80" s="1528"/>
      <c r="T80" s="1528"/>
      <c r="U80" s="1528"/>
      <c r="V80" s="1528"/>
      <c r="W80" s="1528"/>
      <c r="X80" s="1528"/>
      <c r="Y80" s="1528"/>
      <c r="Z80" s="1528"/>
      <c r="AA80" s="1528"/>
      <c r="AB80" s="1528"/>
      <c r="AC80" s="1528"/>
      <c r="AD80" s="1528"/>
      <c r="AE80" s="1528"/>
      <c r="AF80" s="1528"/>
      <c r="AG80" s="1528"/>
      <c r="AH80" s="1528"/>
      <c r="AI80" s="1528"/>
      <c r="AJ80" s="1528"/>
      <c r="AK80" s="1528"/>
      <c r="AL80" s="1"/>
    </row>
    <row r="81" spans="1:38">
      <c r="A81" s="283"/>
      <c r="B81" s="1"/>
      <c r="C81" s="358"/>
      <c r="D81" s="283"/>
      <c r="E81" s="283"/>
      <c r="F81" s="1"/>
      <c r="G81" s="1528"/>
      <c r="H81" s="1528"/>
      <c r="I81" s="1528"/>
      <c r="J81" s="1528"/>
      <c r="K81" s="1528"/>
      <c r="L81" s="1528"/>
      <c r="M81" s="1528"/>
      <c r="N81" s="1528"/>
      <c r="O81" s="1528"/>
      <c r="P81" s="1528"/>
      <c r="Q81" s="1528"/>
      <c r="R81" s="1528"/>
      <c r="S81" s="1528"/>
      <c r="T81" s="1528"/>
      <c r="U81" s="1528"/>
      <c r="V81" s="1528"/>
      <c r="W81" s="1528"/>
      <c r="X81" s="1528"/>
      <c r="Y81" s="1528"/>
      <c r="Z81" s="1528"/>
      <c r="AA81" s="1528"/>
      <c r="AB81" s="1528"/>
      <c r="AC81" s="1528"/>
      <c r="AD81" s="1528"/>
      <c r="AE81" s="1528"/>
      <c r="AF81" s="1528"/>
      <c r="AG81" s="1528"/>
      <c r="AH81" s="1528"/>
      <c r="AI81" s="1528"/>
      <c r="AJ81" s="1528"/>
      <c r="AK81" s="1528"/>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8" t="s">
        <v>1853</v>
      </c>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
    </row>
    <row r="84" spans="1:38">
      <c r="A84" s="283"/>
      <c r="B84" s="1"/>
      <c r="C84" s="358"/>
      <c r="D84" s="283"/>
      <c r="E84" s="283"/>
      <c r="F84" s="1"/>
      <c r="G84" s="1528"/>
      <c r="H84" s="1528"/>
      <c r="I84" s="1528"/>
      <c r="J84" s="1528"/>
      <c r="K84" s="1528"/>
      <c r="L84" s="1528"/>
      <c r="M84" s="1528"/>
      <c r="N84" s="1528"/>
      <c r="O84" s="1528"/>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8" t="s">
        <v>1854</v>
      </c>
      <c r="H86" s="1528"/>
      <c r="I86" s="1528"/>
      <c r="J86" s="1528"/>
      <c r="K86" s="1528"/>
      <c r="L86" s="1528"/>
      <c r="M86" s="1528"/>
      <c r="N86" s="1528"/>
      <c r="O86" s="1528"/>
      <c r="P86" s="1528"/>
      <c r="Q86" s="1528"/>
      <c r="R86" s="1528"/>
      <c r="S86" s="1528"/>
      <c r="T86" s="1528"/>
      <c r="U86" s="1528"/>
      <c r="V86" s="1528"/>
      <c r="W86" s="1528"/>
      <c r="X86" s="1528"/>
      <c r="Y86" s="1528"/>
      <c r="Z86" s="1528"/>
      <c r="AA86" s="1528"/>
      <c r="AB86" s="1528"/>
      <c r="AC86" s="1528"/>
      <c r="AD86" s="1528"/>
      <c r="AE86" s="1528"/>
      <c r="AF86" s="1528"/>
      <c r="AG86" s="1528"/>
      <c r="AH86" s="1528"/>
      <c r="AI86" s="1528"/>
      <c r="AJ86" s="1528"/>
      <c r="AK86" s="1528"/>
      <c r="AL86" s="1"/>
    </row>
    <row r="87" spans="1:38">
      <c r="A87" s="283"/>
      <c r="B87" s="1"/>
      <c r="C87" s="358"/>
      <c r="D87" s="283"/>
      <c r="E87" s="283"/>
      <c r="F87" s="1"/>
      <c r="G87" s="1528"/>
      <c r="H87" s="1528"/>
      <c r="I87" s="1528"/>
      <c r="J87" s="1528"/>
      <c r="K87" s="1528"/>
      <c r="L87" s="1528"/>
      <c r="M87" s="1528"/>
      <c r="N87" s="1528"/>
      <c r="O87" s="1528"/>
      <c r="P87" s="1528"/>
      <c r="Q87" s="1528"/>
      <c r="R87" s="1528"/>
      <c r="S87" s="1528"/>
      <c r="T87" s="1528"/>
      <c r="U87" s="1528"/>
      <c r="V87" s="1528"/>
      <c r="W87" s="1528"/>
      <c r="X87" s="1528"/>
      <c r="Y87" s="1528"/>
      <c r="Z87" s="1528"/>
      <c r="AA87" s="1528"/>
      <c r="AB87" s="1528"/>
      <c r="AC87" s="1528"/>
      <c r="AD87" s="1528"/>
      <c r="AE87" s="1528"/>
      <c r="AF87" s="1528"/>
      <c r="AG87" s="1528"/>
      <c r="AH87" s="1528"/>
      <c r="AI87" s="1528"/>
      <c r="AJ87" s="1528"/>
      <c r="AK87" s="1528"/>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8" t="s">
        <v>1860</v>
      </c>
      <c r="H89" s="1528"/>
      <c r="I89" s="1528"/>
      <c r="J89" s="1528"/>
      <c r="K89" s="1528"/>
      <c r="L89" s="1528"/>
      <c r="M89" s="1528"/>
      <c r="N89" s="1528"/>
      <c r="O89" s="1528"/>
      <c r="P89" s="1528"/>
      <c r="Q89" s="1528"/>
      <c r="R89" s="1528"/>
      <c r="S89" s="1528"/>
      <c r="T89" s="1528"/>
      <c r="U89" s="1528"/>
      <c r="V89" s="1528"/>
      <c r="W89" s="1528"/>
      <c r="X89" s="1528"/>
      <c r="Y89" s="1528"/>
      <c r="Z89" s="1528"/>
      <c r="AA89" s="1528"/>
      <c r="AB89" s="1528"/>
      <c r="AC89" s="1528"/>
      <c r="AD89" s="1528"/>
      <c r="AE89" s="1528"/>
      <c r="AF89" s="1528"/>
      <c r="AG89" s="1528"/>
      <c r="AH89" s="1528"/>
      <c r="AI89" s="1528"/>
      <c r="AJ89" s="1528"/>
      <c r="AK89" s="1528"/>
      <c r="AL89" s="1"/>
    </row>
    <row r="90" spans="1:38">
      <c r="A90" s="283"/>
      <c r="B90" s="1"/>
      <c r="C90" s="358"/>
      <c r="D90" s="283"/>
      <c r="E90" s="283"/>
      <c r="F90" s="283"/>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
    </row>
    <row r="91" spans="1:38">
      <c r="A91" s="283"/>
      <c r="B91" s="1"/>
      <c r="C91" s="358"/>
      <c r="D91" s="283"/>
      <c r="E91" s="283"/>
      <c r="F91" s="283"/>
      <c r="G91" s="1528"/>
      <c r="H91" s="1528"/>
      <c r="I91" s="1528"/>
      <c r="J91" s="1528"/>
      <c r="K91" s="1528"/>
      <c r="L91" s="1528"/>
      <c r="M91" s="1528"/>
      <c r="N91" s="1528"/>
      <c r="O91" s="1528"/>
      <c r="P91" s="1528"/>
      <c r="Q91" s="1528"/>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
    </row>
    <row r="92" spans="1:38">
      <c r="A92" s="283"/>
      <c r="B92" s="1"/>
      <c r="C92" s="358"/>
      <c r="D92" s="283"/>
      <c r="E92" s="283"/>
      <c r="F92" s="283"/>
      <c r="G92" s="1528"/>
      <c r="H92" s="1528"/>
      <c r="I92" s="1528"/>
      <c r="J92" s="1528"/>
      <c r="K92" s="1528"/>
      <c r="L92" s="1528"/>
      <c r="M92" s="1528"/>
      <c r="N92" s="1528"/>
      <c r="O92" s="1528"/>
      <c r="P92" s="1528"/>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9" t="s">
        <v>1861</v>
      </c>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049"/>
    </row>
    <row r="95" spans="1:38">
      <c r="A95" s="1048"/>
      <c r="B95" s="1049"/>
      <c r="C95" s="1050"/>
      <c r="D95" s="1048"/>
      <c r="E95" s="1048"/>
      <c r="F95" s="1049"/>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049"/>
    </row>
    <row r="96" spans="1:38">
      <c r="A96" s="1048"/>
      <c r="B96" s="1049"/>
      <c r="C96" s="1050"/>
      <c r="D96" s="1048"/>
      <c r="E96" s="1048"/>
      <c r="F96" s="1049"/>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049"/>
    </row>
    <row r="97" spans="1:38">
      <c r="A97" s="1048"/>
      <c r="B97" s="1049"/>
      <c r="C97" s="1050"/>
      <c r="D97" s="1048"/>
      <c r="E97" s="1048"/>
      <c r="F97" s="104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8" t="s">
        <v>1862</v>
      </c>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
    </row>
    <row r="100" spans="1:38">
      <c r="A100" s="283"/>
      <c r="B100" s="1"/>
      <c r="C100" s="358"/>
      <c r="D100" s="283"/>
      <c r="E100" s="283"/>
      <c r="F100" s="1"/>
      <c r="G100" s="1528"/>
      <c r="H100" s="1528"/>
      <c r="I100" s="1528"/>
      <c r="J100" s="1528"/>
      <c r="K100" s="1528"/>
      <c r="L100" s="1528"/>
      <c r="M100" s="1528"/>
      <c r="N100" s="1528"/>
      <c r="O100" s="1528"/>
      <c r="P100" s="1528"/>
      <c r="Q100" s="1528"/>
      <c r="R100" s="1528"/>
      <c r="S100" s="1528"/>
      <c r="T100" s="1528"/>
      <c r="U100" s="1528"/>
      <c r="V100" s="1528"/>
      <c r="W100" s="1528"/>
      <c r="X100" s="1528"/>
      <c r="Y100" s="1528"/>
      <c r="Z100" s="1528"/>
      <c r="AA100" s="1528"/>
      <c r="AB100" s="1528"/>
      <c r="AC100" s="1528"/>
      <c r="AD100" s="1528"/>
      <c r="AE100" s="1528"/>
      <c r="AF100" s="1528"/>
      <c r="AG100" s="1528"/>
      <c r="AH100" s="1528"/>
      <c r="AI100" s="1528"/>
      <c r="AJ100" s="1528"/>
      <c r="AK100" s="1528"/>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8" t="s">
        <v>1863</v>
      </c>
      <c r="H102" s="1528"/>
      <c r="I102" s="1528"/>
      <c r="J102" s="1528"/>
      <c r="K102" s="1528"/>
      <c r="L102" s="1528"/>
      <c r="M102" s="1528"/>
      <c r="N102" s="1528"/>
      <c r="O102" s="1528"/>
      <c r="P102" s="1528"/>
      <c r="Q102" s="1528"/>
      <c r="R102" s="1528"/>
      <c r="S102" s="1528"/>
      <c r="T102" s="1528"/>
      <c r="U102" s="1528"/>
      <c r="V102" s="1528"/>
      <c r="W102" s="1528"/>
      <c r="X102" s="1528"/>
      <c r="Y102" s="1528"/>
      <c r="Z102" s="1528"/>
      <c r="AA102" s="1528"/>
      <c r="AB102" s="1528"/>
      <c r="AC102" s="1528"/>
      <c r="AD102" s="1528"/>
      <c r="AE102" s="1528"/>
      <c r="AF102" s="1528"/>
      <c r="AG102" s="1528"/>
      <c r="AH102" s="1528"/>
      <c r="AI102" s="1528"/>
      <c r="AJ102" s="1528"/>
      <c r="AK102" s="1528"/>
      <c r="AL102" s="1"/>
    </row>
    <row r="103" spans="1:38">
      <c r="A103" s="283"/>
      <c r="B103" s="1"/>
      <c r="C103" s="358"/>
      <c r="D103" s="283"/>
      <c r="E103" s="283"/>
      <c r="F103" s="1"/>
      <c r="G103" s="1528"/>
      <c r="H103" s="1528"/>
      <c r="I103" s="1528"/>
      <c r="J103" s="1528"/>
      <c r="K103" s="1528"/>
      <c r="L103" s="1528"/>
      <c r="M103" s="1528"/>
      <c r="N103" s="1528"/>
      <c r="O103" s="1528"/>
      <c r="P103" s="1528"/>
      <c r="Q103" s="1528"/>
      <c r="R103" s="1528"/>
      <c r="S103" s="1528"/>
      <c r="T103" s="1528"/>
      <c r="U103" s="1528"/>
      <c r="V103" s="1528"/>
      <c r="W103" s="1528"/>
      <c r="X103" s="1528"/>
      <c r="Y103" s="1528"/>
      <c r="Z103" s="1528"/>
      <c r="AA103" s="1528"/>
      <c r="AB103" s="1528"/>
      <c r="AC103" s="1528"/>
      <c r="AD103" s="1528"/>
      <c r="AE103" s="1528"/>
      <c r="AF103" s="1528"/>
      <c r="AG103" s="1528"/>
      <c r="AH103" s="1528"/>
      <c r="AI103" s="1528"/>
      <c r="AJ103" s="1528"/>
      <c r="AK103" s="1528"/>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8" t="s">
        <v>1864</v>
      </c>
      <c r="H105" s="1528"/>
      <c r="I105" s="1528"/>
      <c r="J105" s="1528"/>
      <c r="K105" s="1528"/>
      <c r="L105" s="1528"/>
      <c r="M105" s="1528"/>
      <c r="N105" s="1528"/>
      <c r="O105" s="1528"/>
      <c r="P105" s="1528"/>
      <c r="Q105" s="1528"/>
      <c r="R105" s="1528"/>
      <c r="S105" s="1528"/>
      <c r="T105" s="1528"/>
      <c r="U105" s="1528"/>
      <c r="V105" s="1528"/>
      <c r="W105" s="1528"/>
      <c r="X105" s="1528"/>
      <c r="Y105" s="1528"/>
      <c r="Z105" s="1528"/>
      <c r="AA105" s="1528"/>
      <c r="AB105" s="1528"/>
      <c r="AC105" s="1528"/>
      <c r="AD105" s="1528"/>
      <c r="AE105" s="1528"/>
      <c r="AF105" s="1528"/>
      <c r="AG105" s="1528"/>
      <c r="AH105" s="1528"/>
      <c r="AI105" s="1528"/>
      <c r="AJ105" s="1528"/>
      <c r="AK105" s="1528"/>
      <c r="AL105" s="1"/>
    </row>
    <row r="106" spans="1:38">
      <c r="A106" s="288"/>
      <c r="B106" s="272"/>
      <c r="C106" s="359"/>
      <c r="D106" s="288"/>
      <c r="E106" s="288"/>
      <c r="F106" s="288"/>
      <c r="G106" s="1528"/>
      <c r="H106" s="1528"/>
      <c r="I106" s="1528"/>
      <c r="J106" s="1528"/>
      <c r="K106" s="1528"/>
      <c r="L106" s="1528"/>
      <c r="M106" s="1528"/>
      <c r="N106" s="1528"/>
      <c r="O106" s="1528"/>
      <c r="P106" s="1528"/>
      <c r="Q106" s="1528"/>
      <c r="R106" s="1528"/>
      <c r="S106" s="1528"/>
      <c r="T106" s="1528"/>
      <c r="U106" s="1528"/>
      <c r="V106" s="1528"/>
      <c r="W106" s="1528"/>
      <c r="X106" s="1528"/>
      <c r="Y106" s="1528"/>
      <c r="Z106" s="1528"/>
      <c r="AA106" s="1528"/>
      <c r="AB106" s="1528"/>
      <c r="AC106" s="1528"/>
      <c r="AD106" s="1528"/>
      <c r="AE106" s="1528"/>
      <c r="AF106" s="1528"/>
      <c r="AG106" s="1528"/>
      <c r="AH106" s="1528"/>
      <c r="AI106" s="1528"/>
      <c r="AJ106" s="1528"/>
      <c r="AK106" s="1528"/>
      <c r="AL106" s="272"/>
    </row>
    <row r="107" spans="1:38">
      <c r="A107" s="288"/>
      <c r="B107" s="272"/>
      <c r="C107" s="359"/>
      <c r="D107" s="359"/>
      <c r="E107" s="288"/>
      <c r="F107" s="288"/>
      <c r="G107" s="1528"/>
      <c r="H107" s="1528"/>
      <c r="I107" s="1528"/>
      <c r="J107" s="1528"/>
      <c r="K107" s="1528"/>
      <c r="L107" s="1528"/>
      <c r="M107" s="1528"/>
      <c r="N107" s="1528"/>
      <c r="O107" s="1528"/>
      <c r="P107" s="1528"/>
      <c r="Q107" s="1528"/>
      <c r="R107" s="1528"/>
      <c r="S107" s="1528"/>
      <c r="T107" s="1528"/>
      <c r="U107" s="1528"/>
      <c r="V107" s="1528"/>
      <c r="W107" s="1528"/>
      <c r="X107" s="1528"/>
      <c r="Y107" s="1528"/>
      <c r="Z107" s="1528"/>
      <c r="AA107" s="1528"/>
      <c r="AB107" s="1528"/>
      <c r="AC107" s="1528"/>
      <c r="AD107" s="1528"/>
      <c r="AE107" s="1528"/>
      <c r="AF107" s="1528"/>
      <c r="AG107" s="1528"/>
      <c r="AH107" s="1528"/>
      <c r="AI107" s="1528"/>
      <c r="AJ107" s="1528"/>
      <c r="AK107" s="1528"/>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8" t="s">
        <v>1865</v>
      </c>
      <c r="H109" s="1528"/>
      <c r="I109" s="1528"/>
      <c r="J109" s="1528"/>
      <c r="K109" s="1528"/>
      <c r="L109" s="1528"/>
      <c r="M109" s="1528"/>
      <c r="N109" s="1528"/>
      <c r="O109" s="1528"/>
      <c r="P109" s="1528"/>
      <c r="Q109" s="1528"/>
      <c r="R109" s="1528"/>
      <c r="S109" s="1528"/>
      <c r="T109" s="1528"/>
      <c r="U109" s="1528"/>
      <c r="V109" s="1528"/>
      <c r="W109" s="1528"/>
      <c r="X109" s="1528"/>
      <c r="Y109" s="1528"/>
      <c r="Z109" s="1528"/>
      <c r="AA109" s="1528"/>
      <c r="AB109" s="1528"/>
      <c r="AC109" s="1528"/>
      <c r="AD109" s="1528"/>
      <c r="AE109" s="1528"/>
      <c r="AF109" s="1528"/>
      <c r="AG109" s="1528"/>
      <c r="AH109" s="1528"/>
      <c r="AI109" s="1528"/>
      <c r="AJ109" s="1528"/>
      <c r="AK109" s="1528"/>
      <c r="AL109" s="1"/>
    </row>
    <row r="110" spans="1:38">
      <c r="A110" s="283"/>
      <c r="B110" s="1"/>
      <c r="C110" s="358"/>
      <c r="D110" s="358"/>
      <c r="E110" s="283"/>
      <c r="F110" s="283"/>
      <c r="G110" s="1528"/>
      <c r="H110" s="1528"/>
      <c r="I110" s="1528"/>
      <c r="J110" s="1528"/>
      <c r="K110" s="1528"/>
      <c r="L110" s="1528"/>
      <c r="M110" s="1528"/>
      <c r="N110" s="1528"/>
      <c r="O110" s="1528"/>
      <c r="P110" s="1528"/>
      <c r="Q110" s="1528"/>
      <c r="R110" s="1528"/>
      <c r="S110" s="1528"/>
      <c r="T110" s="1528"/>
      <c r="U110" s="1528"/>
      <c r="V110" s="1528"/>
      <c r="W110" s="1528"/>
      <c r="X110" s="1528"/>
      <c r="Y110" s="1528"/>
      <c r="Z110" s="1528"/>
      <c r="AA110" s="1528"/>
      <c r="AB110" s="1528"/>
      <c r="AC110" s="1528"/>
      <c r="AD110" s="1528"/>
      <c r="AE110" s="1528"/>
      <c r="AF110" s="1528"/>
      <c r="AG110" s="1528"/>
      <c r="AH110" s="1528"/>
      <c r="AI110" s="1528"/>
      <c r="AJ110" s="1528"/>
      <c r="AK110" s="1528"/>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6" t="s">
        <v>1866</v>
      </c>
      <c r="F112" s="1536"/>
      <c r="G112" s="1536"/>
      <c r="H112" s="1536"/>
      <c r="I112" s="1536"/>
      <c r="J112" s="1536"/>
      <c r="K112" s="1536"/>
      <c r="L112" s="1536"/>
      <c r="M112" s="1536"/>
      <c r="N112" s="1536"/>
      <c r="O112" s="1536"/>
      <c r="P112" s="1536"/>
      <c r="Q112" s="1536"/>
      <c r="R112" s="1536"/>
      <c r="S112" s="1536"/>
      <c r="T112" s="1536"/>
      <c r="U112" s="1536"/>
      <c r="V112" s="1536"/>
      <c r="W112" s="1536"/>
      <c r="X112" s="1536"/>
      <c r="Y112" s="1536"/>
      <c r="Z112" s="1536"/>
      <c r="AA112" s="1536"/>
      <c r="AB112" s="1536"/>
      <c r="AC112" s="1536"/>
      <c r="AD112" s="1536"/>
      <c r="AE112" s="1536"/>
      <c r="AF112" s="1536"/>
      <c r="AG112" s="1536"/>
      <c r="AH112" s="1536"/>
      <c r="AI112" s="1536"/>
      <c r="AJ112" s="1536"/>
      <c r="AK112" s="1536"/>
      <c r="AL112" s="1"/>
    </row>
    <row r="113" spans="1:38">
      <c r="A113" s="283"/>
      <c r="B113" s="1"/>
      <c r="C113" s="1"/>
      <c r="D113" s="1051"/>
      <c r="E113" s="1536"/>
      <c r="F113" s="1536"/>
      <c r="G113" s="1536"/>
      <c r="H113" s="1536"/>
      <c r="I113" s="1536"/>
      <c r="J113" s="1536"/>
      <c r="K113" s="1536"/>
      <c r="L113" s="1536"/>
      <c r="M113" s="1536"/>
      <c r="N113" s="1536"/>
      <c r="O113" s="1536"/>
      <c r="P113" s="1536"/>
      <c r="Q113" s="1536"/>
      <c r="R113" s="1536"/>
      <c r="S113" s="1536"/>
      <c r="T113" s="1536"/>
      <c r="U113" s="1536"/>
      <c r="V113" s="1536"/>
      <c r="W113" s="1536"/>
      <c r="X113" s="1536"/>
      <c r="Y113" s="1536"/>
      <c r="Z113" s="1536"/>
      <c r="AA113" s="1536"/>
      <c r="AB113" s="1536"/>
      <c r="AC113" s="1536"/>
      <c r="AD113" s="1536"/>
      <c r="AE113" s="1536"/>
      <c r="AF113" s="1536"/>
      <c r="AG113" s="1536"/>
      <c r="AH113" s="1536"/>
      <c r="AI113" s="1536"/>
      <c r="AJ113" s="1536"/>
      <c r="AK113" s="153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8" t="s">
        <v>1869</v>
      </c>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
    </row>
    <row r="146" spans="1:38">
      <c r="A146" s="1"/>
      <c r="B146" s="1"/>
      <c r="C146" s="1"/>
      <c r="D146" s="1"/>
      <c r="E146" s="1528"/>
      <c r="F146" s="1528"/>
      <c r="G146" s="1528"/>
      <c r="H146" s="1528"/>
      <c r="I146" s="1528"/>
      <c r="J146" s="1528"/>
      <c r="K146" s="1528"/>
      <c r="L146" s="1528"/>
      <c r="M146" s="1528"/>
      <c r="N146" s="1528"/>
      <c r="O146" s="1528"/>
      <c r="P146" s="1528"/>
      <c r="Q146" s="1528"/>
      <c r="R146" s="1528"/>
      <c r="S146" s="1528"/>
      <c r="T146" s="1528"/>
      <c r="U146" s="1528"/>
      <c r="V146" s="1528"/>
      <c r="W146" s="1528"/>
      <c r="X146" s="1528"/>
      <c r="Y146" s="1528"/>
      <c r="Z146" s="1528"/>
      <c r="AA146" s="1528"/>
      <c r="AB146" s="1528"/>
      <c r="AC146" s="1528"/>
      <c r="AD146" s="1528"/>
      <c r="AE146" s="1528"/>
      <c r="AF146" s="1528"/>
      <c r="AG146" s="1528"/>
      <c r="AH146" s="1528"/>
      <c r="AI146" s="1528"/>
      <c r="AJ146" s="1528"/>
      <c r="AK146" s="152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8" t="s">
        <v>1870</v>
      </c>
      <c r="H158" s="1528"/>
      <c r="I158" s="1528"/>
      <c r="J158" s="1528"/>
      <c r="K158" s="1528"/>
      <c r="L158" s="1528"/>
      <c r="M158" s="1528"/>
      <c r="N158" s="1528"/>
      <c r="O158" s="1528"/>
      <c r="P158" s="1528"/>
      <c r="Q158" s="1528"/>
      <c r="R158" s="1528"/>
      <c r="S158" s="1528"/>
      <c r="T158" s="1528"/>
      <c r="U158" s="1528"/>
      <c r="V158" s="1528"/>
      <c r="W158" s="1528"/>
      <c r="X158" s="1528"/>
      <c r="Y158" s="1528"/>
      <c r="Z158" s="1528"/>
      <c r="AA158" s="1528"/>
      <c r="AB158" s="1528"/>
      <c r="AC158" s="1528"/>
      <c r="AD158" s="1528"/>
      <c r="AE158" s="1528"/>
      <c r="AF158" s="1528"/>
      <c r="AG158" s="1528"/>
      <c r="AH158" s="1528"/>
      <c r="AI158" s="1528"/>
      <c r="AJ158" s="1528"/>
      <c r="AK158" s="1528"/>
      <c r="AL158" s="1"/>
    </row>
    <row r="159" spans="1:38">
      <c r="A159" s="1"/>
      <c r="B159" s="1"/>
      <c r="C159" s="1"/>
      <c r="D159" s="1"/>
      <c r="E159" s="1"/>
      <c r="F159" s="1"/>
      <c r="G159" s="1528"/>
      <c r="H159" s="1528"/>
      <c r="I159" s="1528"/>
      <c r="J159" s="1528"/>
      <c r="K159" s="1528"/>
      <c r="L159" s="1528"/>
      <c r="M159" s="1528"/>
      <c r="N159" s="1528"/>
      <c r="O159" s="1528"/>
      <c r="P159" s="1528"/>
      <c r="Q159" s="1528"/>
      <c r="R159" s="1528"/>
      <c r="S159" s="1528"/>
      <c r="T159" s="1528"/>
      <c r="U159" s="1528"/>
      <c r="V159" s="1528"/>
      <c r="W159" s="1528"/>
      <c r="X159" s="1528"/>
      <c r="Y159" s="1528"/>
      <c r="Z159" s="1528"/>
      <c r="AA159" s="1528"/>
      <c r="AB159" s="1528"/>
      <c r="AC159" s="1528"/>
      <c r="AD159" s="1528"/>
      <c r="AE159" s="1528"/>
      <c r="AF159" s="1528"/>
      <c r="AG159" s="1528"/>
      <c r="AH159" s="1528"/>
      <c r="AI159" s="1528"/>
      <c r="AJ159" s="1528"/>
      <c r="AK159" s="152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9"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8" t="s">
        <v>1871</v>
      </c>
      <c r="H222" s="1528"/>
      <c r="I222" s="1528"/>
      <c r="J222" s="1528"/>
      <c r="K222" s="1528"/>
      <c r="L222" s="1528"/>
      <c r="M222" s="1528"/>
      <c r="N222" s="1528"/>
      <c r="O222" s="1528"/>
      <c r="P222" s="1528"/>
      <c r="Q222" s="1528"/>
      <c r="R222" s="1528"/>
      <c r="S222" s="1528"/>
      <c r="T222" s="1528"/>
      <c r="U222" s="1528"/>
      <c r="V222" s="1528"/>
      <c r="W222" s="1528"/>
      <c r="X222" s="1528"/>
      <c r="Y222" s="1528"/>
      <c r="Z222" s="1528"/>
      <c r="AA222" s="1528"/>
      <c r="AB222" s="1528"/>
      <c r="AC222" s="1528"/>
      <c r="AD222" s="1528"/>
      <c r="AE222" s="1528"/>
      <c r="AF222" s="1528"/>
      <c r="AG222" s="1528"/>
      <c r="AH222" s="1528"/>
      <c r="AI222" s="1528"/>
      <c r="AJ222" s="1528"/>
      <c r="AK222" s="1528"/>
      <c r="AL222" s="1"/>
    </row>
    <row r="223" spans="1:38">
      <c r="A223" s="1"/>
      <c r="B223" s="283"/>
      <c r="C223" s="283"/>
      <c r="D223" s="358"/>
      <c r="E223" s="1"/>
      <c r="F223" s="1"/>
      <c r="G223" s="1528"/>
      <c r="H223" s="1528"/>
      <c r="I223" s="1528"/>
      <c r="J223" s="1528"/>
      <c r="K223" s="1528"/>
      <c r="L223" s="1528"/>
      <c r="M223" s="1528"/>
      <c r="N223" s="1528"/>
      <c r="O223" s="1528"/>
      <c r="P223" s="1528"/>
      <c r="Q223" s="1528"/>
      <c r="R223" s="1528"/>
      <c r="S223" s="1528"/>
      <c r="T223" s="1528"/>
      <c r="U223" s="1528"/>
      <c r="V223" s="1528"/>
      <c r="W223" s="1528"/>
      <c r="X223" s="1528"/>
      <c r="Y223" s="1528"/>
      <c r="Z223" s="1528"/>
      <c r="AA223" s="1528"/>
      <c r="AB223" s="1528"/>
      <c r="AC223" s="1528"/>
      <c r="AD223" s="1528"/>
      <c r="AE223" s="1528"/>
      <c r="AF223" s="1528"/>
      <c r="AG223" s="1528"/>
      <c r="AH223" s="1528"/>
      <c r="AI223" s="1528"/>
      <c r="AJ223" s="1528"/>
      <c r="AK223" s="152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8" t="s">
        <v>1872</v>
      </c>
      <c r="H233" s="1528"/>
      <c r="I233" s="1528"/>
      <c r="J233" s="1528"/>
      <c r="K233" s="1528"/>
      <c r="L233" s="1528"/>
      <c r="M233" s="1528"/>
      <c r="N233" s="1528"/>
      <c r="O233" s="1528"/>
      <c r="P233" s="1528"/>
      <c r="Q233" s="1528"/>
      <c r="R233" s="1528"/>
      <c r="S233" s="1528"/>
      <c r="T233" s="1528"/>
      <c r="U233" s="1528"/>
      <c r="V233" s="1528"/>
      <c r="W233" s="1528"/>
      <c r="X233" s="1528"/>
      <c r="Y233" s="1528"/>
      <c r="Z233" s="1528"/>
      <c r="AA233" s="1528"/>
      <c r="AB233" s="1528"/>
      <c r="AC233" s="1528"/>
      <c r="AD233" s="1528"/>
      <c r="AE233" s="1528"/>
      <c r="AF233" s="1528"/>
      <c r="AG233" s="1528"/>
      <c r="AH233" s="1528"/>
      <c r="AI233" s="1528"/>
      <c r="AJ233" s="1528"/>
      <c r="AK233" s="1528"/>
      <c r="AL233" s="1"/>
    </row>
    <row r="234" spans="1:38">
      <c r="A234" s="1"/>
      <c r="B234" s="283"/>
      <c r="C234" s="283"/>
      <c r="D234" s="1"/>
      <c r="E234" s="1"/>
      <c r="F234" s="283"/>
      <c r="G234" s="1528"/>
      <c r="H234" s="1528"/>
      <c r="I234" s="1528"/>
      <c r="J234" s="1528"/>
      <c r="K234" s="1528"/>
      <c r="L234" s="1528"/>
      <c r="M234" s="1528"/>
      <c r="N234" s="1528"/>
      <c r="O234" s="1528"/>
      <c r="P234" s="1528"/>
      <c r="Q234" s="1528"/>
      <c r="R234" s="1528"/>
      <c r="S234" s="1528"/>
      <c r="T234" s="1528"/>
      <c r="U234" s="1528"/>
      <c r="V234" s="1528"/>
      <c r="W234" s="1528"/>
      <c r="X234" s="1528"/>
      <c r="Y234" s="1528"/>
      <c r="Z234" s="1528"/>
      <c r="AA234" s="1528"/>
      <c r="AB234" s="1528"/>
      <c r="AC234" s="1528"/>
      <c r="AD234" s="1528"/>
      <c r="AE234" s="1528"/>
      <c r="AF234" s="1528"/>
      <c r="AG234" s="1528"/>
      <c r="AH234" s="1528"/>
      <c r="AI234" s="1528"/>
      <c r="AJ234" s="1528"/>
      <c r="AK234" s="1528"/>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8" t="s">
        <v>1873</v>
      </c>
      <c r="H236" s="1528"/>
      <c r="I236" s="1528"/>
      <c r="J236" s="1528"/>
      <c r="K236" s="1528"/>
      <c r="L236" s="1528"/>
      <c r="M236" s="1528"/>
      <c r="N236" s="1528"/>
      <c r="O236" s="1528"/>
      <c r="P236" s="1528"/>
      <c r="Q236" s="1528"/>
      <c r="R236" s="1528"/>
      <c r="S236" s="1528"/>
      <c r="T236" s="1528"/>
      <c r="U236" s="1528"/>
      <c r="V236" s="1528"/>
      <c r="W236" s="1528"/>
      <c r="X236" s="1528"/>
      <c r="Y236" s="1528"/>
      <c r="Z236" s="1528"/>
      <c r="AA236" s="1528"/>
      <c r="AB236" s="1528"/>
      <c r="AC236" s="1528"/>
      <c r="AD236" s="1528"/>
      <c r="AE236" s="1528"/>
      <c r="AF236" s="1528"/>
      <c r="AG236" s="1528"/>
      <c r="AH236" s="1528"/>
      <c r="AI236" s="1528"/>
      <c r="AJ236" s="1528"/>
      <c r="AK236" s="1528"/>
      <c r="AL236" s="1"/>
    </row>
    <row r="237" spans="1:38">
      <c r="A237" s="1"/>
      <c r="B237" s="283"/>
      <c r="C237" s="283"/>
      <c r="D237" s="1"/>
      <c r="E237" s="1"/>
      <c r="F237" s="283"/>
      <c r="G237" s="1528"/>
      <c r="H237" s="1528"/>
      <c r="I237" s="1528"/>
      <c r="J237" s="1528"/>
      <c r="K237" s="1528"/>
      <c r="L237" s="1528"/>
      <c r="M237" s="1528"/>
      <c r="N237" s="1528"/>
      <c r="O237" s="1528"/>
      <c r="P237" s="1528"/>
      <c r="Q237" s="1528"/>
      <c r="R237" s="1528"/>
      <c r="S237" s="1528"/>
      <c r="T237" s="1528"/>
      <c r="U237" s="1528"/>
      <c r="V237" s="1528"/>
      <c r="W237" s="1528"/>
      <c r="X237" s="1528"/>
      <c r="Y237" s="1528"/>
      <c r="Z237" s="1528"/>
      <c r="AA237" s="1528"/>
      <c r="AB237" s="1528"/>
      <c r="AC237" s="1528"/>
      <c r="AD237" s="1528"/>
      <c r="AE237" s="1528"/>
      <c r="AF237" s="1528"/>
      <c r="AG237" s="1528"/>
      <c r="AH237" s="1528"/>
      <c r="AI237" s="1528"/>
      <c r="AJ237" s="1528"/>
      <c r="AK237" s="152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7" t="s">
        <v>1992</v>
      </c>
      <c r="F343" s="1537"/>
      <c r="G343" s="1537"/>
      <c r="H343" s="1537"/>
      <c r="I343" s="1537"/>
      <c r="J343" s="1537"/>
      <c r="K343" s="1537"/>
      <c r="L343" s="1537"/>
      <c r="M343" s="1537"/>
      <c r="N343" s="1537"/>
      <c r="O343" s="1537"/>
      <c r="P343" s="1537"/>
      <c r="Q343" s="1537"/>
      <c r="R343" s="1537"/>
      <c r="S343" s="1537"/>
      <c r="T343" s="1537"/>
      <c r="U343" s="1537"/>
      <c r="V343" s="1537"/>
      <c r="W343" s="1537"/>
      <c r="X343" s="1537"/>
      <c r="Y343" s="1537"/>
      <c r="Z343" s="1537"/>
      <c r="AA343" s="1537"/>
      <c r="AB343" s="1537"/>
      <c r="AC343" s="1537"/>
      <c r="AD343" s="1537"/>
      <c r="AE343" s="1537"/>
      <c r="AF343" s="1537"/>
      <c r="AG343" s="1537"/>
      <c r="AH343" s="1537"/>
      <c r="AI343" s="1537"/>
      <c r="AJ343" s="1537"/>
      <c r="AK343" s="1537"/>
      <c r="AL343" s="1"/>
    </row>
    <row r="344" spans="1:38">
      <c r="A344" s="1"/>
      <c r="B344" s="358"/>
      <c r="C344" s="1"/>
      <c r="D344" s="1"/>
      <c r="E344" s="1537"/>
      <c r="F344" s="1537"/>
      <c r="G344" s="1537"/>
      <c r="H344" s="1537"/>
      <c r="I344" s="1537"/>
      <c r="J344" s="1537"/>
      <c r="K344" s="1537"/>
      <c r="L344" s="1537"/>
      <c r="M344" s="1537"/>
      <c r="N344" s="1537"/>
      <c r="O344" s="1537"/>
      <c r="P344" s="1537"/>
      <c r="Q344" s="1537"/>
      <c r="R344" s="1537"/>
      <c r="S344" s="1537"/>
      <c r="T344" s="1537"/>
      <c r="U344" s="1537"/>
      <c r="V344" s="1537"/>
      <c r="W344" s="1537"/>
      <c r="X344" s="1537"/>
      <c r="Y344" s="1537"/>
      <c r="Z344" s="1537"/>
      <c r="AA344" s="1537"/>
      <c r="AB344" s="1537"/>
      <c r="AC344" s="1537"/>
      <c r="AD344" s="1537"/>
      <c r="AE344" s="1537"/>
      <c r="AF344" s="1537"/>
      <c r="AG344" s="1537"/>
      <c r="AH344" s="1537"/>
      <c r="AI344" s="1537"/>
      <c r="AJ344" s="1537"/>
      <c r="AK344" s="1537"/>
      <c r="AL344" s="1"/>
    </row>
    <row r="345" spans="1:38">
      <c r="A345" s="1"/>
      <c r="B345" s="358"/>
      <c r="C345" s="1"/>
      <c r="D345" s="1"/>
      <c r="E345" s="1537"/>
      <c r="F345" s="1537"/>
      <c r="G345" s="1537"/>
      <c r="H345" s="1537"/>
      <c r="I345" s="1537"/>
      <c r="J345" s="1537"/>
      <c r="K345" s="1537"/>
      <c r="L345" s="1537"/>
      <c r="M345" s="1537"/>
      <c r="N345" s="1537"/>
      <c r="O345" s="1537"/>
      <c r="P345" s="1537"/>
      <c r="Q345" s="1537"/>
      <c r="R345" s="1537"/>
      <c r="S345" s="1537"/>
      <c r="T345" s="1537"/>
      <c r="U345" s="1537"/>
      <c r="V345" s="1537"/>
      <c r="W345" s="1537"/>
      <c r="X345" s="1537"/>
      <c r="Y345" s="1537"/>
      <c r="Z345" s="1537"/>
      <c r="AA345" s="1537"/>
      <c r="AB345" s="1537"/>
      <c r="AC345" s="1537"/>
      <c r="AD345" s="1537"/>
      <c r="AE345" s="1537"/>
      <c r="AF345" s="1537"/>
      <c r="AG345" s="1537"/>
      <c r="AH345" s="1537"/>
      <c r="AI345" s="1537"/>
      <c r="AJ345" s="1537"/>
      <c r="AK345" s="1537"/>
      <c r="AL345" s="1"/>
    </row>
    <row r="346" spans="1:38">
      <c r="A346" s="1"/>
      <c r="B346" s="358"/>
      <c r="C346" s="1"/>
      <c r="D346" s="1"/>
      <c r="E346" s="1537"/>
      <c r="F346" s="1537"/>
      <c r="G346" s="1537"/>
      <c r="H346" s="1537"/>
      <c r="I346" s="1537"/>
      <c r="J346" s="1537"/>
      <c r="K346" s="1537"/>
      <c r="L346" s="1537"/>
      <c r="M346" s="1537"/>
      <c r="N346" s="1537"/>
      <c r="O346" s="1537"/>
      <c r="P346" s="1537"/>
      <c r="Q346" s="1537"/>
      <c r="R346" s="1537"/>
      <c r="S346" s="1537"/>
      <c r="T346" s="1537"/>
      <c r="U346" s="1537"/>
      <c r="V346" s="1537"/>
      <c r="W346" s="1537"/>
      <c r="X346" s="1537"/>
      <c r="Y346" s="1537"/>
      <c r="Z346" s="1537"/>
      <c r="AA346" s="1537"/>
      <c r="AB346" s="1537"/>
      <c r="AC346" s="1537"/>
      <c r="AD346" s="1537"/>
      <c r="AE346" s="1537"/>
      <c r="AF346" s="1537"/>
      <c r="AG346" s="1537"/>
      <c r="AH346" s="1537"/>
      <c r="AI346" s="1537"/>
      <c r="AJ346" s="1537"/>
      <c r="AK346" s="1537"/>
      <c r="AL346" s="1"/>
    </row>
    <row r="347" spans="1:38">
      <c r="A347" s="1"/>
      <c r="B347" s="358"/>
      <c r="C347" s="1"/>
      <c r="D347" s="1"/>
      <c r="E347" s="1537"/>
      <c r="F347" s="1537"/>
      <c r="G347" s="1537"/>
      <c r="H347" s="1537"/>
      <c r="I347" s="1537"/>
      <c r="J347" s="1537"/>
      <c r="K347" s="1537"/>
      <c r="L347" s="1537"/>
      <c r="M347" s="1537"/>
      <c r="N347" s="1537"/>
      <c r="O347" s="1537"/>
      <c r="P347" s="1537"/>
      <c r="Q347" s="1537"/>
      <c r="R347" s="1537"/>
      <c r="S347" s="1537"/>
      <c r="T347" s="1537"/>
      <c r="U347" s="1537"/>
      <c r="V347" s="1537"/>
      <c r="W347" s="1537"/>
      <c r="X347" s="1537"/>
      <c r="Y347" s="1537"/>
      <c r="Z347" s="1537"/>
      <c r="AA347" s="1537"/>
      <c r="AB347" s="1537"/>
      <c r="AC347" s="1537"/>
      <c r="AD347" s="1537"/>
      <c r="AE347" s="1537"/>
      <c r="AF347" s="1537"/>
      <c r="AG347" s="1537"/>
      <c r="AH347" s="1537"/>
      <c r="AI347" s="1537"/>
      <c r="AJ347" s="1537"/>
      <c r="AK347" s="1537"/>
      <c r="AL347" s="1"/>
    </row>
    <row r="348" spans="1:38">
      <c r="A348" s="1"/>
      <c r="B348" s="358"/>
      <c r="C348" s="1"/>
      <c r="D348" s="1"/>
      <c r="E348" s="283" t="s">
        <v>982</v>
      </c>
      <c r="F348" s="1528" t="s">
        <v>1993</v>
      </c>
      <c r="G348" s="1535"/>
      <c r="H348" s="1535"/>
      <c r="I348" s="1535"/>
      <c r="J348" s="1535"/>
      <c r="K348" s="1535"/>
      <c r="L348" s="1535"/>
      <c r="M348" s="1535"/>
      <c r="N348" s="1535"/>
      <c r="O348" s="1535"/>
      <c r="P348" s="1535"/>
      <c r="Q348" s="1535"/>
      <c r="R348" s="1535"/>
      <c r="S348" s="1535"/>
      <c r="T348" s="1535"/>
      <c r="U348" s="1535"/>
      <c r="V348" s="1535"/>
      <c r="W348" s="1535"/>
      <c r="X348" s="1535"/>
      <c r="Y348" s="1535"/>
      <c r="Z348" s="1535"/>
      <c r="AA348" s="1535"/>
      <c r="AB348" s="1535"/>
      <c r="AC348" s="1535"/>
      <c r="AD348" s="1535"/>
      <c r="AE348" s="1535"/>
      <c r="AF348" s="1535"/>
      <c r="AG348" s="1535"/>
      <c r="AH348" s="1535"/>
      <c r="AI348" s="1535"/>
      <c r="AJ348" s="1535"/>
      <c r="AK348" s="1535"/>
      <c r="AL348" s="1"/>
    </row>
    <row r="349" spans="1:38">
      <c r="A349" s="1"/>
      <c r="B349" s="358"/>
      <c r="C349" s="1"/>
      <c r="D349" s="1"/>
      <c r="E349" s="283"/>
      <c r="F349" s="1528"/>
      <c r="G349" s="1535"/>
      <c r="H349" s="1535"/>
      <c r="I349" s="1535"/>
      <c r="J349" s="1535"/>
      <c r="K349" s="1535"/>
      <c r="L349" s="1535"/>
      <c r="M349" s="1535"/>
      <c r="N349" s="1535"/>
      <c r="O349" s="1535"/>
      <c r="P349" s="1535"/>
      <c r="Q349" s="1535"/>
      <c r="R349" s="1535"/>
      <c r="S349" s="1535"/>
      <c r="T349" s="1535"/>
      <c r="U349" s="1535"/>
      <c r="V349" s="1535"/>
      <c r="W349" s="1535"/>
      <c r="X349" s="1535"/>
      <c r="Y349" s="1535"/>
      <c r="Z349" s="1535"/>
      <c r="AA349" s="1535"/>
      <c r="AB349" s="1535"/>
      <c r="AC349" s="1535"/>
      <c r="AD349" s="1535"/>
      <c r="AE349" s="1535"/>
      <c r="AF349" s="1535"/>
      <c r="AG349" s="1535"/>
      <c r="AH349" s="1535"/>
      <c r="AI349" s="1535"/>
      <c r="AJ349" s="1535"/>
      <c r="AK349" s="1535"/>
      <c r="AL349" s="1"/>
    </row>
    <row r="350" spans="1:38">
      <c r="A350" s="1"/>
      <c r="B350" s="358"/>
      <c r="C350" s="1"/>
      <c r="D350" s="1"/>
      <c r="E350" s="283"/>
      <c r="F350" s="1535"/>
      <c r="G350" s="1535"/>
      <c r="H350" s="1535"/>
      <c r="I350" s="1535"/>
      <c r="J350" s="1535"/>
      <c r="K350" s="1535"/>
      <c r="L350" s="1535"/>
      <c r="M350" s="1535"/>
      <c r="N350" s="1535"/>
      <c r="O350" s="1535"/>
      <c r="P350" s="1535"/>
      <c r="Q350" s="1535"/>
      <c r="R350" s="1535"/>
      <c r="S350" s="1535"/>
      <c r="T350" s="1535"/>
      <c r="U350" s="1535"/>
      <c r="V350" s="1535"/>
      <c r="W350" s="1535"/>
      <c r="X350" s="1535"/>
      <c r="Y350" s="1535"/>
      <c r="Z350" s="1535"/>
      <c r="AA350" s="1535"/>
      <c r="AB350" s="1535"/>
      <c r="AC350" s="1535"/>
      <c r="AD350" s="1535"/>
      <c r="AE350" s="1535"/>
      <c r="AF350" s="1535"/>
      <c r="AG350" s="1535"/>
      <c r="AH350" s="1535"/>
      <c r="AI350" s="1535"/>
      <c r="AJ350" s="1535"/>
      <c r="AK350" s="1535"/>
      <c r="AL350" s="1"/>
    </row>
    <row r="351" spans="1:38">
      <c r="A351" s="1"/>
      <c r="B351" s="358"/>
      <c r="C351" s="1"/>
      <c r="D351" s="1"/>
      <c r="E351" s="283"/>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
    </row>
    <row r="352" spans="1:38">
      <c r="A352" s="1"/>
      <c r="B352" s="358"/>
      <c r="C352" s="1"/>
      <c r="D352" s="1"/>
      <c r="E352" s="283" t="s">
        <v>983</v>
      </c>
      <c r="F352" s="1528" t="s">
        <v>1994</v>
      </c>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
    </row>
    <row r="353" spans="1:38">
      <c r="A353" s="1"/>
      <c r="B353" s="358"/>
      <c r="C353" s="1"/>
      <c r="D353" s="1"/>
      <c r="E353" s="1"/>
      <c r="F353" s="1535"/>
      <c r="G353" s="1535"/>
      <c r="H353" s="1535"/>
      <c r="I353" s="1535"/>
      <c r="J353" s="1535"/>
      <c r="K353" s="1535"/>
      <c r="L353" s="1535"/>
      <c r="M353" s="1535"/>
      <c r="N353" s="1535"/>
      <c r="O353" s="1535"/>
      <c r="P353" s="1535"/>
      <c r="Q353" s="1535"/>
      <c r="R353" s="1535"/>
      <c r="S353" s="1535"/>
      <c r="T353" s="1535"/>
      <c r="U353" s="1535"/>
      <c r="V353" s="1535"/>
      <c r="W353" s="1535"/>
      <c r="X353" s="1535"/>
      <c r="Y353" s="1535"/>
      <c r="Z353" s="1535"/>
      <c r="AA353" s="1535"/>
      <c r="AB353" s="1535"/>
      <c r="AC353" s="1535"/>
      <c r="AD353" s="1535"/>
      <c r="AE353" s="1535"/>
      <c r="AF353" s="1535"/>
      <c r="AG353" s="1535"/>
      <c r="AH353" s="1535"/>
      <c r="AI353" s="1535"/>
      <c r="AJ353" s="1535"/>
      <c r="AK353" s="1535"/>
      <c r="AL353" s="1"/>
    </row>
    <row r="354" spans="1:38">
      <c r="A354" s="1"/>
      <c r="B354" s="358"/>
      <c r="C354" s="1"/>
      <c r="D354" s="1"/>
      <c r="E354" s="1"/>
      <c r="F354" s="1535"/>
      <c r="G354" s="1535"/>
      <c r="H354" s="1535"/>
      <c r="I354" s="1535"/>
      <c r="J354" s="1535"/>
      <c r="K354" s="1535"/>
      <c r="L354" s="1535"/>
      <c r="M354" s="1535"/>
      <c r="N354" s="1535"/>
      <c r="O354" s="1535"/>
      <c r="P354" s="1535"/>
      <c r="Q354" s="1535"/>
      <c r="R354" s="1535"/>
      <c r="S354" s="1535"/>
      <c r="T354" s="1535"/>
      <c r="U354" s="1535"/>
      <c r="V354" s="1535"/>
      <c r="W354" s="1535"/>
      <c r="X354" s="1535"/>
      <c r="Y354" s="1535"/>
      <c r="Z354" s="1535"/>
      <c r="AA354" s="1535"/>
      <c r="AB354" s="1535"/>
      <c r="AC354" s="1535"/>
      <c r="AD354" s="1535"/>
      <c r="AE354" s="1535"/>
      <c r="AF354" s="1535"/>
      <c r="AG354" s="1535"/>
      <c r="AH354" s="1535"/>
      <c r="AI354" s="1535"/>
      <c r="AJ354" s="1535"/>
      <c r="AK354" s="1535"/>
      <c r="AL354" s="1"/>
    </row>
    <row r="355" spans="1:38">
      <c r="A355" s="1"/>
      <c r="B355" s="358"/>
      <c r="C355" s="1"/>
      <c r="D355" s="1"/>
      <c r="E355" s="1"/>
      <c r="F355" s="1535"/>
      <c r="G355" s="1535"/>
      <c r="H355" s="1535"/>
      <c r="I355" s="1535"/>
      <c r="J355" s="1535"/>
      <c r="K355" s="1535"/>
      <c r="L355" s="1535"/>
      <c r="M355" s="1535"/>
      <c r="N355" s="1535"/>
      <c r="O355" s="1535"/>
      <c r="P355" s="1535"/>
      <c r="Q355" s="1535"/>
      <c r="R355" s="1535"/>
      <c r="S355" s="1535"/>
      <c r="T355" s="1535"/>
      <c r="U355" s="1535"/>
      <c r="V355" s="1535"/>
      <c r="W355" s="1535"/>
      <c r="X355" s="1535"/>
      <c r="Y355" s="1535"/>
      <c r="Z355" s="1535"/>
      <c r="AA355" s="1535"/>
      <c r="AB355" s="1535"/>
      <c r="AC355" s="1535"/>
      <c r="AD355" s="1535"/>
      <c r="AE355" s="1535"/>
      <c r="AF355" s="1535"/>
      <c r="AG355" s="1535"/>
      <c r="AH355" s="1535"/>
      <c r="AI355" s="1535"/>
      <c r="AJ355" s="1535"/>
      <c r="AK355" s="1535"/>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4" customFormat="1">
      <c r="A365" s="1"/>
      <c r="B365" s="358"/>
      <c r="C365" s="1"/>
      <c r="D365" s="1"/>
      <c r="E365" s="1534" t="s">
        <v>1989</v>
      </c>
    </row>
    <row r="366" spans="1:38" s="1534" customFormat="1">
      <c r="A366" s="1"/>
      <c r="B366" s="358"/>
      <c r="C366" s="1"/>
      <c r="D366" s="1"/>
    </row>
    <row r="367" spans="1:38">
      <c r="A367" s="1"/>
      <c r="B367" s="358"/>
      <c r="C367" s="1"/>
      <c r="D367" s="1"/>
      <c r="E367" s="1"/>
      <c r="F367" s="1532" t="s">
        <v>1990</v>
      </c>
      <c r="G367" s="1533"/>
      <c r="H367" s="1533"/>
      <c r="I367" s="1533"/>
      <c r="J367" s="1533"/>
      <c r="K367" s="1533"/>
      <c r="L367" s="1533"/>
      <c r="M367" s="1533"/>
      <c r="N367" s="1533"/>
      <c r="O367" s="1533"/>
      <c r="P367" s="1533"/>
      <c r="Q367" s="1533"/>
      <c r="R367" s="1533"/>
      <c r="S367" s="1533"/>
      <c r="T367" s="1533"/>
      <c r="U367" s="1533"/>
      <c r="V367" s="1533"/>
      <c r="W367" s="1533"/>
      <c r="X367" s="1533"/>
      <c r="Y367" s="1533"/>
      <c r="Z367" s="1533"/>
      <c r="AA367" s="1533"/>
      <c r="AB367" s="1533"/>
      <c r="AC367" s="1533"/>
      <c r="AD367" s="1533"/>
      <c r="AE367" s="1533"/>
      <c r="AF367" s="1533"/>
      <c r="AG367" s="1533"/>
      <c r="AH367" s="1533"/>
      <c r="AI367" s="1533"/>
      <c r="AJ367" s="1533"/>
      <c r="AK367" s="1533"/>
      <c r="AL367" s="1533"/>
    </row>
    <row r="368" spans="1:38">
      <c r="A368" s="1"/>
      <c r="B368" s="358"/>
      <c r="C368" s="1"/>
      <c r="D368" s="1"/>
      <c r="E368" s="1"/>
      <c r="F368" s="1533"/>
      <c r="G368" s="1533"/>
      <c r="H368" s="1533"/>
      <c r="I368" s="1533"/>
      <c r="J368" s="1533"/>
      <c r="K368" s="1533"/>
      <c r="L368" s="1533"/>
      <c r="M368" s="1533"/>
      <c r="N368" s="1533"/>
      <c r="O368" s="1533"/>
      <c r="P368" s="1533"/>
      <c r="Q368" s="1533"/>
      <c r="R368" s="1533"/>
      <c r="S368" s="1533"/>
      <c r="T368" s="1533"/>
      <c r="U368" s="1533"/>
      <c r="V368" s="1533"/>
      <c r="W368" s="1533"/>
      <c r="X368" s="1533"/>
      <c r="Y368" s="1533"/>
      <c r="Z368" s="1533"/>
      <c r="AA368" s="1533"/>
      <c r="AB368" s="1533"/>
      <c r="AC368" s="1533"/>
      <c r="AD368" s="1533"/>
      <c r="AE368" s="1533"/>
      <c r="AF368" s="1533"/>
      <c r="AG368" s="1533"/>
      <c r="AH368" s="1533"/>
      <c r="AI368" s="1533"/>
      <c r="AJ368" s="1533"/>
      <c r="AK368" s="1533"/>
      <c r="AL368" s="153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0"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6" workbookViewId="0">
      <selection activeCell="E51" sqref="E51"/>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52" t="s">
        <v>2053</v>
      </c>
      <c r="B1" s="2652"/>
      <c r="C1" s="2652"/>
      <c r="D1" s="2652"/>
      <c r="E1" s="2652"/>
      <c r="F1" s="2652"/>
      <c r="G1" s="2652"/>
      <c r="H1" s="2652"/>
      <c r="I1" s="2652"/>
      <c r="J1" s="2652"/>
      <c r="K1" s="2652"/>
      <c r="L1" s="2652"/>
      <c r="M1" s="2652"/>
      <c r="N1" s="2652"/>
      <c r="O1" s="2652"/>
      <c r="P1" s="2652"/>
      <c r="Q1" s="2652"/>
      <c r="R1" s="2652"/>
      <c r="S1" s="2652"/>
    </row>
    <row r="2" spans="1:19" ht="15" customHeight="1">
      <c r="A2" s="2652"/>
      <c r="B2" s="2652"/>
      <c r="C2" s="2652"/>
      <c r="D2" s="2652"/>
      <c r="E2" s="2652"/>
      <c r="F2" s="2652"/>
      <c r="G2" s="2652"/>
      <c r="H2" s="2652"/>
      <c r="I2" s="2652"/>
      <c r="J2" s="2652"/>
      <c r="K2" s="2652"/>
      <c r="L2" s="2652"/>
      <c r="M2" s="2652"/>
      <c r="N2" s="2652"/>
      <c r="O2" s="2652"/>
      <c r="P2" s="2652"/>
      <c r="Q2" s="2652"/>
      <c r="R2" s="2652"/>
      <c r="S2" s="2652"/>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3" t="s">
        <v>1781</v>
      </c>
      <c r="C4" s="2653"/>
      <c r="D4" s="2653"/>
      <c r="E4" s="2653"/>
      <c r="F4" s="2653"/>
      <c r="G4" s="2653"/>
      <c r="H4" s="2653"/>
      <c r="I4" s="2653"/>
      <c r="J4" s="2653"/>
      <c r="K4" s="2653"/>
      <c r="L4" s="2653"/>
      <c r="M4" s="2653"/>
      <c r="N4" s="2653"/>
      <c r="O4" s="2653"/>
      <c r="P4" s="2653"/>
      <c r="Q4" s="2653"/>
      <c r="R4" s="2653"/>
      <c r="S4" s="792"/>
    </row>
    <row r="5" spans="1:19" ht="15" customHeight="1">
      <c r="A5" s="791"/>
      <c r="B5" s="2653"/>
      <c r="C5" s="2653"/>
      <c r="D5" s="2653"/>
      <c r="E5" s="2653"/>
      <c r="F5" s="2653"/>
      <c r="G5" s="2653"/>
      <c r="H5" s="2653"/>
      <c r="I5" s="2653"/>
      <c r="J5" s="2653"/>
      <c r="K5" s="2653"/>
      <c r="L5" s="2653"/>
      <c r="M5" s="2653"/>
      <c r="N5" s="2653"/>
      <c r="O5" s="2653"/>
      <c r="P5" s="2653"/>
      <c r="Q5" s="2653"/>
      <c r="R5" s="2653"/>
      <c r="S5" s="792"/>
    </row>
    <row r="6" spans="1:19" ht="15" customHeight="1">
      <c r="A6" s="791"/>
      <c r="B6" s="2653"/>
      <c r="C6" s="2653"/>
      <c r="D6" s="2653"/>
      <c r="E6" s="2653"/>
      <c r="F6" s="2653"/>
      <c r="G6" s="2653"/>
      <c r="H6" s="2653"/>
      <c r="I6" s="2653"/>
      <c r="J6" s="2653"/>
      <c r="K6" s="2653"/>
      <c r="L6" s="2653"/>
      <c r="M6" s="2653"/>
      <c r="N6" s="2653"/>
      <c r="O6" s="2653"/>
      <c r="P6" s="2653"/>
      <c r="Q6" s="2653"/>
      <c r="R6" s="2653"/>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53" t="s">
        <v>1856</v>
      </c>
      <c r="C8" s="2653"/>
      <c r="D8" s="2653"/>
      <c r="E8" s="2653"/>
      <c r="F8" s="2653"/>
      <c r="G8" s="2653"/>
      <c r="H8" s="2653"/>
      <c r="I8" s="2653"/>
      <c r="J8" s="2653"/>
      <c r="K8" s="2653"/>
      <c r="L8" s="2653"/>
      <c r="M8" s="2653"/>
      <c r="N8" s="2653"/>
      <c r="O8" s="2653"/>
      <c r="P8" s="2653"/>
      <c r="Q8" s="2653"/>
      <c r="R8" s="2653"/>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4" t="s">
        <v>1857</v>
      </c>
      <c r="C10" s="2654"/>
      <c r="D10" s="2654"/>
      <c r="E10" s="2654"/>
      <c r="F10" s="2654"/>
      <c r="G10" s="2654"/>
      <c r="H10" s="2654"/>
      <c r="I10" s="2654"/>
      <c r="J10" s="2654"/>
      <c r="K10" s="2654"/>
      <c r="L10" s="2654"/>
      <c r="M10" s="2654"/>
      <c r="N10" s="2654"/>
      <c r="O10" s="2654"/>
      <c r="P10" s="2654"/>
      <c r="Q10" s="2654"/>
      <c r="R10" s="2654"/>
      <c r="S10" s="792"/>
    </row>
    <row r="11" spans="1:19" ht="15" customHeight="1">
      <c r="A11" s="791"/>
      <c r="B11" s="2654"/>
      <c r="C11" s="2654"/>
      <c r="D11" s="2654"/>
      <c r="E11" s="2654"/>
      <c r="F11" s="2654"/>
      <c r="G11" s="2654"/>
      <c r="H11" s="2654"/>
      <c r="I11" s="2654"/>
      <c r="J11" s="2654"/>
      <c r="K11" s="2654"/>
      <c r="L11" s="2654"/>
      <c r="M11" s="2654"/>
      <c r="N11" s="2654"/>
      <c r="O11" s="2654"/>
      <c r="P11" s="2654"/>
      <c r="Q11" s="2654"/>
      <c r="R11" s="2654"/>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54" t="s">
        <v>2147</v>
      </c>
      <c r="C13" s="2654"/>
      <c r="D13" s="2654"/>
      <c r="E13" s="2654"/>
      <c r="F13" s="2654"/>
      <c r="G13" s="2654"/>
      <c r="H13" s="2654"/>
      <c r="I13" s="2654"/>
      <c r="J13" s="2654"/>
      <c r="K13" s="2654"/>
      <c r="L13" s="2654"/>
      <c r="M13" s="2654"/>
      <c r="N13" s="2654"/>
      <c r="O13" s="2654"/>
      <c r="P13" s="2654"/>
      <c r="Q13" s="2654"/>
      <c r="R13" s="2654"/>
      <c r="S13" s="792"/>
    </row>
    <row r="14" spans="1:19" ht="15" customHeight="1">
      <c r="A14" s="791"/>
      <c r="B14" s="2654"/>
      <c r="C14" s="2654"/>
      <c r="D14" s="2654"/>
      <c r="E14" s="2654"/>
      <c r="F14" s="2654"/>
      <c r="G14" s="2654"/>
      <c r="H14" s="2654"/>
      <c r="I14" s="2654"/>
      <c r="J14" s="2654"/>
      <c r="K14" s="2654"/>
      <c r="L14" s="2654"/>
      <c r="M14" s="2654"/>
      <c r="N14" s="2654"/>
      <c r="O14" s="2654"/>
      <c r="P14" s="2654"/>
      <c r="Q14" s="2654"/>
      <c r="R14" s="2654"/>
      <c r="S14" s="792"/>
    </row>
    <row r="15" spans="1:19" ht="15" customHeight="1">
      <c r="A15" s="791"/>
      <c r="B15" s="2654"/>
      <c r="C15" s="2654"/>
      <c r="D15" s="2654"/>
      <c r="E15" s="2654"/>
      <c r="F15" s="2654"/>
      <c r="G15" s="2654"/>
      <c r="H15" s="2654"/>
      <c r="I15" s="2654"/>
      <c r="J15" s="2654"/>
      <c r="K15" s="2654"/>
      <c r="L15" s="2654"/>
      <c r="M15" s="2654"/>
      <c r="N15" s="2654"/>
      <c r="O15" s="2654"/>
      <c r="P15" s="2654"/>
      <c r="Q15" s="2654"/>
      <c r="R15" s="2654"/>
      <c r="S15" s="792"/>
    </row>
    <row r="16" spans="1:19" ht="15" customHeight="1">
      <c r="A16" s="791"/>
      <c r="B16" s="2654"/>
      <c r="C16" s="2654"/>
      <c r="D16" s="2654"/>
      <c r="E16" s="2654"/>
      <c r="F16" s="2654"/>
      <c r="G16" s="2654"/>
      <c r="H16" s="2654"/>
      <c r="I16" s="2654"/>
      <c r="J16" s="2654"/>
      <c r="K16" s="2654"/>
      <c r="L16" s="2654"/>
      <c r="M16" s="2654"/>
      <c r="N16" s="2654"/>
      <c r="O16" s="2654"/>
      <c r="P16" s="2654"/>
      <c r="Q16" s="2654"/>
      <c r="R16" s="2654"/>
      <c r="S16" s="792"/>
    </row>
    <row r="17" spans="1:19" ht="15" customHeight="1">
      <c r="A17" s="791"/>
      <c r="B17" s="2654"/>
      <c r="C17" s="2654"/>
      <c r="D17" s="2654"/>
      <c r="E17" s="2654"/>
      <c r="F17" s="2654"/>
      <c r="G17" s="2654"/>
      <c r="H17" s="2654"/>
      <c r="I17" s="2654"/>
      <c r="J17" s="2654"/>
      <c r="K17" s="2654"/>
      <c r="L17" s="2654"/>
      <c r="M17" s="2654"/>
      <c r="N17" s="2654"/>
      <c r="O17" s="2654"/>
      <c r="P17" s="2654"/>
      <c r="Q17" s="2654"/>
      <c r="R17" s="265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5" t="s">
        <v>1971</v>
      </c>
      <c r="C19" s="2655"/>
      <c r="D19" s="2655"/>
      <c r="E19" s="2655"/>
      <c r="F19" s="2655"/>
      <c r="G19" s="2655"/>
      <c r="H19" s="2655"/>
      <c r="I19" s="2655"/>
      <c r="J19" s="2655"/>
      <c r="K19" s="2655"/>
      <c r="L19" s="2655"/>
      <c r="M19" s="2655"/>
      <c r="N19" s="2655"/>
      <c r="O19" s="2655"/>
      <c r="P19" s="2655"/>
      <c r="Q19" s="2655"/>
      <c r="R19" s="2655"/>
      <c r="S19" s="792"/>
    </row>
    <row r="20" spans="1:19" ht="15" customHeight="1">
      <c r="A20" s="791"/>
      <c r="B20" s="2655"/>
      <c r="C20" s="2655"/>
      <c r="D20" s="2655"/>
      <c r="E20" s="2655"/>
      <c r="F20" s="2655"/>
      <c r="G20" s="2655"/>
      <c r="H20" s="2655"/>
      <c r="I20" s="2655"/>
      <c r="J20" s="2655"/>
      <c r="K20" s="2655"/>
      <c r="L20" s="2655"/>
      <c r="M20" s="2655"/>
      <c r="N20" s="2655"/>
      <c r="O20" s="2655"/>
      <c r="P20" s="2655"/>
      <c r="Q20" s="2655"/>
      <c r="R20" s="2655"/>
      <c r="S20" s="792"/>
    </row>
    <row r="21" spans="1:19" ht="15" customHeight="1">
      <c r="A21" s="791"/>
      <c r="B21" s="2655"/>
      <c r="C21" s="2655"/>
      <c r="D21" s="2655"/>
      <c r="E21" s="2655"/>
      <c r="F21" s="2655"/>
      <c r="G21" s="2655"/>
      <c r="H21" s="2655"/>
      <c r="I21" s="2655"/>
      <c r="J21" s="2655"/>
      <c r="K21" s="2655"/>
      <c r="L21" s="2655"/>
      <c r="M21" s="2655"/>
      <c r="N21" s="2655"/>
      <c r="O21" s="2655"/>
      <c r="P21" s="2655"/>
      <c r="Q21" s="2655"/>
      <c r="R21" s="2655"/>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55" t="s">
        <v>1972</v>
      </c>
      <c r="C23" s="2655"/>
      <c r="D23" s="2655"/>
      <c r="E23" s="2655"/>
      <c r="F23" s="2655"/>
      <c r="G23" s="2655"/>
      <c r="H23" s="2655"/>
      <c r="I23" s="2655"/>
      <c r="J23" s="2655"/>
      <c r="K23" s="2655"/>
      <c r="L23" s="2655"/>
      <c r="M23" s="2655"/>
      <c r="N23" s="2655"/>
      <c r="O23" s="2655"/>
      <c r="P23" s="2655"/>
      <c r="Q23" s="2655"/>
      <c r="R23" s="2655"/>
      <c r="S23" s="792"/>
    </row>
    <row r="24" spans="1:19" ht="15" customHeight="1">
      <c r="A24" s="793"/>
      <c r="B24" s="2655"/>
      <c r="C24" s="2655"/>
      <c r="D24" s="2655"/>
      <c r="E24" s="2655"/>
      <c r="F24" s="2655"/>
      <c r="G24" s="2655"/>
      <c r="H24" s="2655"/>
      <c r="I24" s="2655"/>
      <c r="J24" s="2655"/>
      <c r="K24" s="2655"/>
      <c r="L24" s="2655"/>
      <c r="M24" s="2655"/>
      <c r="N24" s="2655"/>
      <c r="O24" s="2655"/>
      <c r="P24" s="2655"/>
      <c r="Q24" s="2655"/>
      <c r="R24" s="2655"/>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53" t="s">
        <v>1855</v>
      </c>
      <c r="C26" s="2653"/>
      <c r="D26" s="2653"/>
      <c r="E26" s="2653"/>
      <c r="F26" s="2653"/>
      <c r="G26" s="2653"/>
      <c r="H26" s="2653"/>
      <c r="I26" s="2653"/>
      <c r="J26" s="2653"/>
      <c r="K26" s="2653"/>
      <c r="L26" s="2653"/>
      <c r="M26" s="2653"/>
      <c r="N26" s="2653"/>
      <c r="O26" s="2653"/>
      <c r="P26" s="2653"/>
      <c r="Q26" s="2653"/>
      <c r="R26" s="2653"/>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60" t="s">
        <v>1760</v>
      </c>
      <c r="C29" s="2660"/>
      <c r="D29" s="2660"/>
      <c r="E29" s="2660"/>
      <c r="F29" s="2660"/>
      <c r="G29" s="2660"/>
      <c r="H29" s="795"/>
      <c r="I29" s="795"/>
      <c r="J29" s="795"/>
      <c r="K29" s="795"/>
      <c r="L29" s="795"/>
      <c r="M29" s="795"/>
      <c r="N29" s="795"/>
      <c r="O29" s="2658" t="s">
        <v>1769</v>
      </c>
      <c r="P29" s="793"/>
      <c r="Q29" s="793"/>
      <c r="R29" s="793"/>
      <c r="S29" s="793"/>
    </row>
    <row r="30" spans="1:19" ht="15" customHeight="1">
      <c r="A30" s="793"/>
      <c r="B30" s="2660"/>
      <c r="C30" s="2660"/>
      <c r="D30" s="2660"/>
      <c r="E30" s="2660"/>
      <c r="F30" s="2660"/>
      <c r="G30" s="2660"/>
      <c r="H30" s="795"/>
      <c r="I30" s="795"/>
      <c r="J30" s="795"/>
      <c r="K30" s="795"/>
      <c r="L30" s="795"/>
      <c r="M30" s="795"/>
      <c r="N30" s="795"/>
      <c r="O30" s="2658"/>
      <c r="P30" s="793"/>
      <c r="Q30" s="793"/>
      <c r="R30" s="793"/>
      <c r="S30" s="793"/>
    </row>
    <row r="31" spans="1:19" ht="15" customHeight="1">
      <c r="A31" s="793"/>
      <c r="B31" s="2660"/>
      <c r="C31" s="2660"/>
      <c r="D31" s="2660"/>
      <c r="E31" s="2660"/>
      <c r="F31" s="2660"/>
      <c r="G31" s="2660"/>
      <c r="H31" s="795"/>
      <c r="I31" s="795"/>
      <c r="J31" s="795"/>
      <c r="K31" s="795"/>
      <c r="L31" s="795"/>
      <c r="M31" s="795"/>
      <c r="N31" s="795"/>
      <c r="O31" s="2658"/>
      <c r="P31" s="793"/>
      <c r="Q31" s="793"/>
      <c r="R31" s="793"/>
      <c r="S31" s="793"/>
    </row>
    <row r="32" spans="1:19" ht="15" customHeight="1">
      <c r="A32" s="793"/>
      <c r="B32" s="2661"/>
      <c r="C32" s="2661"/>
      <c r="D32" s="2661"/>
      <c r="E32" s="2661"/>
      <c r="F32" s="2661"/>
      <c r="G32" s="2661"/>
      <c r="H32" s="793"/>
      <c r="I32" s="2627" t="s">
        <v>153</v>
      </c>
      <c r="J32" s="2619" t="s">
        <v>1074</v>
      </c>
      <c r="K32" s="2662">
        <v>1</v>
      </c>
      <c r="L32" s="793"/>
      <c r="M32" s="796"/>
      <c r="N32" s="793"/>
      <c r="O32" s="2659"/>
      <c r="P32" s="2619" t="s">
        <v>2145</v>
      </c>
      <c r="Q32" s="793"/>
      <c r="R32" s="793"/>
      <c r="S32" s="793"/>
    </row>
    <row r="33" spans="1:19" ht="15" customHeight="1">
      <c r="A33" s="793"/>
      <c r="B33" s="2617" t="s">
        <v>1764</v>
      </c>
      <c r="C33" s="2617"/>
      <c r="D33" s="2617"/>
      <c r="E33" s="2617"/>
      <c r="F33" s="2617"/>
      <c r="G33" s="2617"/>
      <c r="H33" s="793"/>
      <c r="I33" s="2627"/>
      <c r="J33" s="2619"/>
      <c r="K33" s="2662"/>
      <c r="L33" s="793"/>
      <c r="M33" s="797"/>
      <c r="N33" s="793"/>
      <c r="O33" s="2617" t="s">
        <v>1764</v>
      </c>
      <c r="P33" s="2619"/>
      <c r="Q33" s="793"/>
      <c r="R33" s="793"/>
      <c r="S33" s="793"/>
    </row>
    <row r="34" spans="1:19" ht="15" customHeight="1">
      <c r="A34" s="793"/>
      <c r="B34" s="2618"/>
      <c r="C34" s="2618"/>
      <c r="D34" s="2618"/>
      <c r="E34" s="2618"/>
      <c r="F34" s="2618"/>
      <c r="G34" s="2618"/>
      <c r="H34" s="793"/>
      <c r="I34" s="1025"/>
      <c r="J34" s="1024"/>
      <c r="K34" s="1026"/>
      <c r="L34" s="793"/>
      <c r="M34" s="797"/>
      <c r="N34" s="793"/>
      <c r="O34" s="2618"/>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41" t="s">
        <v>1752</v>
      </c>
      <c r="C37" s="2641"/>
      <c r="D37" s="2641"/>
      <c r="E37" s="2641"/>
      <c r="F37" s="804"/>
      <c r="G37" s="804"/>
      <c r="H37" s="805"/>
      <c r="I37" s="806"/>
      <c r="J37" s="806"/>
      <c r="P37" s="793"/>
      <c r="Q37" s="807"/>
      <c r="R37" s="807"/>
      <c r="S37" s="793"/>
    </row>
    <row r="38" spans="1:19" ht="15" customHeight="1">
      <c r="A38" s="793"/>
      <c r="B38" s="2646" t="s">
        <v>1770</v>
      </c>
      <c r="C38" s="2646"/>
      <c r="D38" s="2646"/>
      <c r="E38" s="2646"/>
      <c r="F38" s="1020"/>
      <c r="G38" s="808">
        <f>D110</f>
        <v>4255472.6529269274</v>
      </c>
      <c r="H38" s="809"/>
      <c r="I38" s="810"/>
      <c r="J38" s="809"/>
      <c r="L38" s="1273"/>
      <c r="M38" s="1273"/>
      <c r="N38" s="1273"/>
      <c r="O38" s="1273"/>
      <c r="P38" s="759"/>
      <c r="Q38" s="2616"/>
      <c r="R38" s="2616"/>
      <c r="S38" s="759"/>
    </row>
    <row r="39" spans="1:19" ht="15" customHeight="1">
      <c r="A39" s="579"/>
      <c r="B39" s="2647" t="s">
        <v>1386</v>
      </c>
      <c r="C39" s="2647"/>
      <c r="D39" s="2647"/>
      <c r="E39" s="2647"/>
      <c r="F39" s="1020"/>
      <c r="G39" s="977">
        <f>[4]EVERYTHING!$C$11</f>
        <v>6000000</v>
      </c>
      <c r="H39" s="809"/>
      <c r="I39" s="810"/>
      <c r="J39" s="809"/>
      <c r="L39" s="809"/>
      <c r="M39" s="807"/>
      <c r="N39" s="807"/>
      <c r="O39" s="807"/>
      <c r="P39" s="759"/>
      <c r="Q39" s="1130"/>
      <c r="R39" s="1130"/>
      <c r="S39" s="759"/>
    </row>
    <row r="40" spans="1:19" ht="15" customHeight="1">
      <c r="A40" s="579"/>
      <c r="B40" s="2647" t="s">
        <v>1387</v>
      </c>
      <c r="C40" s="2647"/>
      <c r="D40" s="2647"/>
      <c r="E40" s="2647"/>
      <c r="F40" s="1020"/>
      <c r="G40" s="977"/>
      <c r="H40" s="809"/>
      <c r="I40" s="810"/>
      <c r="J40" s="809"/>
      <c r="K40" s="2651"/>
      <c r="L40" s="2651"/>
      <c r="M40" s="2651"/>
      <c r="N40" s="2651"/>
      <c r="O40" s="2651"/>
      <c r="P40" s="1049"/>
      <c r="Q40" s="2616"/>
      <c r="R40" s="2616"/>
      <c r="S40" s="793"/>
    </row>
    <row r="41" spans="1:19" ht="15" customHeight="1">
      <c r="A41" s="579"/>
      <c r="B41" s="2648" t="s">
        <v>1765</v>
      </c>
      <c r="C41" s="2648"/>
      <c r="D41" s="2648"/>
      <c r="E41" s="2648"/>
      <c r="F41" s="1020"/>
      <c r="G41" s="809"/>
      <c r="H41" s="809"/>
      <c r="I41" s="810"/>
      <c r="J41" s="809"/>
      <c r="K41" s="809"/>
      <c r="L41" s="809"/>
      <c r="M41" s="807"/>
      <c r="N41" s="807"/>
      <c r="O41" s="807"/>
      <c r="P41" s="759"/>
      <c r="Q41" s="811"/>
      <c r="R41" s="811"/>
      <c r="S41" s="793"/>
    </row>
    <row r="42" spans="1:19" ht="15" customHeight="1">
      <c r="A42" s="579"/>
      <c r="B42" s="979" t="s">
        <v>2440</v>
      </c>
      <c r="C42" s="979"/>
      <c r="D42" s="972"/>
      <c r="E42" s="1023">
        <f>[4]EVERYTHING!$C$7+[4]EVERYTHING!$C$10</f>
        <v>9000000</v>
      </c>
      <c r="F42" s="1020"/>
      <c r="G42" s="809"/>
      <c r="H42" s="809"/>
      <c r="I42" s="810"/>
      <c r="J42" s="809"/>
      <c r="K42" s="2651"/>
      <c r="L42" s="2651"/>
      <c r="M42" s="2651"/>
      <c r="N42" s="2651"/>
      <c r="O42" s="2651"/>
      <c r="P42" s="1049"/>
      <c r="Q42" s="2616"/>
      <c r="R42" s="2616"/>
      <c r="S42" s="793"/>
    </row>
    <row r="43" spans="1:19" ht="15" customHeight="1">
      <c r="A43" s="579"/>
      <c r="B43" s="979" t="s">
        <v>2439</v>
      </c>
      <c r="C43" s="979"/>
      <c r="D43" s="788"/>
      <c r="E43" s="1262">
        <f>[4]EVERYTHING!$C$8+[4]EVERYTHING!$C$9</f>
        <v>2351425</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79" t="s">
        <v>2035</v>
      </c>
      <c r="P44" s="1049"/>
      <c r="Q44" s="2616"/>
      <c r="R44" s="2616"/>
      <c r="S44" s="793"/>
    </row>
    <row r="45" spans="1:19" ht="15" customHeight="1">
      <c r="A45" s="579"/>
      <c r="B45" s="979"/>
      <c r="C45" s="979"/>
      <c r="D45" s="788"/>
      <c r="E45" s="1023"/>
      <c r="F45" s="1020"/>
      <c r="G45" s="809"/>
      <c r="H45" s="809"/>
      <c r="I45" s="810"/>
      <c r="K45" s="1280" t="s">
        <v>2030</v>
      </c>
      <c r="L45" s="1280"/>
      <c r="M45" s="809"/>
      <c r="N45" s="809"/>
      <c r="O45" s="809"/>
      <c r="P45" s="809"/>
      <c r="Q45" s="579"/>
      <c r="R45" s="579"/>
      <c r="S45" s="793"/>
    </row>
    <row r="46" spans="1:19" ht="15" customHeight="1">
      <c r="A46" s="579"/>
      <c r="B46" s="979"/>
      <c r="C46" s="979"/>
      <c r="D46" s="788"/>
      <c r="E46" s="1023"/>
      <c r="F46" s="1020"/>
      <c r="G46" s="809"/>
      <c r="H46" s="809"/>
      <c r="I46" s="810"/>
      <c r="J46" s="809"/>
      <c r="K46" s="2622" t="s">
        <v>2031</v>
      </c>
      <c r="L46" s="2622"/>
      <c r="M46" s="2622"/>
      <c r="N46" s="2622"/>
      <c r="O46" s="2622"/>
      <c r="P46" s="793"/>
      <c r="Q46" s="2620"/>
      <c r="R46" s="2620"/>
      <c r="S46" s="793"/>
    </row>
    <row r="47" spans="1:19" ht="15" customHeight="1">
      <c r="A47" s="579"/>
      <c r="B47" s="979"/>
      <c r="C47" s="979"/>
      <c r="D47" s="788"/>
      <c r="E47" s="1023"/>
      <c r="F47" s="1020"/>
      <c r="G47" s="809"/>
      <c r="H47" s="809"/>
      <c r="I47" s="810"/>
      <c r="J47" s="809"/>
      <c r="K47" s="2621" t="s">
        <v>2032</v>
      </c>
      <c r="L47" s="2621"/>
      <c r="M47" s="2621"/>
      <c r="N47" s="2621"/>
      <c r="O47" s="2621"/>
      <c r="P47" s="793"/>
      <c r="Q47" s="2657"/>
      <c r="R47" s="2657"/>
      <c r="S47" s="793"/>
    </row>
    <row r="48" spans="1:19" ht="15" customHeight="1">
      <c r="A48" s="579"/>
      <c r="B48" s="979"/>
      <c r="C48" s="979"/>
      <c r="D48" s="788"/>
      <c r="E48" s="1023"/>
      <c r="F48" s="1020"/>
      <c r="G48" s="809"/>
      <c r="H48" s="809"/>
      <c r="I48" s="810"/>
      <c r="J48" s="809"/>
      <c r="K48" s="2656" t="s">
        <v>2033</v>
      </c>
      <c r="L48" s="2656"/>
      <c r="M48" s="2656"/>
      <c r="N48" s="2656"/>
      <c r="O48" s="2656"/>
      <c r="P48" s="793"/>
      <c r="Q48" s="2622">
        <f>Q46+Q47</f>
        <v>0</v>
      </c>
      <c r="R48" s="2622"/>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46" t="s">
        <v>1761</v>
      </c>
      <c r="C52" s="2646"/>
      <c r="D52" s="2646"/>
      <c r="E52" s="2646"/>
      <c r="F52" s="1020"/>
      <c r="G52" s="808">
        <f>SUM(E42:E49)-ABS(E50)-ABS(E51)</f>
        <v>11351425</v>
      </c>
      <c r="H52" s="809"/>
      <c r="I52" s="810"/>
      <c r="J52" s="809"/>
    </row>
    <row r="53" spans="1:29" ht="15" customHeight="1">
      <c r="A53" s="579"/>
      <c r="B53" s="793"/>
      <c r="C53" s="814"/>
      <c r="D53" s="814" t="s">
        <v>952</v>
      </c>
      <c r="E53" s="815"/>
      <c r="F53" s="815"/>
      <c r="G53" s="816">
        <f>SUM(G38:G40)+G52</f>
        <v>21606897.652926929</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08" t="s">
        <v>134</v>
      </c>
      <c r="AC55" s="1208" t="s">
        <v>1056</v>
      </c>
    </row>
    <row r="56" spans="1:29" ht="15" customHeight="1">
      <c r="A56" s="579"/>
      <c r="B56" s="2649" t="s">
        <v>1365</v>
      </c>
      <c r="C56" s="2649"/>
      <c r="D56" s="1020"/>
      <c r="E56" s="1020"/>
      <c r="F56" s="1020"/>
      <c r="G56" s="1020"/>
      <c r="H56" s="1020"/>
      <c r="I56" s="1020"/>
      <c r="J56" s="1020"/>
      <c r="K56" s="1020"/>
      <c r="L56" s="1020"/>
      <c r="M56" s="1020"/>
      <c r="N56" s="1020"/>
      <c r="O56" s="1020"/>
      <c r="P56" s="1020"/>
      <c r="Q56" s="793"/>
      <c r="R56" s="793"/>
      <c r="S56" s="793"/>
      <c r="U56" s="1207" t="s">
        <v>1965</v>
      </c>
      <c r="AC56" s="1261">
        <v>0.2</v>
      </c>
    </row>
    <row r="57" spans="1:29" ht="15" customHeight="1">
      <c r="A57" s="812"/>
      <c r="B57" s="2650" t="s">
        <v>1755</v>
      </c>
      <c r="C57" s="2650"/>
      <c r="D57" s="2650"/>
      <c r="E57" s="2650"/>
      <c r="F57" s="2650"/>
      <c r="G57" s="2650"/>
      <c r="H57" s="2650"/>
      <c r="I57" s="2650"/>
      <c r="J57" s="2650"/>
      <c r="K57" s="2650"/>
      <c r="L57" s="2650"/>
      <c r="M57" s="2650"/>
      <c r="N57" s="2650"/>
      <c r="O57" s="2650"/>
      <c r="P57" s="1020"/>
      <c r="Q57" s="793"/>
      <c r="R57" s="793"/>
      <c r="S57" s="793"/>
      <c r="U57" s="1207" t="s">
        <v>1966</v>
      </c>
      <c r="AC57" s="1261">
        <v>0.1</v>
      </c>
    </row>
    <row r="58" spans="1:29" ht="15" customHeight="1">
      <c r="A58" s="793"/>
      <c r="B58" s="2641" t="s">
        <v>1754</v>
      </c>
      <c r="C58" s="2642"/>
      <c r="D58" s="2642"/>
      <c r="E58" s="2642"/>
      <c r="F58" s="819"/>
      <c r="G58" s="819"/>
      <c r="H58" s="820"/>
      <c r="I58" s="820"/>
      <c r="J58" s="2643">
        <f>('Sources and Uses Budget'!D104+Q47)/('Sources and Uses Budget'!B104+Q48)</f>
        <v>4.6458086363800881E-2</v>
      </c>
      <c r="K58" s="2644"/>
      <c r="L58" s="2644"/>
      <c r="M58" s="2644"/>
      <c r="N58" s="2645"/>
      <c r="O58" s="820"/>
      <c r="P58" s="820"/>
      <c r="Q58" s="793"/>
      <c r="R58" s="793"/>
      <c r="S58" s="793"/>
      <c r="U58" s="1207" t="s">
        <v>1967</v>
      </c>
      <c r="AC58" s="1261">
        <v>0.1</v>
      </c>
    </row>
    <row r="59" spans="1:29" ht="15" customHeight="1">
      <c r="A59" s="793"/>
      <c r="B59" s="2631" t="s">
        <v>1970</v>
      </c>
      <c r="C59" s="2631"/>
      <c r="D59" s="2631"/>
      <c r="E59" s="2631"/>
      <c r="F59" s="2631"/>
      <c r="G59" s="2631"/>
      <c r="H59" s="2631"/>
      <c r="I59" s="2631"/>
      <c r="J59" s="2631"/>
      <c r="K59" s="2631"/>
      <c r="L59" s="2631"/>
      <c r="M59" s="2631"/>
      <c r="N59" s="2631"/>
      <c r="O59" s="2631"/>
      <c r="P59" s="820"/>
      <c r="Q59" s="793"/>
      <c r="R59" s="793"/>
      <c r="S59" s="793"/>
      <c r="U59" s="1207" t="s">
        <v>1968</v>
      </c>
      <c r="AC59" s="1261">
        <v>0.05</v>
      </c>
    </row>
    <row r="60" spans="1:29" ht="15" customHeight="1" thickBot="1">
      <c r="A60" s="793"/>
      <c r="B60" s="2631"/>
      <c r="C60" s="2631"/>
      <c r="D60" s="2631"/>
      <c r="E60" s="2631"/>
      <c r="F60" s="2631"/>
      <c r="G60" s="2631"/>
      <c r="H60" s="2631"/>
      <c r="I60" s="2631"/>
      <c r="J60" s="2631"/>
      <c r="K60" s="2631"/>
      <c r="L60" s="2631"/>
      <c r="M60" s="2631"/>
      <c r="N60" s="2631"/>
      <c r="O60" s="2631"/>
      <c r="P60" s="820"/>
      <c r="Q60" s="793"/>
      <c r="R60" s="793"/>
      <c r="S60" s="793"/>
      <c r="U60" s="1208"/>
      <c r="AC60" s="1209"/>
    </row>
    <row r="61" spans="1:29" ht="15" customHeight="1">
      <c r="A61" s="793"/>
      <c r="B61" s="2632" t="s">
        <v>1756</v>
      </c>
      <c r="C61" s="2632"/>
      <c r="D61" s="2632"/>
      <c r="E61" s="2632"/>
      <c r="F61" s="2632"/>
      <c r="G61" s="2632"/>
      <c r="H61" s="2632"/>
      <c r="I61" s="2632"/>
      <c r="J61" s="2632"/>
      <c r="K61" s="2632"/>
      <c r="L61" s="2632"/>
      <c r="M61" s="2632"/>
      <c r="N61" s="2632"/>
      <c r="O61" s="2632"/>
      <c r="P61" s="820"/>
      <c r="Q61" s="793"/>
      <c r="R61" s="793"/>
      <c r="S61" s="793"/>
      <c r="U61" s="266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4"/>
    </row>
    <row r="63" spans="1:29" ht="15" customHeight="1">
      <c r="A63" s="793"/>
      <c r="B63" s="807"/>
      <c r="C63" s="807"/>
      <c r="D63" s="807"/>
      <c r="E63" s="1279"/>
      <c r="F63" s="807"/>
      <c r="G63" s="807"/>
      <c r="H63" s="807"/>
      <c r="I63" s="1217"/>
      <c r="J63" s="2637" t="s">
        <v>2146</v>
      </c>
      <c r="K63" s="2638"/>
      <c r="L63" s="2638"/>
      <c r="M63" s="2638"/>
      <c r="N63" s="2638"/>
      <c r="O63" s="2638"/>
      <c r="P63" s="2638"/>
      <c r="Q63" s="2638"/>
      <c r="R63" s="2638"/>
      <c r="S63" s="793"/>
      <c r="U63" s="2663">
        <f>IF(J67="Non-rural project, Census Tract is High Resource (10 percentage points)",AC57,0)</f>
        <v>0</v>
      </c>
    </row>
    <row r="64" spans="1:29" ht="15" customHeight="1" thickBot="1">
      <c r="A64" s="793"/>
      <c r="B64" s="2633" t="s">
        <v>1766</v>
      </c>
      <c r="C64" s="2633"/>
      <c r="D64" s="807"/>
      <c r="F64" s="807"/>
      <c r="G64" s="1281" t="s">
        <v>2034</v>
      </c>
      <c r="H64" s="807"/>
      <c r="I64" s="1218"/>
      <c r="J64" s="2639"/>
      <c r="K64" s="2640"/>
      <c r="L64" s="2640"/>
      <c r="M64" s="2640"/>
      <c r="N64" s="2640"/>
      <c r="O64" s="2640"/>
      <c r="P64" s="2640"/>
      <c r="Q64" s="2640"/>
      <c r="R64" s="2640"/>
      <c r="S64" s="793"/>
      <c r="U64" s="2664"/>
    </row>
    <row r="65" spans="1:22" ht="15" customHeight="1">
      <c r="A65" s="793"/>
      <c r="B65" s="822" t="s">
        <v>1759</v>
      </c>
      <c r="C65" s="985" t="str">
        <f>IF(Application!M349="Yes","Yes","No")</f>
        <v>Yes</v>
      </c>
      <c r="E65" s="1282"/>
      <c r="F65" s="1282"/>
      <c r="G65" s="1283" t="s">
        <v>2036</v>
      </c>
      <c r="H65" s="807"/>
      <c r="I65" s="1218"/>
      <c r="J65" s="2639"/>
      <c r="K65" s="2640"/>
      <c r="L65" s="2640"/>
      <c r="M65" s="2640"/>
      <c r="N65" s="2640"/>
      <c r="O65" s="2640"/>
      <c r="P65" s="2640"/>
      <c r="Q65" s="2640"/>
      <c r="R65" s="2640"/>
      <c r="S65" s="793"/>
      <c r="U65" s="2663">
        <f>IF(J67="Rural project, Census Tract is Highest Resource (10 percentage points)",AC58,0)</f>
        <v>0</v>
      </c>
    </row>
    <row r="66" spans="1:22" ht="15" customHeight="1" thickBot="1">
      <c r="A66" s="793"/>
      <c r="B66" s="823" t="s">
        <v>1842</v>
      </c>
      <c r="C66" s="986">
        <f>Application!AG430-Application!AG431</f>
        <v>50</v>
      </c>
      <c r="D66" s="1282"/>
      <c r="E66" s="823" t="s">
        <v>2037</v>
      </c>
      <c r="F66" s="1282"/>
      <c r="G66" s="1033"/>
      <c r="H66" s="824"/>
      <c r="I66" s="1219"/>
      <c r="J66" s="2639"/>
      <c r="K66" s="2640"/>
      <c r="L66" s="2640"/>
      <c r="M66" s="2640"/>
      <c r="N66" s="2640"/>
      <c r="O66" s="2640"/>
      <c r="P66" s="2640"/>
      <c r="Q66" s="2640"/>
      <c r="R66" s="2640"/>
      <c r="S66" s="793"/>
      <c r="U66" s="2664"/>
    </row>
    <row r="67" spans="1:22" ht="15" customHeight="1">
      <c r="A67" s="793"/>
      <c r="B67" s="823" t="s">
        <v>1753</v>
      </c>
      <c r="C67" s="987">
        <f>MIN(IF(AND(C65="Yes",G67&gt;=50),(0.75+(G67/200)),1),1.5)</f>
        <v>1</v>
      </c>
      <c r="D67" s="824"/>
      <c r="E67" s="823" t="s">
        <v>1843</v>
      </c>
      <c r="G67" s="986">
        <f>C66+G66</f>
        <v>50</v>
      </c>
      <c r="H67" s="824"/>
      <c r="I67" s="1219"/>
      <c r="J67" s="2636" t="s">
        <v>134</v>
      </c>
      <c r="K67" s="2636"/>
      <c r="L67" s="2636"/>
      <c r="M67" s="2636"/>
      <c r="N67" s="2636"/>
      <c r="O67" s="2636"/>
      <c r="P67" s="2636"/>
      <c r="Q67" s="2636"/>
      <c r="R67" s="2636"/>
      <c r="S67" s="793"/>
      <c r="U67" s="2663">
        <f>IF(J67="Rural project, Census Tract is High Resource (5 percentage points)",AC59,0)</f>
        <v>0</v>
      </c>
    </row>
    <row r="68" spans="1:22" ht="15" customHeight="1" thickBot="1">
      <c r="A68" s="793"/>
      <c r="B68" s="799"/>
      <c r="C68" s="799"/>
      <c r="D68" s="799"/>
      <c r="E68" s="799"/>
      <c r="F68" s="799"/>
      <c r="G68" s="799"/>
      <c r="H68" s="799"/>
      <c r="I68" s="1220"/>
      <c r="J68" s="799"/>
      <c r="K68" s="799"/>
      <c r="L68" s="799"/>
      <c r="M68" s="799"/>
      <c r="N68" s="799"/>
      <c r="O68" s="799"/>
      <c r="P68" s="799"/>
      <c r="Q68" s="799"/>
      <c r="R68" s="799"/>
      <c r="S68" s="793"/>
      <c r="U68" s="266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7">
        <f>SUM(U61:U68)</f>
        <v>0</v>
      </c>
    </row>
    <row r="70" spans="1:22" ht="15" customHeight="1" thickBot="1">
      <c r="A70" s="793"/>
      <c r="B70" s="2634" t="s">
        <v>1763</v>
      </c>
      <c r="C70" s="2634"/>
      <c r="D70" s="794"/>
      <c r="E70" s="794"/>
      <c r="F70" s="794"/>
      <c r="G70" s="794"/>
      <c r="H70" s="793"/>
      <c r="I70" s="793"/>
      <c r="J70" s="793"/>
      <c r="K70" s="793"/>
      <c r="L70" s="793"/>
      <c r="M70" s="793"/>
      <c r="N70" s="793"/>
      <c r="O70" s="793"/>
      <c r="P70" s="793"/>
      <c r="Q70" s="793"/>
      <c r="R70" s="793"/>
      <c r="S70" s="793"/>
      <c r="U70" s="2668"/>
      <c r="V70" s="620" t="s">
        <v>1969</v>
      </c>
    </row>
    <row r="71" spans="1:22" ht="15" customHeight="1">
      <c r="A71" s="793"/>
      <c r="B71" s="2635" t="s">
        <v>1767</v>
      </c>
      <c r="C71" s="2635"/>
      <c r="D71" s="2635"/>
      <c r="E71" s="794"/>
      <c r="F71" s="794"/>
      <c r="G71" s="808">
        <f>G53*(1-J58)</f>
        <v>20603082.535713442</v>
      </c>
      <c r="H71" s="793"/>
      <c r="I71" s="793"/>
      <c r="J71" s="826"/>
      <c r="K71" s="1115" t="s">
        <v>1769</v>
      </c>
      <c r="L71" s="1115"/>
      <c r="M71" s="1115"/>
      <c r="N71" s="1115"/>
      <c r="O71" s="1115"/>
      <c r="P71" s="793"/>
      <c r="Q71" s="2622">
        <f>'Basis &amp; Credits'!T23+'Basis &amp; Credits'!Y23+'Basis &amp; Credits'!AD23+'Basis &amp; Credits'!AI23</f>
        <v>21367521.06984631</v>
      </c>
      <c r="R71" s="2622"/>
      <c r="S71" s="793"/>
    </row>
    <row r="72" spans="1:22" ht="15" customHeight="1">
      <c r="A72" s="793"/>
      <c r="B72" s="2624" t="s">
        <v>1768</v>
      </c>
      <c r="C72" s="2624"/>
      <c r="D72" s="2624"/>
      <c r="E72" s="794"/>
      <c r="F72" s="794"/>
      <c r="G72" s="808">
        <f>G71*C67</f>
        <v>20603082.535713442</v>
      </c>
      <c r="H72" s="793"/>
      <c r="I72" s="793"/>
      <c r="J72" s="826"/>
      <c r="K72" s="1221"/>
      <c r="L72" s="1221"/>
      <c r="M72" s="1221"/>
      <c r="N72" s="1221"/>
      <c r="O72" s="1221"/>
      <c r="P72" s="793"/>
      <c r="Q72" s="2616"/>
      <c r="R72" s="261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5">
        <f>$G$72</f>
        <v>20603082.535713442</v>
      </c>
      <c r="C75" s="2626"/>
      <c r="D75" s="2626"/>
      <c r="E75" s="2626"/>
      <c r="F75" s="2626"/>
      <c r="G75" s="2626"/>
      <c r="H75" s="827"/>
      <c r="I75" s="2627" t="s">
        <v>153</v>
      </c>
      <c r="J75" s="2619" t="s">
        <v>1074</v>
      </c>
      <c r="K75" s="2627">
        <v>1</v>
      </c>
      <c r="L75" s="793"/>
      <c r="M75" s="799"/>
      <c r="N75" s="825"/>
      <c r="O75" s="1035">
        <f>$Q$71</f>
        <v>21367521.06984631</v>
      </c>
      <c r="P75" s="2619" t="s">
        <v>2145</v>
      </c>
      <c r="Q75" s="2628" t="s">
        <v>152</v>
      </c>
      <c r="R75" s="2665">
        <f>((B75/B76)+((1-(O75/O76))/2))+U69</f>
        <v>0.71220636429379858</v>
      </c>
    </row>
    <row r="76" spans="1:22" ht="15" customHeight="1" thickBot="1">
      <c r="A76" s="793"/>
      <c r="B76" s="2629">
        <f>'Sources and Uses Budget'!$C$104+$Q$46-($E$50+$E$51)*(1-$J$58)</f>
        <v>46743753.580627963</v>
      </c>
      <c r="C76" s="2630"/>
      <c r="D76" s="2630"/>
      <c r="E76" s="2630"/>
      <c r="F76" s="2630"/>
      <c r="G76" s="2629"/>
      <c r="H76" s="793"/>
      <c r="I76" s="2627"/>
      <c r="J76" s="2619"/>
      <c r="K76" s="2627"/>
      <c r="L76" s="793"/>
      <c r="M76" s="1016"/>
      <c r="N76" s="793"/>
      <c r="O76" s="1034">
        <f>B76</f>
        <v>46743753.580627963</v>
      </c>
      <c r="P76" s="2619"/>
      <c r="Q76" s="2628"/>
      <c r="R76" s="266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4"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4"/>
      <c r="D80" s="1114"/>
      <c r="E80" s="1114"/>
      <c r="F80" s="1114"/>
      <c r="G80" s="1114"/>
      <c r="H80" s="1114"/>
      <c r="I80" s="1114"/>
      <c r="J80" s="1114"/>
      <c r="K80" s="1114"/>
      <c r="L80" s="1114"/>
      <c r="M80" s="1114"/>
      <c r="N80" s="1114"/>
      <c r="O80" s="1114"/>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38" t="s">
        <v>1975</v>
      </c>
      <c r="C82" s="1227"/>
      <c r="D82" s="1222"/>
      <c r="E82" s="1227"/>
      <c r="F82" s="1227"/>
      <c r="G82" s="1229"/>
      <c r="H82" s="793"/>
      <c r="I82" s="810"/>
      <c r="J82" s="793"/>
      <c r="L82" s="793"/>
      <c r="M82" s="793"/>
      <c r="N82" s="793"/>
      <c r="O82" s="793"/>
      <c r="P82" s="793"/>
      <c r="Q82" s="793"/>
      <c r="R82" s="793"/>
      <c r="S82" s="793"/>
    </row>
    <row r="83" spans="1:19" ht="15" customHeight="1">
      <c r="A83" s="793"/>
      <c r="B83" s="1236" t="s">
        <v>1978</v>
      </c>
      <c r="C83" s="1227"/>
      <c r="D83" s="1228"/>
      <c r="E83" s="1225"/>
      <c r="F83" s="1225"/>
      <c r="G83" s="1229"/>
      <c r="H83" s="793"/>
      <c r="I83" s="810"/>
      <c r="J83" s="793"/>
      <c r="K83" s="1210" t="s">
        <v>1844</v>
      </c>
      <c r="L83" s="793"/>
      <c r="M83" s="793"/>
      <c r="N83" s="793"/>
      <c r="O83" s="793"/>
      <c r="P83" s="793"/>
      <c r="Q83" s="793"/>
      <c r="R83" s="793"/>
      <c r="S83" s="793"/>
    </row>
    <row r="84" spans="1:19" ht="15" customHeight="1">
      <c r="A84" s="793"/>
      <c r="B84" s="1237" t="s">
        <v>2107</v>
      </c>
      <c r="C84" s="1230"/>
      <c r="D84" s="1231"/>
      <c r="E84" s="1223"/>
      <c r="F84" s="1223"/>
      <c r="G84" s="1232"/>
      <c r="H84" s="793"/>
      <c r="I84" s="810"/>
      <c r="J84" s="793"/>
      <c r="K84" s="1210" t="s">
        <v>1776</v>
      </c>
      <c r="L84" s="1111"/>
      <c r="M84" s="1111"/>
      <c r="N84" s="1111"/>
      <c r="O84" s="1111"/>
      <c r="P84" s="1111"/>
      <c r="Q84" s="2620"/>
      <c r="R84" s="2620"/>
      <c r="S84" s="793"/>
    </row>
    <row r="85" spans="1:19" ht="15" customHeight="1">
      <c r="A85" s="793"/>
      <c r="B85" s="1237" t="s">
        <v>1974</v>
      </c>
      <c r="C85" s="1233"/>
      <c r="D85" s="1234"/>
      <c r="E85" s="1226"/>
      <c r="F85" s="1226"/>
      <c r="G85" s="1235"/>
      <c r="H85" s="793"/>
      <c r="I85" s="810"/>
      <c r="J85" s="793"/>
      <c r="L85" s="1112"/>
      <c r="M85" s="1112"/>
      <c r="N85" s="1112"/>
      <c r="O85" s="1112"/>
      <c r="P85" s="1112"/>
      <c r="S85" s="793"/>
    </row>
    <row r="86" spans="1:19" ht="15" customHeight="1">
      <c r="A86" s="793"/>
      <c r="B86" s="1238" t="s">
        <v>2051</v>
      </c>
      <c r="C86" s="1230"/>
      <c r="D86" s="1231"/>
      <c r="E86" s="1223"/>
      <c r="F86" s="1223"/>
      <c r="G86" s="1224"/>
      <c r="H86" s="793"/>
      <c r="I86" s="810"/>
      <c r="J86" s="793"/>
      <c r="L86" s="1113"/>
      <c r="M86" s="1113"/>
      <c r="N86" s="1113"/>
      <c r="O86" s="1290" t="s">
        <v>1099</v>
      </c>
      <c r="P86" s="1113"/>
      <c r="Q86" s="793"/>
      <c r="R86" s="579"/>
      <c r="S86" s="793"/>
    </row>
    <row r="87" spans="1:19" ht="15" customHeight="1">
      <c r="A87" s="793"/>
      <c r="B87" s="1238" t="s">
        <v>2131</v>
      </c>
      <c r="C87" s="1233"/>
      <c r="D87" s="1222"/>
      <c r="E87" s="1227"/>
      <c r="F87" s="1227"/>
      <c r="G87" s="1295"/>
      <c r="H87" s="793"/>
      <c r="I87" s="810"/>
      <c r="J87" s="793"/>
      <c r="S87" s="793"/>
    </row>
    <row r="88" spans="1:19" ht="15" customHeight="1">
      <c r="A88" s="793"/>
      <c r="B88" s="1291"/>
      <c r="C88" s="1292"/>
      <c r="D88" s="1293"/>
      <c r="E88" s="1294" t="s">
        <v>1973</v>
      </c>
      <c r="F88" s="1225"/>
      <c r="G88" s="1225" t="s">
        <v>1075</v>
      </c>
      <c r="H88" s="793"/>
      <c r="I88" s="810"/>
      <c r="J88" s="793"/>
      <c r="K88" s="1211" t="s">
        <v>1775</v>
      </c>
      <c r="L88" s="1111"/>
      <c r="M88" s="1111"/>
      <c r="N88" s="1111"/>
      <c r="O88" s="1111"/>
      <c r="P88" s="1111"/>
      <c r="Q88" s="793"/>
      <c r="R88" s="579"/>
      <c r="S88" s="793"/>
    </row>
    <row r="89" spans="1:19" ht="15" customHeight="1">
      <c r="A89" s="793"/>
      <c r="B89" s="828" t="s">
        <v>1068</v>
      </c>
      <c r="C89" s="829" t="s">
        <v>1069</v>
      </c>
      <c r="D89" s="1239" t="s">
        <v>1976</v>
      </c>
      <c r="E89" s="1239" t="s">
        <v>2052</v>
      </c>
      <c r="F89" s="830"/>
      <c r="G89" s="830" t="s">
        <v>1977</v>
      </c>
      <c r="H89" s="793"/>
      <c r="I89" s="810"/>
      <c r="J89" s="793"/>
      <c r="K89" s="1211" t="s">
        <v>1777</v>
      </c>
      <c r="L89" s="1112"/>
      <c r="M89" s="1112"/>
      <c r="N89" s="1112"/>
      <c r="O89" s="1112"/>
      <c r="P89" s="1112"/>
      <c r="Q89" s="2620"/>
      <c r="R89" s="2620"/>
      <c r="S89" s="793"/>
    </row>
    <row r="90" spans="1:19" ht="15" customHeight="1">
      <c r="A90" s="579"/>
      <c r="B90" s="771" t="s">
        <v>676</v>
      </c>
      <c r="C90" s="772">
        <f>[4]EVERYTHING!$Q$28+[4]EVERYTHING!$Q$29</f>
        <v>21</v>
      </c>
      <c r="D90" s="1520">
        <v>885</v>
      </c>
      <c r="E90" s="774">
        <f>[4]EVERYTHING!$R$28</f>
        <v>2359</v>
      </c>
      <c r="F90" s="838"/>
      <c r="G90" s="831">
        <f>MAX(($E90-$D90)*$C90*12,0)</f>
        <v>371448</v>
      </c>
      <c r="H90" s="793"/>
      <c r="I90" s="810"/>
      <c r="J90" s="793"/>
      <c r="K90" s="1211" t="s">
        <v>1778</v>
      </c>
      <c r="L90" s="1112"/>
      <c r="M90" s="1112"/>
      <c r="N90" s="1112"/>
      <c r="O90" s="1112"/>
      <c r="P90" s="1112"/>
      <c r="Q90" s="2623"/>
      <c r="R90" s="2623"/>
      <c r="S90" s="793"/>
    </row>
    <row r="91" spans="1:19" ht="15" customHeight="1">
      <c r="A91" s="579"/>
      <c r="B91" s="771" t="s">
        <v>2441</v>
      </c>
      <c r="C91" s="772">
        <f>[4]EVERYTHING!$Q$30+[4]EVERYTHING!$Q$31</f>
        <v>3</v>
      </c>
      <c r="D91" s="1520">
        <v>948</v>
      </c>
      <c r="E91" s="774">
        <f>[4]EVERYTHING!$R$30</f>
        <v>2659</v>
      </c>
      <c r="F91" s="838"/>
      <c r="G91" s="831">
        <f t="shared" ref="G91:G97" si="0">MAX(($E91-$D91)*$C91*12,0)</f>
        <v>61596</v>
      </c>
      <c r="H91" s="793"/>
      <c r="I91" s="810"/>
      <c r="J91" s="793"/>
      <c r="K91" s="1211" t="s">
        <v>1782</v>
      </c>
      <c r="L91" s="1112"/>
      <c r="M91" s="1112"/>
      <c r="N91" s="1112"/>
      <c r="O91" s="1112"/>
      <c r="P91" s="1112"/>
      <c r="Q91" s="2621">
        <f>IFERROR(Q89/Q90,0)</f>
        <v>0</v>
      </c>
      <c r="R91" s="2621"/>
      <c r="S91" s="793"/>
    </row>
    <row r="92" spans="1:19" ht="15" customHeight="1">
      <c r="A92" s="579"/>
      <c r="B92" s="771" t="s">
        <v>2442</v>
      </c>
      <c r="C92" s="772">
        <v>1</v>
      </c>
      <c r="D92" s="1520">
        <v>1137</v>
      </c>
      <c r="E92" s="774">
        <f>[4]EVERYTHING!$R$32</f>
        <v>3154</v>
      </c>
      <c r="F92" s="838"/>
      <c r="G92" s="831">
        <f t="shared" si="0"/>
        <v>24204</v>
      </c>
      <c r="H92" s="793"/>
      <c r="I92" s="810"/>
      <c r="J92" s="793"/>
      <c r="S92" s="793"/>
    </row>
    <row r="93" spans="1:19" ht="15" customHeight="1">
      <c r="A93" s="579"/>
      <c r="B93" s="771" t="s">
        <v>676</v>
      </c>
      <c r="C93" s="772"/>
      <c r="D93" s="773"/>
      <c r="E93" s="774"/>
      <c r="F93" s="838"/>
      <c r="G93" s="831">
        <f t="shared" si="0"/>
        <v>0</v>
      </c>
      <c r="H93" s="793"/>
      <c r="I93" s="810"/>
      <c r="J93" s="793"/>
      <c r="K93" s="1212" t="s">
        <v>1783</v>
      </c>
      <c r="L93" s="1110"/>
      <c r="M93" s="1110"/>
      <c r="N93" s="1110"/>
      <c r="O93" s="1110"/>
      <c r="P93" s="1110"/>
      <c r="Q93" s="2622">
        <f>MAX(Q84,Q91)</f>
        <v>0</v>
      </c>
      <c r="R93" s="2622"/>
      <c r="S93" s="793"/>
    </row>
    <row r="94" spans="1:19" ht="15" customHeight="1">
      <c r="A94" s="579"/>
      <c r="B94" s="771" t="s">
        <v>676</v>
      </c>
      <c r="C94" s="772"/>
      <c r="D94" s="773"/>
      <c r="E94" s="774"/>
      <c r="F94" s="838"/>
      <c r="G94" s="831">
        <f t="shared" si="0"/>
        <v>0</v>
      </c>
      <c r="H94" s="793"/>
      <c r="I94" s="810"/>
      <c r="J94" s="793"/>
      <c r="K94" s="1212"/>
      <c r="L94" s="1110"/>
      <c r="M94" s="1110"/>
      <c r="N94" s="1110"/>
      <c r="O94" s="1110"/>
      <c r="P94" s="1110"/>
      <c r="Q94" s="1286"/>
      <c r="R94" s="1286"/>
      <c r="S94" s="793"/>
    </row>
    <row r="95" spans="1:19" ht="15" customHeight="1">
      <c r="A95" s="579"/>
      <c r="B95" s="771" t="s">
        <v>676</v>
      </c>
      <c r="C95" s="772"/>
      <c r="D95" s="773"/>
      <c r="E95" s="774"/>
      <c r="F95" s="838"/>
      <c r="G95" s="831">
        <f t="shared" si="0"/>
        <v>0</v>
      </c>
      <c r="H95" s="793"/>
      <c r="I95" s="810"/>
      <c r="J95" s="793"/>
      <c r="K95" s="1212"/>
      <c r="L95" s="1110"/>
      <c r="M95" s="1110"/>
      <c r="N95" s="1110"/>
      <c r="O95" s="1110"/>
      <c r="P95" s="1110"/>
      <c r="Q95" s="1286"/>
      <c r="R95" s="1286"/>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457248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457248</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434385.6</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377726.60869565216</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4255472.6529269274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E54" sqref="E5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726516</v>
      </c>
      <c r="F4" s="592"/>
      <c r="G4" s="592">
        <f>E4*$C$4</f>
        <v>744678.89999999991</v>
      </c>
      <c r="H4" s="592"/>
      <c r="I4" s="592">
        <f>G4*$C$4</f>
        <v>763295.87249999982</v>
      </c>
      <c r="J4" s="592"/>
      <c r="K4" s="592">
        <f>I4*$C$4</f>
        <v>782378.26931249979</v>
      </c>
      <c r="L4" s="592"/>
      <c r="M4" s="592">
        <f>K4*$C$4</f>
        <v>801937.72604531224</v>
      </c>
      <c r="N4" s="592"/>
      <c r="O4" s="592">
        <f>M4*$C$4</f>
        <v>821986.16919644503</v>
      </c>
      <c r="P4" s="592"/>
      <c r="Q4" s="592">
        <f>O4*$C$4</f>
        <v>842535.82342635607</v>
      </c>
      <c r="R4" s="592"/>
      <c r="S4" s="592">
        <f>Q4*$C$4</f>
        <v>863599.21901201492</v>
      </c>
      <c r="T4" s="592"/>
      <c r="U4" s="592">
        <f>S4*$C$4</f>
        <v>885189.19948731526</v>
      </c>
      <c r="V4" s="592"/>
      <c r="W4" s="592">
        <f>U4*$C$4</f>
        <v>907318.92947449803</v>
      </c>
      <c r="X4" s="592"/>
      <c r="Y4" s="592">
        <f>W4*$C$4</f>
        <v>930001.90271136037</v>
      </c>
      <c r="Z4" s="592"/>
      <c r="AA4" s="592">
        <f>Y4*$C$4</f>
        <v>953251.95027914434</v>
      </c>
      <c r="AB4" s="592"/>
      <c r="AC4" s="592">
        <f>AA4*$C$4</f>
        <v>977083.24903612281</v>
      </c>
      <c r="AD4" s="592"/>
      <c r="AE4" s="592">
        <f>AC4*$C$4</f>
        <v>1001510.3302620258</v>
      </c>
      <c r="AF4" s="592"/>
      <c r="AG4" s="592">
        <f>AE4*$C$4</f>
        <v>1026548.0885185763</v>
      </c>
      <c r="AH4" s="592"/>
    </row>
    <row r="5" spans="1:34" ht="14.25">
      <c r="A5" s="582"/>
      <c r="B5" s="582" t="s">
        <v>1070</v>
      </c>
      <c r="C5" s="617">
        <f>[4]EVERYTHING!$R$24</f>
        <v>6.6326530612244902E-2</v>
      </c>
      <c r="D5" s="582"/>
      <c r="E5" s="594">
        <f>-E4*$C$5</f>
        <v>-48187.285714285717</v>
      </c>
      <c r="F5" s="594"/>
      <c r="G5" s="594">
        <f>-G4*$C$5</f>
        <v>-49391.967857142852</v>
      </c>
      <c r="H5" s="594"/>
      <c r="I5" s="594">
        <f>-I4*$C$5</f>
        <v>-50626.767053571421</v>
      </c>
      <c r="J5" s="594"/>
      <c r="K5" s="594">
        <f>-K4*$C$5</f>
        <v>-51892.436229910702</v>
      </c>
      <c r="L5" s="594"/>
      <c r="M5" s="594">
        <f>-M4*$C$5</f>
        <v>-53189.747135658472</v>
      </c>
      <c r="N5" s="594"/>
      <c r="O5" s="594">
        <f>-O4*$C$5</f>
        <v>-54519.490814049932</v>
      </c>
      <c r="P5" s="594"/>
      <c r="Q5" s="594">
        <f>-Q4*$C$5</f>
        <v>-55882.478084401169</v>
      </c>
      <c r="R5" s="594"/>
      <c r="S5" s="594">
        <f>-S4*$C$5</f>
        <v>-57279.5400365112</v>
      </c>
      <c r="T5" s="594"/>
      <c r="U5" s="594">
        <f>-U4*$C$5</f>
        <v>-58711.528537423976</v>
      </c>
      <c r="V5" s="594"/>
      <c r="W5" s="594">
        <f>-W4*$C$5</f>
        <v>-60179.316750859565</v>
      </c>
      <c r="X5" s="594"/>
      <c r="Y5" s="594">
        <f>-Y4*$C$5</f>
        <v>-61683.799669631051</v>
      </c>
      <c r="Z5" s="594"/>
      <c r="AA5" s="594">
        <f>-AA4*$C$5</f>
        <v>-63225.894661371822</v>
      </c>
      <c r="AB5" s="594"/>
      <c r="AC5" s="594">
        <f>-AC4*$C$5</f>
        <v>-64806.542027906107</v>
      </c>
      <c r="AD5" s="594"/>
      <c r="AE5" s="594">
        <f>-AE4*$C$5</f>
        <v>-66426.705578603753</v>
      </c>
      <c r="AF5" s="594"/>
      <c r="AG5" s="594">
        <f>-AG4*$C$5</f>
        <v>-68087.373218068838</v>
      </c>
      <c r="AH5" s="582"/>
    </row>
    <row r="6" spans="1:34" ht="14.25">
      <c r="A6" s="582" t="s">
        <v>1161</v>
      </c>
      <c r="B6" s="582"/>
      <c r="C6" s="616">
        <v>1.0249999999999999</v>
      </c>
      <c r="D6" s="582"/>
      <c r="E6" s="595">
        <f>Application!Z787</f>
        <v>436200</v>
      </c>
      <c r="F6" s="595"/>
      <c r="G6" s="595">
        <f>E6*$C$6</f>
        <v>447104.99999999994</v>
      </c>
      <c r="H6" s="595"/>
      <c r="I6" s="595">
        <f>G6*$C$6</f>
        <v>458282.62499999988</v>
      </c>
      <c r="J6" s="595"/>
      <c r="K6" s="595">
        <f>I6*$C$6</f>
        <v>469739.69062499981</v>
      </c>
      <c r="L6" s="595"/>
      <c r="M6" s="595">
        <f>K6*$C$6</f>
        <v>481483.18289062474</v>
      </c>
      <c r="N6" s="595"/>
      <c r="O6" s="595">
        <f>M6*$C$6</f>
        <v>493520.2624628903</v>
      </c>
      <c r="P6" s="595"/>
      <c r="Q6" s="595">
        <f>O6*$C$6</f>
        <v>505858.2690244625</v>
      </c>
      <c r="R6" s="595"/>
      <c r="S6" s="595">
        <f>Q6*$C$6</f>
        <v>518504.72575007402</v>
      </c>
      <c r="T6" s="595"/>
      <c r="U6" s="595">
        <f>S6*$C$6</f>
        <v>531467.34389382578</v>
      </c>
      <c r="V6" s="595"/>
      <c r="W6" s="595">
        <f>U6*$C$6</f>
        <v>544754.02749117138</v>
      </c>
      <c r="X6" s="595"/>
      <c r="Y6" s="595">
        <f>W6*$C$6</f>
        <v>558372.87817845063</v>
      </c>
      <c r="Z6" s="595"/>
      <c r="AA6" s="595">
        <f>Y6*$C$6</f>
        <v>572332.20013291179</v>
      </c>
      <c r="AB6" s="595"/>
      <c r="AC6" s="595">
        <f>AA6*$C$6</f>
        <v>586640.50513623457</v>
      </c>
      <c r="AD6" s="595"/>
      <c r="AE6" s="595">
        <f>AC6*$C$6</f>
        <v>601306.51776464039</v>
      </c>
      <c r="AF6" s="595"/>
      <c r="AG6" s="595">
        <f>AE6*$C$6</f>
        <v>616339.18070875632</v>
      </c>
      <c r="AH6" s="582"/>
    </row>
    <row r="7" spans="1:34" ht="14.25">
      <c r="A7" s="582"/>
      <c r="B7" s="582" t="s">
        <v>1070</v>
      </c>
      <c r="C7" s="617">
        <v>0.1</v>
      </c>
      <c r="D7" s="582"/>
      <c r="E7" s="594">
        <f>-E6*$C$7</f>
        <v>-43620</v>
      </c>
      <c r="F7" s="594"/>
      <c r="G7" s="594">
        <f>-G6*$C$7</f>
        <v>-44710.5</v>
      </c>
      <c r="H7" s="594"/>
      <c r="I7" s="594">
        <f>-I6*$C$7</f>
        <v>-45828.26249999999</v>
      </c>
      <c r="J7" s="594"/>
      <c r="K7" s="594">
        <f>-K6*$C$7</f>
        <v>-46973.969062499986</v>
      </c>
      <c r="L7" s="594"/>
      <c r="M7" s="594">
        <f>-M6*$C$7</f>
        <v>-48148.318289062474</v>
      </c>
      <c r="N7" s="594"/>
      <c r="O7" s="594">
        <f>-O6*$C$7</f>
        <v>-49352.026246289031</v>
      </c>
      <c r="P7" s="594"/>
      <c r="Q7" s="594">
        <f>-Q6*$C$7</f>
        <v>-50585.82690244625</v>
      </c>
      <c r="R7" s="594"/>
      <c r="S7" s="594">
        <f>-S6*$C$7</f>
        <v>-51850.472575007407</v>
      </c>
      <c r="T7" s="594"/>
      <c r="U7" s="594">
        <f>-U6*$C$7</f>
        <v>-53146.734389382582</v>
      </c>
      <c r="V7" s="594"/>
      <c r="W7" s="594">
        <f>-W6*$C$7</f>
        <v>-54475.402749117144</v>
      </c>
      <c r="X7" s="594"/>
      <c r="Y7" s="594">
        <f>-Y6*$C$7</f>
        <v>-55837.287817845063</v>
      </c>
      <c r="Z7" s="594"/>
      <c r="AA7" s="594">
        <f>-AA6*$C$7</f>
        <v>-57233.220013291182</v>
      </c>
      <c r="AB7" s="594"/>
      <c r="AC7" s="594">
        <f>-AC6*$C$7</f>
        <v>-58664.050513623457</v>
      </c>
      <c r="AD7" s="594"/>
      <c r="AE7" s="594">
        <f>-AE6*$C$7</f>
        <v>-60130.651776464045</v>
      </c>
      <c r="AF7" s="594"/>
      <c r="AG7" s="594">
        <f>-AG6*$C$7</f>
        <v>-61633.918070875632</v>
      </c>
      <c r="AH7" s="582"/>
    </row>
    <row r="8" spans="1:34" ht="14.25">
      <c r="A8" s="582" t="s">
        <v>287</v>
      </c>
      <c r="B8" s="582"/>
      <c r="C8" s="616">
        <v>1.0249999999999999</v>
      </c>
      <c r="D8" s="582"/>
      <c r="E8" s="595">
        <f>Application!Z795</f>
        <v>5401</v>
      </c>
      <c r="F8" s="595"/>
      <c r="G8" s="595">
        <f>E8*$C$8</f>
        <v>5536.0249999999996</v>
      </c>
      <c r="H8" s="595"/>
      <c r="I8" s="595">
        <f>G8*$C$8</f>
        <v>5674.4256249999989</v>
      </c>
      <c r="J8" s="595"/>
      <c r="K8" s="595">
        <f>I8*$C$8</f>
        <v>5816.2862656249981</v>
      </c>
      <c r="L8" s="595"/>
      <c r="M8" s="595">
        <f>K8*$C$8</f>
        <v>5961.6934222656228</v>
      </c>
      <c r="N8" s="595"/>
      <c r="O8" s="595">
        <f>M8*$C$8</f>
        <v>6110.7357578222627</v>
      </c>
      <c r="P8" s="595"/>
      <c r="Q8" s="595">
        <f>O8*$C$8</f>
        <v>6263.5041517678192</v>
      </c>
      <c r="R8" s="595"/>
      <c r="S8" s="595">
        <f>Q8*$C$8</f>
        <v>6420.0917555620144</v>
      </c>
      <c r="T8" s="595"/>
      <c r="U8" s="595">
        <f>S8*$C$8</f>
        <v>6580.5940494510642</v>
      </c>
      <c r="V8" s="595"/>
      <c r="W8" s="595">
        <f>U8*$C$8</f>
        <v>6745.1089006873399</v>
      </c>
      <c r="X8" s="595"/>
      <c r="Y8" s="595">
        <f>W8*$C$8</f>
        <v>6913.7366232045224</v>
      </c>
      <c r="Z8" s="595"/>
      <c r="AA8" s="595">
        <f>Y8*$C$8</f>
        <v>7086.5800387846348</v>
      </c>
      <c r="AB8" s="595"/>
      <c r="AC8" s="595">
        <f>AA8*$C$8</f>
        <v>7263.7445397542497</v>
      </c>
      <c r="AD8" s="595"/>
      <c r="AE8" s="595">
        <f>AC8*$C$8</f>
        <v>7445.3381532481053</v>
      </c>
      <c r="AF8" s="595"/>
      <c r="AG8" s="595">
        <f>AE8*$C$8</f>
        <v>7631.4716070793074</v>
      </c>
      <c r="AH8" s="582"/>
    </row>
    <row r="9" spans="1:34" ht="14.25">
      <c r="A9" s="582"/>
      <c r="B9" s="582" t="s">
        <v>1070</v>
      </c>
      <c r="C9" s="617">
        <f>C5</f>
        <v>6.6326530612244902E-2</v>
      </c>
      <c r="D9" s="582"/>
      <c r="E9" s="614">
        <f>-E8*$C$9</f>
        <v>-358.2295918367347</v>
      </c>
      <c r="F9" s="594"/>
      <c r="G9" s="614">
        <f>-G8*$C$9</f>
        <v>-367.18533163265306</v>
      </c>
      <c r="H9" s="594"/>
      <c r="I9" s="614">
        <f>-I8*$C$9</f>
        <v>-376.36496492346936</v>
      </c>
      <c r="J9" s="594"/>
      <c r="K9" s="614">
        <f>-K8*$C$9</f>
        <v>-385.77408904655601</v>
      </c>
      <c r="L9" s="594"/>
      <c r="M9" s="614">
        <f>-M8*$C$9</f>
        <v>-395.41844127271992</v>
      </c>
      <c r="N9" s="594"/>
      <c r="O9" s="614">
        <f>-O8*$C$9</f>
        <v>-405.30390230453787</v>
      </c>
      <c r="P9" s="594"/>
      <c r="Q9" s="614">
        <f>-Q8*$C$9</f>
        <v>-415.43649986215132</v>
      </c>
      <c r="R9" s="594"/>
      <c r="S9" s="614">
        <f>-S8*$C$9</f>
        <v>-425.82241235870509</v>
      </c>
      <c r="T9" s="594"/>
      <c r="U9" s="614">
        <f>-U8*$C$9</f>
        <v>-436.46797266767265</v>
      </c>
      <c r="V9" s="594"/>
      <c r="W9" s="614">
        <f>-W8*$C$9</f>
        <v>-447.37967198436439</v>
      </c>
      <c r="X9" s="594"/>
      <c r="Y9" s="614">
        <f>-Y8*$C$9</f>
        <v>-458.56416378397347</v>
      </c>
      <c r="Z9" s="594"/>
      <c r="AA9" s="614">
        <f>-AA8*$C$9</f>
        <v>-470.02826787857276</v>
      </c>
      <c r="AB9" s="594"/>
      <c r="AC9" s="614">
        <f>-AC8*$C$9</f>
        <v>-481.77897457553701</v>
      </c>
      <c r="AD9" s="594"/>
      <c r="AE9" s="614">
        <f>-AE8*$C$9</f>
        <v>-493.82344893992536</v>
      </c>
      <c r="AF9" s="594"/>
      <c r="AG9" s="614">
        <f>-AG8*$C$9</f>
        <v>-506.16903516342347</v>
      </c>
      <c r="AH9" s="582"/>
    </row>
    <row r="10" spans="1:34" ht="15">
      <c r="A10" s="596" t="s">
        <v>1162</v>
      </c>
      <c r="B10" s="596"/>
      <c r="C10" s="587"/>
      <c r="D10" s="596"/>
      <c r="E10" s="596">
        <f>SUM(E4:E9)</f>
        <v>1075951.4846938776</v>
      </c>
      <c r="F10" s="596"/>
      <c r="G10" s="596">
        <f>SUM(G4:G9)</f>
        <v>1102850.2718112243</v>
      </c>
      <c r="H10" s="596"/>
      <c r="I10" s="596">
        <f>SUM(I4:I9)</f>
        <v>1130421.5286065049</v>
      </c>
      <c r="J10" s="596"/>
      <c r="K10" s="596">
        <f>SUM(K4:K9)</f>
        <v>1158682.0668216674</v>
      </c>
      <c r="L10" s="596"/>
      <c r="M10" s="596">
        <f>SUM(M4:M9)</f>
        <v>1187649.1184922087</v>
      </c>
      <c r="N10" s="596"/>
      <c r="O10" s="596">
        <f>SUM(O4:O9)</f>
        <v>1217340.346454514</v>
      </c>
      <c r="P10" s="596"/>
      <c r="Q10" s="596">
        <f>SUM(Q4:Q9)</f>
        <v>1247773.8551158765</v>
      </c>
      <c r="R10" s="596"/>
      <c r="S10" s="596">
        <f>SUM(S4:S9)</f>
        <v>1278968.2014937736</v>
      </c>
      <c r="T10" s="596"/>
      <c r="U10" s="596">
        <f>SUM(U4:U9)</f>
        <v>1310942.4065311181</v>
      </c>
      <c r="V10" s="596"/>
      <c r="W10" s="596">
        <f>SUM(W4:W9)</f>
        <v>1343715.9666943955</v>
      </c>
      <c r="X10" s="596"/>
      <c r="Y10" s="596">
        <f>SUM(Y4:Y9)</f>
        <v>1377308.8658617553</v>
      </c>
      <c r="Z10" s="596"/>
      <c r="AA10" s="596">
        <f>SUM(AA4:AA9)</f>
        <v>1411741.5875082992</v>
      </c>
      <c r="AB10" s="596"/>
      <c r="AC10" s="596">
        <f>SUM(AC4:AC9)</f>
        <v>1447035.1271960065</v>
      </c>
      <c r="AD10" s="596"/>
      <c r="AE10" s="596">
        <f>SUM(AE4:AE9)</f>
        <v>1483211.0053759068</v>
      </c>
      <c r="AF10" s="596"/>
      <c r="AG10" s="596">
        <f>SUM(AG4:AG9)</f>
        <v>1520291.280510304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72360</v>
      </c>
      <c r="F14" s="592"/>
      <c r="G14" s="592">
        <f t="shared" ref="G14:G20" si="0">E14*$C$13</f>
        <v>74892.599999999991</v>
      </c>
      <c r="H14" s="592"/>
      <c r="I14" s="592">
        <f t="shared" ref="I14:I20" si="1">G14*$C$13</f>
        <v>77513.840999999986</v>
      </c>
      <c r="J14" s="592"/>
      <c r="K14" s="592">
        <f t="shared" ref="K14:K20" si="2">I14*$C$13</f>
        <v>80226.825434999977</v>
      </c>
      <c r="L14" s="592"/>
      <c r="M14" s="592">
        <f t="shared" ref="M14:M20" si="3">K14*$C$13</f>
        <v>83034.764325224969</v>
      </c>
      <c r="N14" s="592"/>
      <c r="O14" s="592">
        <f t="shared" ref="O14:O20" si="4">M14*$C$13</f>
        <v>85940.98107660783</v>
      </c>
      <c r="P14" s="592"/>
      <c r="Q14" s="592">
        <f t="shared" ref="Q14:Q20" si="5">O14*$C$13</f>
        <v>88948.915414289091</v>
      </c>
      <c r="R14" s="592"/>
      <c r="S14" s="592">
        <f t="shared" ref="S14:S20" si="6">Q14*$C$13</f>
        <v>92062.127453789202</v>
      </c>
      <c r="T14" s="592"/>
      <c r="U14" s="592">
        <f t="shared" ref="U14:U20" si="7">S14*$C$13</f>
        <v>95284.301914671814</v>
      </c>
      <c r="V14" s="592"/>
      <c r="W14" s="592">
        <f t="shared" ref="W14:W20" si="8">U14*$C$13</f>
        <v>98619.252481685326</v>
      </c>
      <c r="X14" s="592"/>
      <c r="Y14" s="592">
        <f t="shared" ref="Y14:Y20" si="9">W14*$C$13</f>
        <v>102070.9263185443</v>
      </c>
      <c r="Z14" s="592"/>
      <c r="AA14" s="592">
        <f t="shared" ref="AA14:AA20" si="10">Y14*$C$13</f>
        <v>105643.40873969335</v>
      </c>
      <c r="AB14" s="592"/>
      <c r="AC14" s="592">
        <f t="shared" ref="AC14:AC20" si="11">AA14*$C$13</f>
        <v>109340.92804558261</v>
      </c>
      <c r="AD14" s="592"/>
      <c r="AE14" s="592">
        <f t="shared" ref="AE14:AE20" si="12">AC14*$C$13</f>
        <v>113167.860527178</v>
      </c>
      <c r="AF14" s="592"/>
      <c r="AG14" s="592">
        <f t="shared" ref="AG14:AG20" si="13">AE14*$C$13</f>
        <v>117128.73564562922</v>
      </c>
      <c r="AH14" s="592"/>
    </row>
    <row r="15" spans="1:34" ht="14.25">
      <c r="A15" s="582" t="s">
        <v>513</v>
      </c>
      <c r="B15" s="582"/>
      <c r="C15" s="606"/>
      <c r="D15" s="582"/>
      <c r="E15" s="595">
        <f>Application!W827</f>
        <v>45000</v>
      </c>
      <c r="F15" s="595"/>
      <c r="G15" s="595">
        <f t="shared" si="0"/>
        <v>46575</v>
      </c>
      <c r="H15" s="595"/>
      <c r="I15" s="595">
        <f t="shared" si="1"/>
        <v>48205.124999999993</v>
      </c>
      <c r="J15" s="595"/>
      <c r="K15" s="595">
        <f t="shared" si="2"/>
        <v>49892.304374999985</v>
      </c>
      <c r="L15" s="595"/>
      <c r="M15" s="595">
        <f t="shared" si="3"/>
        <v>51638.535028124978</v>
      </c>
      <c r="N15" s="595"/>
      <c r="O15" s="595">
        <f t="shared" si="4"/>
        <v>53445.883754109345</v>
      </c>
      <c r="P15" s="595"/>
      <c r="Q15" s="595">
        <f t="shared" si="5"/>
        <v>55316.489685503169</v>
      </c>
      <c r="R15" s="595"/>
      <c r="S15" s="595">
        <f t="shared" si="6"/>
        <v>57252.566824495778</v>
      </c>
      <c r="T15" s="595"/>
      <c r="U15" s="595">
        <f t="shared" si="7"/>
        <v>59256.406663353126</v>
      </c>
      <c r="V15" s="595"/>
      <c r="W15" s="595">
        <f t="shared" si="8"/>
        <v>61330.380896570481</v>
      </c>
      <c r="X15" s="595"/>
      <c r="Y15" s="595">
        <f t="shared" si="9"/>
        <v>63476.944227950444</v>
      </c>
      <c r="Z15" s="595"/>
      <c r="AA15" s="595">
        <f t="shared" si="10"/>
        <v>65698.637275928704</v>
      </c>
      <c r="AB15" s="595"/>
      <c r="AC15" s="595">
        <f t="shared" si="11"/>
        <v>67998.089580586209</v>
      </c>
      <c r="AD15" s="595"/>
      <c r="AE15" s="595">
        <f t="shared" si="12"/>
        <v>70378.022715906714</v>
      </c>
      <c r="AF15" s="595"/>
      <c r="AG15" s="595">
        <f t="shared" si="13"/>
        <v>72841.253510963448</v>
      </c>
      <c r="AH15" s="582"/>
    </row>
    <row r="16" spans="1:34" ht="14.25">
      <c r="A16" s="582" t="s">
        <v>795</v>
      </c>
      <c r="B16" s="582"/>
      <c r="C16" s="606"/>
      <c r="D16" s="582"/>
      <c r="E16" s="595">
        <f>Application!W833</f>
        <v>78997</v>
      </c>
      <c r="F16" s="595"/>
      <c r="G16" s="595">
        <f t="shared" si="0"/>
        <v>81761.89499999999</v>
      </c>
      <c r="H16" s="595"/>
      <c r="I16" s="595">
        <f t="shared" si="1"/>
        <v>84623.561324999988</v>
      </c>
      <c r="J16" s="595"/>
      <c r="K16" s="595">
        <f t="shared" si="2"/>
        <v>87585.385971374984</v>
      </c>
      <c r="L16" s="595"/>
      <c r="M16" s="595">
        <f t="shared" si="3"/>
        <v>90650.874480373095</v>
      </c>
      <c r="N16" s="595"/>
      <c r="O16" s="595">
        <f t="shared" si="4"/>
        <v>93823.65508718614</v>
      </c>
      <c r="P16" s="595"/>
      <c r="Q16" s="595">
        <f t="shared" si="5"/>
        <v>97107.483015237653</v>
      </c>
      <c r="R16" s="595"/>
      <c r="S16" s="595">
        <f t="shared" si="6"/>
        <v>100506.24492077096</v>
      </c>
      <c r="T16" s="595"/>
      <c r="U16" s="595">
        <f t="shared" si="7"/>
        <v>104023.96349299794</v>
      </c>
      <c r="V16" s="595"/>
      <c r="W16" s="595">
        <f t="shared" si="8"/>
        <v>107664.80221525286</v>
      </c>
      <c r="X16" s="595"/>
      <c r="Y16" s="595">
        <f t="shared" si="9"/>
        <v>111433.0702927867</v>
      </c>
      <c r="Z16" s="595"/>
      <c r="AA16" s="595">
        <f t="shared" si="10"/>
        <v>115333.22775303423</v>
      </c>
      <c r="AB16" s="595"/>
      <c r="AC16" s="595">
        <f t="shared" si="11"/>
        <v>119369.89072439041</v>
      </c>
      <c r="AD16" s="595"/>
      <c r="AE16" s="595">
        <f t="shared" si="12"/>
        <v>123547.83689974407</v>
      </c>
      <c r="AF16" s="595"/>
      <c r="AG16" s="595">
        <f t="shared" si="13"/>
        <v>127872.0111912351</v>
      </c>
      <c r="AH16" s="582"/>
    </row>
    <row r="17" spans="1:33" ht="14.25">
      <c r="A17" s="582" t="s">
        <v>1166</v>
      </c>
      <c r="B17" s="582"/>
      <c r="C17" s="606"/>
      <c r="D17" s="582"/>
      <c r="E17" s="595">
        <f>Application!W840</f>
        <v>116529</v>
      </c>
      <c r="F17" s="595"/>
      <c r="G17" s="595">
        <f t="shared" si="0"/>
        <v>120607.51499999998</v>
      </c>
      <c r="H17" s="595"/>
      <c r="I17" s="595">
        <f t="shared" si="1"/>
        <v>124828.77802499998</v>
      </c>
      <c r="J17" s="595"/>
      <c r="K17" s="595">
        <f t="shared" si="2"/>
        <v>129197.78525587497</v>
      </c>
      <c r="L17" s="595"/>
      <c r="M17" s="595">
        <f t="shared" si="3"/>
        <v>133719.7077398306</v>
      </c>
      <c r="N17" s="595"/>
      <c r="O17" s="595">
        <f t="shared" si="4"/>
        <v>138399.89751072467</v>
      </c>
      <c r="P17" s="595"/>
      <c r="Q17" s="595">
        <f t="shared" si="5"/>
        <v>143243.89392360003</v>
      </c>
      <c r="R17" s="595"/>
      <c r="S17" s="595">
        <f t="shared" si="6"/>
        <v>148257.43021092602</v>
      </c>
      <c r="T17" s="595"/>
      <c r="U17" s="595">
        <f t="shared" si="7"/>
        <v>153446.44026830842</v>
      </c>
      <c r="V17" s="595"/>
      <c r="W17" s="595">
        <f t="shared" si="8"/>
        <v>158817.0656776992</v>
      </c>
      <c r="X17" s="595"/>
      <c r="Y17" s="595">
        <f t="shared" si="9"/>
        <v>164375.66297641865</v>
      </c>
      <c r="Z17" s="595"/>
      <c r="AA17" s="595">
        <f t="shared" si="10"/>
        <v>170128.8111805933</v>
      </c>
      <c r="AB17" s="595"/>
      <c r="AC17" s="595">
        <f t="shared" si="11"/>
        <v>176083.31957191406</v>
      </c>
      <c r="AD17" s="595"/>
      <c r="AE17" s="595">
        <f t="shared" si="12"/>
        <v>182246.23575693104</v>
      </c>
      <c r="AF17" s="595"/>
      <c r="AG17" s="595">
        <f t="shared" si="13"/>
        <v>188624.8540084236</v>
      </c>
    </row>
    <row r="18" spans="1:33" ht="14.25">
      <c r="A18" s="582" t="s">
        <v>1013</v>
      </c>
      <c r="B18" s="582"/>
      <c r="C18" s="606"/>
      <c r="D18" s="582"/>
      <c r="E18" s="595">
        <f>Application!W841</f>
        <v>32348</v>
      </c>
      <c r="F18" s="595"/>
      <c r="G18" s="595">
        <f t="shared" si="0"/>
        <v>33480.18</v>
      </c>
      <c r="H18" s="595"/>
      <c r="I18" s="595">
        <f t="shared" si="1"/>
        <v>34651.986299999997</v>
      </c>
      <c r="J18" s="595"/>
      <c r="K18" s="595">
        <f t="shared" si="2"/>
        <v>35864.805820499991</v>
      </c>
      <c r="L18" s="595"/>
      <c r="M18" s="595">
        <f t="shared" si="3"/>
        <v>37120.074024217487</v>
      </c>
      <c r="N18" s="595"/>
      <c r="O18" s="595">
        <f t="shared" si="4"/>
        <v>38419.276615065093</v>
      </c>
      <c r="P18" s="595"/>
      <c r="Q18" s="595">
        <f t="shared" si="5"/>
        <v>39763.951296592371</v>
      </c>
      <c r="R18" s="595"/>
      <c r="S18" s="595">
        <f t="shared" si="6"/>
        <v>41155.689591973103</v>
      </c>
      <c r="T18" s="595"/>
      <c r="U18" s="595">
        <f t="shared" si="7"/>
        <v>42596.13872769216</v>
      </c>
      <c r="V18" s="595"/>
      <c r="W18" s="595">
        <f t="shared" si="8"/>
        <v>44087.003583161379</v>
      </c>
      <c r="X18" s="595"/>
      <c r="Y18" s="595">
        <f t="shared" si="9"/>
        <v>45630.048708572023</v>
      </c>
      <c r="Z18" s="595"/>
      <c r="AA18" s="595">
        <f t="shared" si="10"/>
        <v>47227.100413372042</v>
      </c>
      <c r="AB18" s="595"/>
      <c r="AC18" s="595">
        <f t="shared" si="11"/>
        <v>48880.048927840056</v>
      </c>
      <c r="AD18" s="595"/>
      <c r="AE18" s="595">
        <f t="shared" si="12"/>
        <v>50590.850640314457</v>
      </c>
      <c r="AF18" s="595"/>
      <c r="AG18" s="595">
        <f t="shared" si="13"/>
        <v>52361.530412725457</v>
      </c>
    </row>
    <row r="19" spans="1:33" ht="14.25">
      <c r="A19" s="582" t="s">
        <v>59</v>
      </c>
      <c r="B19" s="582"/>
      <c r="C19" s="606"/>
      <c r="D19" s="582"/>
      <c r="E19" s="595">
        <f>Application!W850</f>
        <v>107510</v>
      </c>
      <c r="F19" s="595"/>
      <c r="G19" s="595">
        <f t="shared" si="0"/>
        <v>111272.84999999999</v>
      </c>
      <c r="H19" s="595"/>
      <c r="I19" s="595">
        <f t="shared" si="1"/>
        <v>115167.39974999998</v>
      </c>
      <c r="J19" s="595"/>
      <c r="K19" s="595">
        <f t="shared" si="2"/>
        <v>119198.25874124997</v>
      </c>
      <c r="L19" s="595"/>
      <c r="M19" s="595">
        <f t="shared" si="3"/>
        <v>123370.19779719372</v>
      </c>
      <c r="N19" s="595"/>
      <c r="O19" s="595">
        <f t="shared" si="4"/>
        <v>127688.15472009548</v>
      </c>
      <c r="P19" s="595"/>
      <c r="Q19" s="595">
        <f t="shared" si="5"/>
        <v>132157.24013529881</v>
      </c>
      <c r="R19" s="595"/>
      <c r="S19" s="595">
        <f t="shared" si="6"/>
        <v>136782.74354003425</v>
      </c>
      <c r="T19" s="595"/>
      <c r="U19" s="595">
        <f t="shared" si="7"/>
        <v>141570.13956393543</v>
      </c>
      <c r="V19" s="595"/>
      <c r="W19" s="595">
        <f t="shared" si="8"/>
        <v>146525.09444867316</v>
      </c>
      <c r="X19" s="595"/>
      <c r="Y19" s="595">
        <f t="shared" si="9"/>
        <v>151653.47275437671</v>
      </c>
      <c r="Z19" s="595"/>
      <c r="AA19" s="595">
        <f t="shared" si="10"/>
        <v>156961.34430077989</v>
      </c>
      <c r="AB19" s="595"/>
      <c r="AC19" s="595">
        <f t="shared" si="11"/>
        <v>162454.99135130717</v>
      </c>
      <c r="AD19" s="595"/>
      <c r="AE19" s="595">
        <f t="shared" si="12"/>
        <v>168140.9160486029</v>
      </c>
      <c r="AF19" s="595"/>
      <c r="AG19" s="595">
        <f t="shared" si="13"/>
        <v>174025.84811030398</v>
      </c>
    </row>
    <row r="20" spans="1:33" ht="14.25">
      <c r="A20" s="746" t="s">
        <v>1318</v>
      </c>
      <c r="B20" s="746"/>
      <c r="C20" s="606"/>
      <c r="D20" s="582"/>
      <c r="E20" s="605">
        <f>Application!W857</f>
        <v>27086</v>
      </c>
      <c r="F20" s="595"/>
      <c r="G20" s="605">
        <f t="shared" si="0"/>
        <v>28034.01</v>
      </c>
      <c r="H20" s="595"/>
      <c r="I20" s="605">
        <f t="shared" si="1"/>
        <v>29015.200349999996</v>
      </c>
      <c r="J20" s="595"/>
      <c r="K20" s="605">
        <f t="shared" si="2"/>
        <v>30030.732362249993</v>
      </c>
      <c r="L20" s="595"/>
      <c r="M20" s="605">
        <f t="shared" si="3"/>
        <v>31081.807994928742</v>
      </c>
      <c r="N20" s="595"/>
      <c r="O20" s="605">
        <f t="shared" si="4"/>
        <v>32169.671274751247</v>
      </c>
      <c r="P20" s="595"/>
      <c r="Q20" s="605">
        <f t="shared" si="5"/>
        <v>33295.60976936754</v>
      </c>
      <c r="R20" s="595"/>
      <c r="S20" s="605">
        <f t="shared" si="6"/>
        <v>34460.956111295403</v>
      </c>
      <c r="T20" s="595"/>
      <c r="U20" s="605">
        <f t="shared" si="7"/>
        <v>35667.089575190737</v>
      </c>
      <c r="V20" s="595"/>
      <c r="W20" s="605">
        <f t="shared" si="8"/>
        <v>36915.437710322411</v>
      </c>
      <c r="X20" s="595"/>
      <c r="Y20" s="605">
        <f t="shared" si="9"/>
        <v>38207.478030183695</v>
      </c>
      <c r="Z20" s="595"/>
      <c r="AA20" s="605">
        <f t="shared" si="10"/>
        <v>39544.739761240118</v>
      </c>
      <c r="AB20" s="595"/>
      <c r="AC20" s="605">
        <f t="shared" si="11"/>
        <v>40928.805652883522</v>
      </c>
      <c r="AD20" s="595"/>
      <c r="AE20" s="605">
        <f t="shared" si="12"/>
        <v>42361.313850734441</v>
      </c>
      <c r="AF20" s="595"/>
      <c r="AG20" s="605">
        <f t="shared" si="13"/>
        <v>43843.959835510141</v>
      </c>
    </row>
    <row r="21" spans="1:33" ht="15">
      <c r="A21" s="596" t="s">
        <v>1167</v>
      </c>
      <c r="B21" s="596"/>
      <c r="C21" s="606"/>
      <c r="D21" s="596"/>
      <c r="E21" s="596">
        <f>SUM(E14:E20)</f>
        <v>479830</v>
      </c>
      <c r="F21" s="596"/>
      <c r="G21" s="596">
        <f>SUM(G14:G20)</f>
        <v>496624.05</v>
      </c>
      <c r="H21" s="596"/>
      <c r="I21" s="596">
        <f>SUM(I14:I20)</f>
        <v>514005.89174999989</v>
      </c>
      <c r="J21" s="596"/>
      <c r="K21" s="596">
        <f>SUM(K14:K20)</f>
        <v>531996.09796124988</v>
      </c>
      <c r="L21" s="596"/>
      <c r="M21" s="596">
        <f>SUM(M14:M20)</f>
        <v>550615.96138989367</v>
      </c>
      <c r="N21" s="596"/>
      <c r="O21" s="596">
        <f>SUM(O14:O20)</f>
        <v>569887.52003853978</v>
      </c>
      <c r="P21" s="596"/>
      <c r="Q21" s="596">
        <f>SUM(Q14:Q20)</f>
        <v>589833.58323988866</v>
      </c>
      <c r="R21" s="596"/>
      <c r="S21" s="596">
        <f>SUM(S14:S20)</f>
        <v>610477.75865328463</v>
      </c>
      <c r="T21" s="596"/>
      <c r="U21" s="596">
        <f>SUM(U14:U20)</f>
        <v>631844.48020614963</v>
      </c>
      <c r="V21" s="596"/>
      <c r="W21" s="596">
        <f>SUM(W14:W20)</f>
        <v>653959.03701336484</v>
      </c>
      <c r="X21" s="596"/>
      <c r="Y21" s="596">
        <f>SUM(Y14:Y20)</f>
        <v>676847.60330883251</v>
      </c>
      <c r="Z21" s="596"/>
      <c r="AA21" s="596">
        <f>SUM(AA14:AA20)</f>
        <v>700537.2694246415</v>
      </c>
      <c r="AB21" s="596"/>
      <c r="AC21" s="596">
        <f>SUM(AC14:AC20)</f>
        <v>725056.07385450404</v>
      </c>
      <c r="AD21" s="596"/>
      <c r="AE21" s="596">
        <f>SUM(AE14:AE20)</f>
        <v>750433.03643941157</v>
      </c>
      <c r="AF21" s="596"/>
      <c r="AG21" s="596">
        <f>SUM(AG14:AG20)</f>
        <v>776698.19271479093</v>
      </c>
    </row>
    <row r="22" spans="1:33" s="1332"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2" customFormat="1" ht="15">
      <c r="A23" s="1351" t="s">
        <v>2141</v>
      </c>
      <c r="B23" s="1351"/>
      <c r="C23" s="1352"/>
      <c r="D23" s="1351"/>
      <c r="E23" s="1353"/>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28318</v>
      </c>
      <c r="F26" s="595"/>
      <c r="G26" s="595">
        <f>E26*$C$26</f>
        <v>29309.129999999997</v>
      </c>
      <c r="H26" s="595"/>
      <c r="I26" s="595">
        <f>G26*$C$26</f>
        <v>30334.949549999994</v>
      </c>
      <c r="J26" s="595"/>
      <c r="K26" s="595">
        <f>I26*$C$26</f>
        <v>31396.672784249989</v>
      </c>
      <c r="L26" s="595"/>
      <c r="M26" s="595">
        <f>K26*$C$26</f>
        <v>32495.556331698735</v>
      </c>
      <c r="N26" s="595"/>
      <c r="O26" s="595">
        <f>M26*$C$26</f>
        <v>33632.900803308192</v>
      </c>
      <c r="P26" s="595"/>
      <c r="Q26" s="595">
        <f>O26*$C$26</f>
        <v>34810.052331423976</v>
      </c>
      <c r="R26" s="595"/>
      <c r="S26" s="595">
        <f>Q26*$C$26</f>
        <v>36028.404163023813</v>
      </c>
      <c r="T26" s="595"/>
      <c r="U26" s="595">
        <f>S26*$C$26</f>
        <v>37289.398308729644</v>
      </c>
      <c r="V26" s="595"/>
      <c r="W26" s="595">
        <f>U26*$C$26</f>
        <v>38594.527249535182</v>
      </c>
      <c r="X26" s="595"/>
      <c r="Y26" s="595">
        <f>W26*$C$26</f>
        <v>39945.335703268909</v>
      </c>
      <c r="Z26" s="595"/>
      <c r="AA26" s="595">
        <f>Y26*$C$26</f>
        <v>41343.422452883315</v>
      </c>
      <c r="AB26" s="595"/>
      <c r="AC26" s="595">
        <f>AA26*$C$26</f>
        <v>42790.442238734227</v>
      </c>
      <c r="AD26" s="595"/>
      <c r="AE26" s="595">
        <f>AC26*$C$26</f>
        <v>44288.107717089923</v>
      </c>
      <c r="AF26" s="595"/>
      <c r="AG26" s="595">
        <f>AE26*$C$26</f>
        <v>45838.191487188065</v>
      </c>
    </row>
    <row r="27" spans="1:33" ht="14.25">
      <c r="A27" s="1351" t="s">
        <v>1169</v>
      </c>
      <c r="B27" s="582"/>
      <c r="C27" s="618"/>
      <c r="D27" s="582"/>
      <c r="E27" s="595">
        <f>Application!AC867</f>
        <v>25000</v>
      </c>
      <c r="F27" s="595"/>
      <c r="G27" s="595">
        <f>$E$27</f>
        <v>25000</v>
      </c>
      <c r="H27" s="595"/>
      <c r="I27" s="595">
        <f>$E$27</f>
        <v>25000</v>
      </c>
      <c r="J27" s="595"/>
      <c r="K27" s="595">
        <f>$E$27</f>
        <v>25000</v>
      </c>
      <c r="L27" s="595"/>
      <c r="M27" s="595">
        <f>$E$27</f>
        <v>25000</v>
      </c>
      <c r="N27" s="595"/>
      <c r="O27" s="595">
        <f>$E$27</f>
        <v>25000</v>
      </c>
      <c r="P27" s="595"/>
      <c r="Q27" s="595">
        <f>$E$27</f>
        <v>25000</v>
      </c>
      <c r="R27" s="595"/>
      <c r="S27" s="595">
        <f>$E$27</f>
        <v>25000</v>
      </c>
      <c r="T27" s="595"/>
      <c r="U27" s="595">
        <f>$E$27</f>
        <v>25000</v>
      </c>
      <c r="V27" s="595"/>
      <c r="W27" s="595">
        <f>$E$27</f>
        <v>25000</v>
      </c>
      <c r="X27" s="595"/>
      <c r="Y27" s="595">
        <f>$E$27</f>
        <v>25000</v>
      </c>
      <c r="Z27" s="595"/>
      <c r="AA27" s="595">
        <f>$E$27</f>
        <v>25000</v>
      </c>
      <c r="AB27" s="595"/>
      <c r="AC27" s="595">
        <f>$E$27</f>
        <v>25000</v>
      </c>
      <c r="AD27" s="595"/>
      <c r="AE27" s="595">
        <f>$E$27</f>
        <v>25000</v>
      </c>
      <c r="AF27" s="595"/>
      <c r="AG27" s="595">
        <f>$E$27</f>
        <v>25000</v>
      </c>
    </row>
    <row r="28" spans="1:33" s="1332" customFormat="1" ht="14.25">
      <c r="A28" s="1351" t="s">
        <v>2142</v>
      </c>
      <c r="B28" s="582"/>
      <c r="C28" s="618"/>
      <c r="D28" s="582"/>
      <c r="E28" s="595">
        <f>Application!AC868</f>
        <v>5500</v>
      </c>
      <c r="F28" s="595"/>
      <c r="G28" s="595">
        <f>$E$28</f>
        <v>5500</v>
      </c>
      <c r="H28" s="595"/>
      <c r="I28" s="595">
        <f>$E$28</f>
        <v>5500</v>
      </c>
      <c r="J28" s="595"/>
      <c r="K28" s="595">
        <f>$E$28</f>
        <v>5500</v>
      </c>
      <c r="L28" s="595"/>
      <c r="M28" s="595">
        <f>$E$28</f>
        <v>5500</v>
      </c>
      <c r="N28" s="595"/>
      <c r="O28" s="595">
        <f>$E$28</f>
        <v>5500</v>
      </c>
      <c r="P28" s="595"/>
      <c r="Q28" s="595">
        <f>$E$28</f>
        <v>5500</v>
      </c>
      <c r="R28" s="595"/>
      <c r="S28" s="595">
        <f>$E$28</f>
        <v>5500</v>
      </c>
      <c r="T28" s="595"/>
      <c r="U28" s="595">
        <f>$E$28</f>
        <v>5500</v>
      </c>
      <c r="V28" s="595"/>
      <c r="W28" s="595">
        <f>$E$28</f>
        <v>5500</v>
      </c>
      <c r="X28" s="595"/>
      <c r="Y28" s="595">
        <f>$E$28</f>
        <v>5500</v>
      </c>
      <c r="Z28" s="595"/>
      <c r="AA28" s="595">
        <f>$E$28</f>
        <v>5500</v>
      </c>
      <c r="AB28" s="595"/>
      <c r="AC28" s="595">
        <f>$E$28</f>
        <v>5500</v>
      </c>
      <c r="AD28" s="595"/>
      <c r="AE28" s="595">
        <f>$E$28</f>
        <v>5500</v>
      </c>
      <c r="AF28" s="595"/>
      <c r="AG28" s="595">
        <f>$E$28</f>
        <v>5500</v>
      </c>
    </row>
    <row r="29" spans="1:33" ht="14.25">
      <c r="A29" s="1351" t="s">
        <v>1170</v>
      </c>
      <c r="B29" s="582"/>
      <c r="C29" s="616">
        <v>1.02</v>
      </c>
      <c r="D29" s="582"/>
      <c r="E29" s="595">
        <f>Application!AC869</f>
        <v>2517</v>
      </c>
      <c r="F29" s="595"/>
      <c r="G29" s="595">
        <f>E29*$C$29</f>
        <v>2567.34</v>
      </c>
      <c r="H29" s="595"/>
      <c r="I29" s="595">
        <f>G29*$C$29</f>
        <v>2618.6868000000004</v>
      </c>
      <c r="J29" s="595"/>
      <c r="K29" s="595">
        <f>I29*$C$29</f>
        <v>2671.0605360000004</v>
      </c>
      <c r="L29" s="595"/>
      <c r="M29" s="595">
        <f>K29*$C$29</f>
        <v>2724.4817467200005</v>
      </c>
      <c r="N29" s="595"/>
      <c r="O29" s="595">
        <f>M29*$C$29</f>
        <v>2778.9713816544004</v>
      </c>
      <c r="P29" s="595"/>
      <c r="Q29" s="595">
        <f>O29*$C$29</f>
        <v>2834.5508092874884</v>
      </c>
      <c r="R29" s="595"/>
      <c r="S29" s="595">
        <f>Q29*$C$29</f>
        <v>2891.2418254732384</v>
      </c>
      <c r="T29" s="595"/>
      <c r="U29" s="595">
        <f>S29*$C$29</f>
        <v>2949.066661982703</v>
      </c>
      <c r="V29" s="595"/>
      <c r="W29" s="595">
        <f>U29*$C$29</f>
        <v>3008.0479952223573</v>
      </c>
      <c r="X29" s="595"/>
      <c r="Y29" s="595">
        <f>W29*$C$29</f>
        <v>3068.2089551268045</v>
      </c>
      <c r="Z29" s="595"/>
      <c r="AA29" s="595">
        <f>Y29*$C$29</f>
        <v>3129.5731342293407</v>
      </c>
      <c r="AB29" s="595"/>
      <c r="AC29" s="595">
        <f>AA29*$C$29</f>
        <v>3192.1645969139277</v>
      </c>
      <c r="AD29" s="595"/>
      <c r="AE29" s="595">
        <f>AC29*$C$29</f>
        <v>3256.0078888522062</v>
      </c>
      <c r="AF29" s="595"/>
      <c r="AG29" s="595">
        <f>AE29*$C$29</f>
        <v>3321.1280466292505</v>
      </c>
    </row>
    <row r="30" spans="1:33" s="1332" customFormat="1" ht="14.25">
      <c r="A30" s="1351"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541165</v>
      </c>
      <c r="F34" s="596"/>
      <c r="G34" s="596">
        <f>SUM(G21:G32)</f>
        <v>559000.5199999999</v>
      </c>
      <c r="H34" s="596"/>
      <c r="I34" s="596">
        <f>SUM(I21:I32)</f>
        <v>577459.52809999988</v>
      </c>
      <c r="J34" s="596"/>
      <c r="K34" s="596">
        <f>SUM(K21:K32)</f>
        <v>596563.83128149982</v>
      </c>
      <c r="L34" s="596"/>
      <c r="M34" s="596">
        <f>SUM(M21:M32)</f>
        <v>616335.99946831248</v>
      </c>
      <c r="N34" s="596"/>
      <c r="O34" s="596">
        <f>SUM(O21:O32)</f>
        <v>636799.39222350239</v>
      </c>
      <c r="P34" s="596"/>
      <c r="Q34" s="596">
        <f>SUM(Q21:Q32)</f>
        <v>657978.18638060009</v>
      </c>
      <c r="R34" s="596"/>
      <c r="S34" s="596">
        <f>SUM(S21:S32)</f>
        <v>679897.4046417817</v>
      </c>
      <c r="T34" s="596"/>
      <c r="U34" s="596">
        <f>SUM(U21:U32)</f>
        <v>702582.94517686195</v>
      </c>
      <c r="V34" s="596"/>
      <c r="W34" s="596">
        <f>SUM(W21:W32)</f>
        <v>726061.61225812242</v>
      </c>
      <c r="X34" s="596"/>
      <c r="Y34" s="596">
        <f>SUM(Y21:Y32)</f>
        <v>750361.1479672282</v>
      </c>
      <c r="Z34" s="596"/>
      <c r="AA34" s="596">
        <f>SUM(AA21:AA32)</f>
        <v>775510.26501175412</v>
      </c>
      <c r="AB34" s="596"/>
      <c r="AC34" s="596">
        <f>SUM(AC21:AC32)</f>
        <v>801538.68069015222</v>
      </c>
      <c r="AD34" s="596"/>
      <c r="AE34" s="596">
        <f>SUM(AE21:AE32)</f>
        <v>828477.15204535367</v>
      </c>
      <c r="AF34" s="596"/>
      <c r="AG34" s="596">
        <f>SUM(AG21:AG32)</f>
        <v>856357.51224860828</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534786.48469387763</v>
      </c>
      <c r="F36" s="596"/>
      <c r="G36" s="596">
        <f>G10-G34</f>
        <v>543849.75181122439</v>
      </c>
      <c r="H36" s="596"/>
      <c r="I36" s="596">
        <f>I10-I34</f>
        <v>552962.00050650502</v>
      </c>
      <c r="J36" s="596"/>
      <c r="K36" s="596">
        <f>K10-K34</f>
        <v>562118.23554016754</v>
      </c>
      <c r="L36" s="596"/>
      <c r="M36" s="596">
        <f>M10-M34</f>
        <v>571313.11902389617</v>
      </c>
      <c r="N36" s="596"/>
      <c r="O36" s="596">
        <f>O10-O34</f>
        <v>580540.95423101156</v>
      </c>
      <c r="P36" s="596"/>
      <c r="Q36" s="596">
        <f>Q10-Q34</f>
        <v>589795.66873527644</v>
      </c>
      <c r="R36" s="596"/>
      <c r="S36" s="596">
        <f>S10-S34</f>
        <v>599070.79685199191</v>
      </c>
      <c r="T36" s="596"/>
      <c r="U36" s="596">
        <f>U10-U34</f>
        <v>608359.46135425614</v>
      </c>
      <c r="V36" s="596"/>
      <c r="W36" s="596">
        <f>W10-W34</f>
        <v>617654.3544362731</v>
      </c>
      <c r="X36" s="596"/>
      <c r="Y36" s="596">
        <f>Y10-Y34</f>
        <v>626947.71789452713</v>
      </c>
      <c r="Z36" s="596"/>
      <c r="AA36" s="596">
        <f>AA10-AA34</f>
        <v>636231.32249654504</v>
      </c>
      <c r="AB36" s="596"/>
      <c r="AC36" s="596">
        <f>AC10-AC34</f>
        <v>645496.44650585426</v>
      </c>
      <c r="AD36" s="596"/>
      <c r="AE36" s="596">
        <f>AE10-AE34</f>
        <v>654733.85333055316</v>
      </c>
      <c r="AF36" s="596"/>
      <c r="AG36" s="596">
        <f>AG10-AG34</f>
        <v>663933.76826169575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JP Morgan Chase Permanent Loan</v>
      </c>
      <c r="B39" s="599"/>
      <c r="C39" s="593"/>
      <c r="D39" s="582"/>
      <c r="E39" s="592">
        <f>Application!AF632</f>
        <v>464846.29777597461</v>
      </c>
      <c r="F39" s="592"/>
      <c r="G39" s="592">
        <f>$E$39</f>
        <v>464846.29777597461</v>
      </c>
      <c r="H39" s="592"/>
      <c r="I39" s="592">
        <f>$E$39</f>
        <v>464846.29777597461</v>
      </c>
      <c r="J39" s="592"/>
      <c r="K39" s="592">
        <f>$E$39</f>
        <v>464846.29777597461</v>
      </c>
      <c r="L39" s="592"/>
      <c r="M39" s="592">
        <f>$E$39</f>
        <v>464846.29777597461</v>
      </c>
      <c r="N39" s="592"/>
      <c r="O39" s="592">
        <f>$E$39</f>
        <v>464846.29777597461</v>
      </c>
      <c r="P39" s="592"/>
      <c r="Q39" s="592">
        <f>$E$39</f>
        <v>464846.29777597461</v>
      </c>
      <c r="R39" s="592"/>
      <c r="S39" s="592">
        <f>$E$39</f>
        <v>464846.29777597461</v>
      </c>
      <c r="T39" s="592"/>
      <c r="U39" s="592">
        <f>$E$39</f>
        <v>464846.29777597461</v>
      </c>
      <c r="V39" s="592"/>
      <c r="W39" s="592">
        <f>$E$39</f>
        <v>464846.29777597461</v>
      </c>
      <c r="X39" s="592"/>
      <c r="Y39" s="592">
        <f>$E$39</f>
        <v>464846.29777597461</v>
      </c>
      <c r="Z39" s="592"/>
      <c r="AA39" s="592">
        <f>$E$39</f>
        <v>464846.29777597461</v>
      </c>
      <c r="AB39" s="592"/>
      <c r="AC39" s="592">
        <f>$E$39</f>
        <v>464846.29777597461</v>
      </c>
      <c r="AD39" s="592"/>
      <c r="AE39" s="592">
        <f>$E$39</f>
        <v>464846.29777597461</v>
      </c>
      <c r="AF39" s="592"/>
      <c r="AG39" s="592">
        <f>$E$39</f>
        <v>464846.29777597461</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464846.29777597461</v>
      </c>
      <c r="F42" s="596"/>
      <c r="G42" s="596">
        <f>SUM(G39:G41)</f>
        <v>464846.29777597461</v>
      </c>
      <c r="H42" s="596"/>
      <c r="I42" s="596">
        <f>SUM(I39:I41)</f>
        <v>464846.29777597461</v>
      </c>
      <c r="J42" s="596"/>
      <c r="K42" s="596">
        <f>SUM(K39:K41)</f>
        <v>464846.29777597461</v>
      </c>
      <c r="L42" s="596"/>
      <c r="M42" s="596">
        <f>SUM(M39:M41)</f>
        <v>464846.29777597461</v>
      </c>
      <c r="N42" s="596"/>
      <c r="O42" s="596">
        <f>SUM(O39:O41)</f>
        <v>464846.29777597461</v>
      </c>
      <c r="P42" s="596"/>
      <c r="Q42" s="596">
        <f>SUM(Q39:Q41)</f>
        <v>464846.29777597461</v>
      </c>
      <c r="R42" s="596"/>
      <c r="S42" s="596">
        <f>SUM(S39:S41)</f>
        <v>464846.29777597461</v>
      </c>
      <c r="T42" s="596"/>
      <c r="U42" s="596">
        <f>SUM(U39:U41)</f>
        <v>464846.29777597461</v>
      </c>
      <c r="V42" s="596"/>
      <c r="W42" s="596">
        <f>SUM(W39:W41)</f>
        <v>464846.29777597461</v>
      </c>
      <c r="X42" s="596"/>
      <c r="Y42" s="596">
        <f>SUM(Y39:Y41)</f>
        <v>464846.29777597461</v>
      </c>
      <c r="Z42" s="596"/>
      <c r="AA42" s="596">
        <f>SUM(AA39:AA41)</f>
        <v>464846.29777597461</v>
      </c>
      <c r="AB42" s="596"/>
      <c r="AC42" s="596">
        <f>SUM(AC39:AC41)</f>
        <v>464846.29777597461</v>
      </c>
      <c r="AD42" s="596"/>
      <c r="AE42" s="596">
        <f>SUM(AE39:AE41)</f>
        <v>464846.29777597461</v>
      </c>
      <c r="AF42" s="596"/>
      <c r="AG42" s="596">
        <f>SUM(AG39:AG41)</f>
        <v>464846.29777597461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69940.186917903018</v>
      </c>
      <c r="F44" s="596"/>
      <c r="G44" s="596">
        <f>G36-G42</f>
        <v>79003.454035249772</v>
      </c>
      <c r="H44" s="596"/>
      <c r="I44" s="596">
        <f>I36-I42</f>
        <v>88115.702730530407</v>
      </c>
      <c r="J44" s="596"/>
      <c r="K44" s="596">
        <f>K36-K42</f>
        <v>97271.937764192931</v>
      </c>
      <c r="L44" s="596"/>
      <c r="M44" s="596">
        <f>M36-M42</f>
        <v>106466.82124792156</v>
      </c>
      <c r="N44" s="596"/>
      <c r="O44" s="596">
        <f>O36-O42</f>
        <v>115694.65645503695</v>
      </c>
      <c r="P44" s="596"/>
      <c r="Q44" s="596">
        <f>Q36-Q42</f>
        <v>124949.37095930183</v>
      </c>
      <c r="R44" s="596"/>
      <c r="S44" s="596">
        <f>S36-S42</f>
        <v>134224.4990760173</v>
      </c>
      <c r="T44" s="596"/>
      <c r="U44" s="596">
        <f>U36-U42</f>
        <v>143513.16357828153</v>
      </c>
      <c r="V44" s="596"/>
      <c r="W44" s="596">
        <f>W36-W42</f>
        <v>152808.05666029849</v>
      </c>
      <c r="X44" s="596"/>
      <c r="Y44" s="596">
        <f>Y36-Y42</f>
        <v>162101.42011855252</v>
      </c>
      <c r="Z44" s="596"/>
      <c r="AA44" s="596">
        <f>AA36-AA42</f>
        <v>171385.02472057042</v>
      </c>
      <c r="AB44" s="596"/>
      <c r="AC44" s="596">
        <f>AC36-AC42</f>
        <v>180650.14872987964</v>
      </c>
      <c r="AD44" s="596"/>
      <c r="AE44" s="596">
        <f>AE36-AE42</f>
        <v>189887.55555457855</v>
      </c>
      <c r="AF44" s="596"/>
      <c r="AG44" s="596">
        <f>AG36-AG42</f>
        <v>199087.47048572113</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5.987429933637043E-2</v>
      </c>
      <c r="F46" s="600"/>
      <c r="G46" s="600">
        <f>G44/(G4+G6+G8)</f>
        <v>6.5983579146776314E-2</v>
      </c>
      <c r="H46" s="600"/>
      <c r="I46" s="600">
        <f>I44/(I4+I6+I8)</f>
        <v>7.1799138604745086E-2</v>
      </c>
      <c r="J46" s="600"/>
      <c r="K46" s="600">
        <f>K44/(K4+K6+K8)</f>
        <v>7.732672678066671E-2</v>
      </c>
      <c r="L46" s="600"/>
      <c r="M46" s="600">
        <f>M44/(M4+M6+M8)</f>
        <v>8.2571938735019529E-2</v>
      </c>
      <c r="N46" s="600"/>
      <c r="O46" s="600">
        <f>O44/(O4+O6+O8)</f>
        <v>8.7540219140115713E-2</v>
      </c>
      <c r="P46" s="600"/>
      <c r="Q46" s="600">
        <f>Q44/(Q4+Q6+Q8)</f>
        <v>9.2236865812193883E-2</v>
      </c>
      <c r="R46" s="600"/>
      <c r="S46" s="600">
        <f>S44/(S4+S6+S8)</f>
        <v>9.6667033156045079E-2</v>
      </c>
      <c r="T46" s="600"/>
      <c r="U46" s="600">
        <f>U44/(U4+U6+U8)</f>
        <v>0.10083573552427788</v>
      </c>
      <c r="V46" s="600"/>
      <c r="W46" s="600">
        <f>W44/(W4+W6+W8)</f>
        <v>0.10474785049330292</v>
      </c>
      <c r="X46" s="600"/>
      <c r="Y46" s="600">
        <f>Y44/(Y4+Y6+Y8)</f>
        <v>0.1084081220580506</v>
      </c>
      <c r="Z46" s="600"/>
      <c r="AA46" s="600">
        <f>AA44/(AA4+AA6+AA8)</f>
        <v>0.11182116374738682</v>
      </c>
      <c r="AB46" s="600"/>
      <c r="AC46" s="600">
        <f>AC44/(AC4+AC6+AC8)</f>
        <v>0.11499146166215569</v>
      </c>
      <c r="AD46" s="600"/>
      <c r="AE46" s="600">
        <f>AE44/(AE4+AE6+AE8)</f>
        <v>0.11792337743771772</v>
      </c>
      <c r="AF46" s="600"/>
      <c r="AG46" s="600">
        <f>AG44/(AG4+AG6+AG8)</f>
        <v>0.12062115113280895</v>
      </c>
      <c r="AH46" s="600"/>
      <c r="AI46" s="600"/>
    </row>
    <row r="47" spans="1:35" ht="14.25">
      <c r="A47" s="600" t="s">
        <v>1176</v>
      </c>
      <c r="B47" s="600"/>
      <c r="C47" s="593"/>
      <c r="D47" s="600"/>
      <c r="E47" s="600">
        <f>E44/E42</f>
        <v>0.15045873711918772</v>
      </c>
      <c r="F47" s="600"/>
      <c r="G47" s="600">
        <f>G44/G42</f>
        <v>0.16995607884420377</v>
      </c>
      <c r="H47" s="600"/>
      <c r="I47" s="600">
        <f>I44/I42</f>
        <v>0.18955879212572838</v>
      </c>
      <c r="J47" s="600"/>
      <c r="K47" s="600">
        <f>K44/K42</f>
        <v>0.20925613096110238</v>
      </c>
      <c r="L47" s="600"/>
      <c r="M47" s="600">
        <f>M44/M42</f>
        <v>0.22903661222495436</v>
      </c>
      <c r="N47" s="600"/>
      <c r="O47" s="600">
        <f>O44/O42</f>
        <v>0.24888798084134506</v>
      </c>
      <c r="P47" s="600"/>
      <c r="Q47" s="600">
        <f>Q44/Q42</f>
        <v>0.26879717351114457</v>
      </c>
      <c r="R47" s="600"/>
      <c r="S47" s="600">
        <f>S44/S42</f>
        <v>0.28875028093846344</v>
      </c>
      <c r="T47" s="600"/>
      <c r="U47" s="600">
        <f>U44/U42</f>
        <v>0.30873250849777756</v>
      </c>
      <c r="V47" s="600"/>
      <c r="W47" s="600">
        <f>W44/W42</f>
        <v>0.32872813528127082</v>
      </c>
      <c r="X47" s="600"/>
      <c r="Y47" s="600">
        <f>Y44/Y42</f>
        <v>0.34872047146361218</v>
      </c>
      <c r="Z47" s="600"/>
      <c r="AA47" s="600">
        <f>AA44/AA42</f>
        <v>0.36869181391903166</v>
      </c>
      <c r="AB47" s="600"/>
      <c r="AC47" s="600">
        <f>AC44/AC42</f>
        <v>0.38862340002316453</v>
      </c>
      <c r="AD47" s="600"/>
      <c r="AE47" s="600">
        <f>AE44/AE42</f>
        <v>0.40849535956956651</v>
      </c>
      <c r="AF47" s="600"/>
      <c r="AG47" s="600">
        <f>AG44/AG42</f>
        <v>0.42828666472819416</v>
      </c>
      <c r="AH47" s="600"/>
      <c r="AI47" s="600"/>
    </row>
    <row r="48" spans="1:35" ht="14.25">
      <c r="A48" s="601" t="s">
        <v>1177</v>
      </c>
      <c r="B48" s="601"/>
      <c r="C48" s="602"/>
      <c r="D48" s="601"/>
      <c r="E48" s="601">
        <f>E36/E42</f>
        <v>1.1504587371191877</v>
      </c>
      <c r="F48" s="601"/>
      <c r="G48" s="601">
        <f>G36/G42</f>
        <v>1.1699560788442038</v>
      </c>
      <c r="H48" s="601"/>
      <c r="I48" s="601">
        <f>I36/I42</f>
        <v>1.1895587921257285</v>
      </c>
      <c r="J48" s="601"/>
      <c r="K48" s="601">
        <f>K36/K42</f>
        <v>1.2092561309611023</v>
      </c>
      <c r="L48" s="601"/>
      <c r="M48" s="601">
        <f>M36/M42</f>
        <v>1.2290366122249543</v>
      </c>
      <c r="N48" s="601"/>
      <c r="O48" s="601">
        <f>O36/O42</f>
        <v>1.2488879808413451</v>
      </c>
      <c r="P48" s="601"/>
      <c r="Q48" s="601">
        <f>Q36/Q42</f>
        <v>1.2687971735111445</v>
      </c>
      <c r="R48" s="601"/>
      <c r="S48" s="601">
        <f>S36/S42</f>
        <v>1.2887502809384634</v>
      </c>
      <c r="T48" s="601"/>
      <c r="U48" s="601">
        <f>U36/U42</f>
        <v>1.3087325084977777</v>
      </c>
      <c r="V48" s="601"/>
      <c r="W48" s="601">
        <f>W36/W42</f>
        <v>1.3287281352812708</v>
      </c>
      <c r="X48" s="601"/>
      <c r="Y48" s="601">
        <f>Y36/Y42</f>
        <v>1.3487204714636121</v>
      </c>
      <c r="Z48" s="601"/>
      <c r="AA48" s="601">
        <f>AA36/AA42</f>
        <v>1.3686918139190316</v>
      </c>
      <c r="AB48" s="601"/>
      <c r="AC48" s="601">
        <f>AC36/AC42</f>
        <v>1.3886234000231645</v>
      </c>
      <c r="AD48" s="601"/>
      <c r="AE48" s="601">
        <f>AE36/AE42</f>
        <v>1.4084953595695666</v>
      </c>
      <c r="AF48" s="601"/>
      <c r="AG48" s="601">
        <f>AG36/AG42</f>
        <v>1.4282866647281942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2"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4"/>
      <c r="D52" s="580"/>
      <c r="E52" s="609"/>
      <c r="F52" s="580"/>
      <c r="G52" s="1356">
        <f>E52*$C$52</f>
        <v>0</v>
      </c>
      <c r="H52" s="1356"/>
      <c r="I52" s="1356">
        <f>G52*$C$52</f>
        <v>0</v>
      </c>
      <c r="J52" s="1356"/>
      <c r="K52" s="1356">
        <f>I52*$C$52</f>
        <v>0</v>
      </c>
      <c r="L52" s="1356"/>
      <c r="M52" s="1356">
        <f>K52*$C$52</f>
        <v>0</v>
      </c>
      <c r="N52" s="1356"/>
      <c r="O52" s="1356">
        <f>M52*$C$52</f>
        <v>0</v>
      </c>
      <c r="P52" s="1356"/>
      <c r="Q52" s="1356">
        <f>O52*$C$52</f>
        <v>0</v>
      </c>
      <c r="R52" s="1356"/>
      <c r="S52" s="1356">
        <f>Q52*$C$52</f>
        <v>0</v>
      </c>
      <c r="T52" s="1356"/>
      <c r="U52" s="1356">
        <f>S52*$C$52</f>
        <v>0</v>
      </c>
      <c r="V52" s="1356"/>
      <c r="W52" s="1356">
        <f>U52*$C$52</f>
        <v>0</v>
      </c>
      <c r="X52" s="1356"/>
      <c r="Y52" s="1356">
        <f>W52*$C$52</f>
        <v>0</v>
      </c>
      <c r="Z52" s="1356"/>
      <c r="AA52" s="1356">
        <f>Y52*$C$52</f>
        <v>0</v>
      </c>
      <c r="AB52" s="1356"/>
      <c r="AC52" s="1356">
        <f>AA52*$C$52</f>
        <v>0</v>
      </c>
      <c r="AD52" s="1356"/>
      <c r="AE52" s="1356">
        <f>AC52*$C$52</f>
        <v>0</v>
      </c>
      <c r="AF52" s="1356"/>
      <c r="AG52" s="1356">
        <f>AE52*$C$52</f>
        <v>0</v>
      </c>
      <c r="AH52" s="580"/>
      <c r="AI52" s="580"/>
    </row>
    <row r="53" spans="1:35">
      <c r="A53" s="564" t="s">
        <v>1180</v>
      </c>
      <c r="B53" s="564"/>
      <c r="C53" s="619"/>
      <c r="D53" s="564"/>
      <c r="E53" s="610"/>
      <c r="F53" s="589"/>
      <c r="G53" s="1355">
        <f t="shared" ref="G53:AG56" si="14">E53*$C$52</f>
        <v>0</v>
      </c>
      <c r="H53" s="1355"/>
      <c r="I53" s="1355">
        <f t="shared" si="14"/>
        <v>0</v>
      </c>
      <c r="J53" s="1355"/>
      <c r="K53" s="1355">
        <f t="shared" si="14"/>
        <v>0</v>
      </c>
      <c r="L53" s="1355"/>
      <c r="M53" s="1355">
        <f t="shared" si="14"/>
        <v>0</v>
      </c>
      <c r="N53" s="1355"/>
      <c r="O53" s="1355">
        <f t="shared" si="14"/>
        <v>0</v>
      </c>
      <c r="P53" s="1355"/>
      <c r="Q53" s="1355">
        <f t="shared" si="14"/>
        <v>0</v>
      </c>
      <c r="R53" s="1355"/>
      <c r="S53" s="1355">
        <f t="shared" si="14"/>
        <v>0</v>
      </c>
      <c r="T53" s="1355"/>
      <c r="U53" s="1355">
        <f t="shared" si="14"/>
        <v>0</v>
      </c>
      <c r="V53" s="1355"/>
      <c r="W53" s="1355">
        <f t="shared" si="14"/>
        <v>0</v>
      </c>
      <c r="X53" s="1355"/>
      <c r="Y53" s="1355">
        <f t="shared" si="14"/>
        <v>0</v>
      </c>
      <c r="Z53" s="1355"/>
      <c r="AA53" s="1355">
        <f t="shared" si="14"/>
        <v>0</v>
      </c>
      <c r="AB53" s="1355"/>
      <c r="AC53" s="1355">
        <f t="shared" si="14"/>
        <v>0</v>
      </c>
      <c r="AD53" s="1355"/>
      <c r="AE53" s="1355">
        <f t="shared" si="14"/>
        <v>0</v>
      </c>
      <c r="AF53" s="1355"/>
      <c r="AG53" s="1355">
        <f t="shared" si="14"/>
        <v>0</v>
      </c>
      <c r="AH53" s="589"/>
      <c r="AI53" s="589"/>
    </row>
    <row r="54" spans="1:35">
      <c r="A54" s="564" t="s">
        <v>1181</v>
      </c>
      <c r="B54" s="564"/>
      <c r="C54" s="619"/>
      <c r="D54" s="564"/>
      <c r="E54" s="1523"/>
      <c r="F54" s="589"/>
      <c r="G54" s="1355">
        <f t="shared" si="14"/>
        <v>0</v>
      </c>
      <c r="H54" s="1355"/>
      <c r="I54" s="1355">
        <f t="shared" si="14"/>
        <v>0</v>
      </c>
      <c r="J54" s="1355"/>
      <c r="K54" s="1355">
        <f t="shared" si="14"/>
        <v>0</v>
      </c>
      <c r="L54" s="1355"/>
      <c r="M54" s="1355">
        <f t="shared" si="14"/>
        <v>0</v>
      </c>
      <c r="N54" s="1355"/>
      <c r="O54" s="1355">
        <f t="shared" si="14"/>
        <v>0</v>
      </c>
      <c r="P54" s="1355"/>
      <c r="Q54" s="1355">
        <f t="shared" si="14"/>
        <v>0</v>
      </c>
      <c r="R54" s="1355"/>
      <c r="S54" s="1355">
        <f t="shared" si="14"/>
        <v>0</v>
      </c>
      <c r="T54" s="1355"/>
      <c r="U54" s="1355">
        <f t="shared" si="14"/>
        <v>0</v>
      </c>
      <c r="V54" s="1355"/>
      <c r="W54" s="1355">
        <f t="shared" si="14"/>
        <v>0</v>
      </c>
      <c r="X54" s="1355"/>
      <c r="Y54" s="1355">
        <f t="shared" si="14"/>
        <v>0</v>
      </c>
      <c r="Z54" s="1355"/>
      <c r="AA54" s="1355">
        <f t="shared" si="14"/>
        <v>0</v>
      </c>
      <c r="AB54" s="1355"/>
      <c r="AC54" s="1355">
        <f t="shared" si="14"/>
        <v>0</v>
      </c>
      <c r="AD54" s="1355"/>
      <c r="AE54" s="1355">
        <f t="shared" si="14"/>
        <v>0</v>
      </c>
      <c r="AF54" s="1355"/>
      <c r="AG54" s="1355">
        <f t="shared" si="14"/>
        <v>0</v>
      </c>
      <c r="AH54" s="589"/>
      <c r="AI54" s="589"/>
    </row>
    <row r="55" spans="1:35">
      <c r="A55" s="608"/>
      <c r="B55" s="608"/>
      <c r="C55" s="619"/>
      <c r="D55" s="564"/>
      <c r="E55" s="610"/>
      <c r="F55" s="589"/>
      <c r="G55" s="1355">
        <f t="shared" si="14"/>
        <v>0</v>
      </c>
      <c r="H55" s="1355"/>
      <c r="I55" s="1355">
        <f t="shared" si="14"/>
        <v>0</v>
      </c>
      <c r="J55" s="1355"/>
      <c r="K55" s="1355">
        <f t="shared" si="14"/>
        <v>0</v>
      </c>
      <c r="L55" s="1355"/>
      <c r="M55" s="1355">
        <f t="shared" si="14"/>
        <v>0</v>
      </c>
      <c r="N55" s="1355"/>
      <c r="O55" s="1355">
        <f t="shared" si="14"/>
        <v>0</v>
      </c>
      <c r="P55" s="1355"/>
      <c r="Q55" s="1355">
        <f t="shared" si="14"/>
        <v>0</v>
      </c>
      <c r="R55" s="1355"/>
      <c r="S55" s="1355">
        <f t="shared" si="14"/>
        <v>0</v>
      </c>
      <c r="T55" s="1355"/>
      <c r="U55" s="1355">
        <f t="shared" si="14"/>
        <v>0</v>
      </c>
      <c r="V55" s="1355"/>
      <c r="W55" s="1355">
        <f t="shared" si="14"/>
        <v>0</v>
      </c>
      <c r="X55" s="1355"/>
      <c r="Y55" s="1355">
        <f t="shared" si="14"/>
        <v>0</v>
      </c>
      <c r="Z55" s="1355"/>
      <c r="AA55" s="1355">
        <f t="shared" si="14"/>
        <v>0</v>
      </c>
      <c r="AB55" s="1355"/>
      <c r="AC55" s="1355">
        <f t="shared" si="14"/>
        <v>0</v>
      </c>
      <c r="AD55" s="1355"/>
      <c r="AE55" s="1355">
        <f t="shared" si="14"/>
        <v>0</v>
      </c>
      <c r="AF55" s="1355"/>
      <c r="AG55" s="1355">
        <f t="shared" si="14"/>
        <v>0</v>
      </c>
      <c r="AH55" s="589"/>
      <c r="AI55" s="589"/>
    </row>
    <row r="56" spans="1:35">
      <c r="A56" s="608"/>
      <c r="B56" s="608"/>
      <c r="C56" s="619"/>
      <c r="D56" s="564"/>
      <c r="E56" s="615"/>
      <c r="F56" s="589"/>
      <c r="G56" s="1357">
        <f t="shared" si="14"/>
        <v>0</v>
      </c>
      <c r="H56" s="1355"/>
      <c r="I56" s="1357">
        <f t="shared" si="14"/>
        <v>0</v>
      </c>
      <c r="J56" s="1355"/>
      <c r="K56" s="1357">
        <f t="shared" si="14"/>
        <v>0</v>
      </c>
      <c r="L56" s="1355"/>
      <c r="M56" s="1357">
        <f t="shared" si="14"/>
        <v>0</v>
      </c>
      <c r="N56" s="1355"/>
      <c r="O56" s="1357">
        <f t="shared" si="14"/>
        <v>0</v>
      </c>
      <c r="P56" s="1355"/>
      <c r="Q56" s="1357">
        <f t="shared" si="14"/>
        <v>0</v>
      </c>
      <c r="R56" s="1355"/>
      <c r="S56" s="1357">
        <f t="shared" si="14"/>
        <v>0</v>
      </c>
      <c r="T56" s="1355"/>
      <c r="U56" s="1357">
        <f t="shared" si="14"/>
        <v>0</v>
      </c>
      <c r="V56" s="1355"/>
      <c r="W56" s="1357">
        <f t="shared" si="14"/>
        <v>0</v>
      </c>
      <c r="X56" s="1355"/>
      <c r="Y56" s="1357">
        <f t="shared" si="14"/>
        <v>0</v>
      </c>
      <c r="Z56" s="1355"/>
      <c r="AA56" s="1357">
        <f t="shared" si="14"/>
        <v>0</v>
      </c>
      <c r="AB56" s="1355"/>
      <c r="AC56" s="1357">
        <f t="shared" si="14"/>
        <v>0</v>
      </c>
      <c r="AD56" s="1355"/>
      <c r="AE56" s="1357">
        <f t="shared" si="14"/>
        <v>0</v>
      </c>
      <c r="AF56" s="1355"/>
      <c r="AG56" s="1357">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69940.186917903018</v>
      </c>
      <c r="F59" s="580"/>
      <c r="G59" s="580">
        <f>G44-G57</f>
        <v>79003.454035249772</v>
      </c>
      <c r="H59" s="580"/>
      <c r="I59" s="580">
        <f>I44-I57</f>
        <v>88115.702730530407</v>
      </c>
      <c r="J59" s="580"/>
      <c r="K59" s="580">
        <f>K44-K57</f>
        <v>97271.937764192931</v>
      </c>
      <c r="L59" s="580"/>
      <c r="M59" s="580">
        <f>M44-M57</f>
        <v>106466.82124792156</v>
      </c>
      <c r="N59" s="580"/>
      <c r="O59" s="580">
        <f>O44-O57</f>
        <v>115694.65645503695</v>
      </c>
      <c r="P59" s="580"/>
      <c r="Q59" s="580">
        <f>Q44-Q57</f>
        <v>124949.37095930183</v>
      </c>
      <c r="R59" s="580"/>
      <c r="S59" s="580">
        <f>S44-S57</f>
        <v>134224.4990760173</v>
      </c>
      <c r="T59" s="580"/>
      <c r="U59" s="580">
        <f>U44-U57</f>
        <v>143513.16357828153</v>
      </c>
      <c r="V59" s="580"/>
      <c r="W59" s="580">
        <f>W44-W57</f>
        <v>152808.05666029849</v>
      </c>
      <c r="X59" s="580"/>
      <c r="Y59" s="580">
        <f>Y44-Y57</f>
        <v>162101.42011855252</v>
      </c>
      <c r="Z59" s="580"/>
      <c r="AA59" s="580">
        <f>AA44-AA57</f>
        <v>171385.02472057042</v>
      </c>
      <c r="AB59" s="580"/>
      <c r="AC59" s="580">
        <f>AC44-AC57</f>
        <v>180650.14872987964</v>
      </c>
      <c r="AD59" s="580"/>
      <c r="AE59" s="580">
        <f>AE44-AE57</f>
        <v>189887.55555457855</v>
      </c>
      <c r="AF59" s="580"/>
      <c r="AG59" s="580">
        <f>AG44-AG57</f>
        <v>199087.47048572113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3"/>
      <c r="D61" s="580"/>
      <c r="E61" s="609"/>
      <c r="F61" s="580"/>
      <c r="G61" s="1362">
        <f>G59*$C$61</f>
        <v>0</v>
      </c>
      <c r="H61" s="1358"/>
      <c r="I61" s="1362">
        <f>I59*$C$61</f>
        <v>0</v>
      </c>
      <c r="J61" s="1358"/>
      <c r="K61" s="1362">
        <f>K59*$C$61</f>
        <v>0</v>
      </c>
      <c r="L61" s="1358"/>
      <c r="M61" s="1362">
        <f>M59*$C$61</f>
        <v>0</v>
      </c>
      <c r="N61" s="1358"/>
      <c r="O61" s="1362">
        <f>O59*$C$61</f>
        <v>0</v>
      </c>
      <c r="P61" s="1358"/>
      <c r="Q61" s="1362">
        <f>Q59*$C$61</f>
        <v>0</v>
      </c>
      <c r="R61" s="1358"/>
      <c r="S61" s="1362">
        <f>S59*$C$61</f>
        <v>0</v>
      </c>
      <c r="T61" s="1358"/>
      <c r="U61" s="1362">
        <f>U59*$C$61</f>
        <v>0</v>
      </c>
      <c r="V61" s="1358"/>
      <c r="W61" s="1362">
        <f>W59*$C$61</f>
        <v>0</v>
      </c>
      <c r="X61" s="1358"/>
      <c r="Y61" s="1362">
        <f>Y59*$C$61</f>
        <v>0</v>
      </c>
      <c r="Z61" s="1358"/>
      <c r="AA61" s="1362">
        <f>AA59*$C$61</f>
        <v>0</v>
      </c>
      <c r="AB61" s="580"/>
      <c r="AC61" s="1362">
        <f>AC59*$C$61</f>
        <v>0</v>
      </c>
      <c r="AD61" s="580"/>
      <c r="AE61" s="1362">
        <f>AE59*$C$61</f>
        <v>0</v>
      </c>
      <c r="AF61" s="580"/>
      <c r="AG61" s="1362">
        <f>AG59*$C$61</f>
        <v>0</v>
      </c>
      <c r="AH61" s="580"/>
      <c r="AI61" s="580"/>
    </row>
    <row r="62" spans="1:35" s="2" customFormat="1">
      <c r="A62" s="1358"/>
      <c r="B62" s="1358"/>
      <c r="C62" s="1359"/>
      <c r="D62" s="1358"/>
      <c r="E62" s="1358"/>
      <c r="F62" s="1358"/>
      <c r="G62" s="1358"/>
      <c r="H62" s="1358"/>
      <c r="I62" s="1358"/>
      <c r="J62" s="1358"/>
      <c r="K62" s="1358"/>
      <c r="L62" s="1358"/>
      <c r="M62" s="1358"/>
      <c r="N62" s="1358"/>
      <c r="O62" s="1358"/>
      <c r="P62" s="1358"/>
      <c r="Q62" s="1358"/>
      <c r="R62" s="1358"/>
      <c r="S62" s="1358"/>
      <c r="T62" s="1358"/>
      <c r="U62" s="1358"/>
      <c r="V62" s="1358"/>
      <c r="W62" s="1358"/>
      <c r="X62" s="1358"/>
      <c r="Y62" s="1358"/>
      <c r="Z62" s="1358"/>
      <c r="AA62" s="1358"/>
      <c r="AB62" s="1358"/>
      <c r="AC62" s="1358"/>
      <c r="AD62" s="1358"/>
      <c r="AE62" s="1358"/>
      <c r="AF62" s="1358"/>
      <c r="AG62" s="1358"/>
      <c r="AH62" s="1358"/>
      <c r="AI62" s="1358"/>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4"/>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5">
        <f>G59*$C$64</f>
        <v>0</v>
      </c>
      <c r="H66" s="589"/>
      <c r="I66" s="1365">
        <f>I59*$C$64</f>
        <v>0</v>
      </c>
      <c r="J66" s="589"/>
      <c r="K66" s="1365">
        <f>K59*$C$64</f>
        <v>0</v>
      </c>
      <c r="L66" s="589"/>
      <c r="M66" s="1365">
        <f>M59*$C$64</f>
        <v>0</v>
      </c>
      <c r="N66" s="589"/>
      <c r="O66" s="1365">
        <f>O59*$C$64</f>
        <v>0</v>
      </c>
      <c r="P66" s="589"/>
      <c r="Q66" s="1365">
        <f>Q59*$C$64</f>
        <v>0</v>
      </c>
      <c r="R66" s="589"/>
      <c r="S66" s="1365">
        <f>S59*$C$64</f>
        <v>0</v>
      </c>
      <c r="T66" s="589"/>
      <c r="U66" s="1365">
        <f>U59*$C$64</f>
        <v>0</v>
      </c>
      <c r="V66" s="589"/>
      <c r="W66" s="1365">
        <f>W59*$C$64</f>
        <v>0</v>
      </c>
      <c r="X66" s="589"/>
      <c r="Y66" s="1365">
        <f>Y59*$C$64</f>
        <v>0</v>
      </c>
      <c r="Z66" s="589"/>
      <c r="AA66" s="1365">
        <f>AA59*$C$64</f>
        <v>0</v>
      </c>
      <c r="AB66" s="589"/>
      <c r="AC66" s="1365">
        <f>AC59*$C$64</f>
        <v>0</v>
      </c>
      <c r="AD66" s="589"/>
      <c r="AE66" s="1365">
        <f>AE59*$C$64</f>
        <v>0</v>
      </c>
      <c r="AF66" s="589"/>
      <c r="AG66" s="1365">
        <f>AG59*$C$64</f>
        <v>0</v>
      </c>
      <c r="AH66" s="589"/>
      <c r="AI66" s="589"/>
    </row>
    <row r="67" spans="1:35" s="1332" customFormat="1">
      <c r="A67" s="609"/>
      <c r="B67" s="609"/>
      <c r="C67" s="607"/>
      <c r="D67" s="580"/>
      <c r="E67" s="609"/>
      <c r="F67" s="580"/>
      <c r="G67" s="1365">
        <f>G59*$C$64</f>
        <v>0</v>
      </c>
      <c r="H67" s="580"/>
      <c r="I67" s="1365">
        <f>I59*$C$64</f>
        <v>0</v>
      </c>
      <c r="J67" s="580"/>
      <c r="K67" s="1365">
        <f>K59*$C$64</f>
        <v>0</v>
      </c>
      <c r="L67" s="580"/>
      <c r="M67" s="1365">
        <f>M59*$C$64</f>
        <v>0</v>
      </c>
      <c r="N67" s="580"/>
      <c r="O67" s="1365">
        <f>O59*$C$64</f>
        <v>0</v>
      </c>
      <c r="P67" s="580"/>
      <c r="Q67" s="1365">
        <f>Q59*$C$64</f>
        <v>0</v>
      </c>
      <c r="R67" s="580"/>
      <c r="S67" s="1365">
        <f>S59*$C$64</f>
        <v>0</v>
      </c>
      <c r="T67" s="580"/>
      <c r="U67" s="1365">
        <f>U59*$C$64</f>
        <v>0</v>
      </c>
      <c r="V67" s="580"/>
      <c r="W67" s="1365">
        <f>W59*$C$64</f>
        <v>0</v>
      </c>
      <c r="X67" s="580"/>
      <c r="Y67" s="1365">
        <f>Y59*$C$64</f>
        <v>0</v>
      </c>
      <c r="Z67" s="580"/>
      <c r="AA67" s="1365">
        <f>AA59*$C$64</f>
        <v>0</v>
      </c>
      <c r="AB67" s="580"/>
      <c r="AC67" s="1365">
        <f>AC59*$C$64</f>
        <v>0</v>
      </c>
      <c r="AD67" s="580"/>
      <c r="AE67" s="1365">
        <f>AE59*$C$64</f>
        <v>0</v>
      </c>
      <c r="AF67" s="580"/>
      <c r="AG67" s="1365">
        <f>AG59*$C$64</f>
        <v>0</v>
      </c>
      <c r="AH67" s="580"/>
      <c r="AI67" s="580"/>
    </row>
    <row r="68" spans="1:35" s="1332" customFormat="1">
      <c r="A68" s="610"/>
      <c r="B68" s="610"/>
      <c r="C68" s="590"/>
      <c r="D68" s="589"/>
      <c r="E68" s="615"/>
      <c r="F68" s="589"/>
      <c r="G68" s="1366">
        <f>G59*$C$64</f>
        <v>0</v>
      </c>
      <c r="H68" s="589"/>
      <c r="I68" s="1366">
        <f>I59*$C$64</f>
        <v>0</v>
      </c>
      <c r="J68" s="589"/>
      <c r="K68" s="1366">
        <f>K59*$C$64</f>
        <v>0</v>
      </c>
      <c r="L68" s="589"/>
      <c r="M68" s="1366">
        <f>M59*$C$64</f>
        <v>0</v>
      </c>
      <c r="N68" s="589"/>
      <c r="O68" s="1366">
        <f>O59*$C$64</f>
        <v>0</v>
      </c>
      <c r="P68" s="589"/>
      <c r="Q68" s="1366">
        <f>Q59*$C$64</f>
        <v>0</v>
      </c>
      <c r="R68" s="589"/>
      <c r="S68" s="1366">
        <f>S59*$C$64</f>
        <v>0</v>
      </c>
      <c r="T68" s="589"/>
      <c r="U68" s="1366">
        <f>U59*$C$64</f>
        <v>0</v>
      </c>
      <c r="V68" s="589"/>
      <c r="W68" s="1366">
        <f>W59*$C$64</f>
        <v>0</v>
      </c>
      <c r="X68" s="589"/>
      <c r="Y68" s="1366">
        <f>Y59*$C$64</f>
        <v>0</v>
      </c>
      <c r="Z68" s="589"/>
      <c r="AA68" s="1366">
        <f>AA59*$C$64</f>
        <v>0</v>
      </c>
      <c r="AB68" s="589"/>
      <c r="AC68" s="1366">
        <f>AC59*$C$64</f>
        <v>0</v>
      </c>
      <c r="AD68" s="589"/>
      <c r="AE68" s="1366">
        <f>AE59*$C$64</f>
        <v>0</v>
      </c>
      <c r="AF68" s="589"/>
      <c r="AG68" s="1366">
        <f>AG59*$C$64</f>
        <v>0</v>
      </c>
      <c r="AH68" s="589"/>
      <c r="AI68" s="589"/>
    </row>
    <row r="69" spans="1:35" s="2" customFormat="1">
      <c r="A69" s="1367" t="s">
        <v>1182</v>
      </c>
      <c r="B69" s="1360"/>
      <c r="C69" s="1361"/>
      <c r="D69" s="1360"/>
      <c r="E69" s="1358">
        <f>SUM(E65:E68)</f>
        <v>0</v>
      </c>
      <c r="F69" s="1358"/>
      <c r="G69" s="1358">
        <f>SUM(G65:G68)</f>
        <v>0</v>
      </c>
      <c r="H69" s="1358"/>
      <c r="I69" s="1358">
        <f>SUM(I65:I68)</f>
        <v>0</v>
      </c>
      <c r="J69" s="1358"/>
      <c r="K69" s="1358">
        <f>SUM(K65:K68)</f>
        <v>0</v>
      </c>
      <c r="L69" s="1358"/>
      <c r="M69" s="1358">
        <f>SUM(M65:M68)</f>
        <v>0</v>
      </c>
      <c r="N69" s="1358"/>
      <c r="O69" s="1358">
        <f>SUM(O65:O68)</f>
        <v>0</v>
      </c>
      <c r="P69" s="1358"/>
      <c r="Q69" s="1358">
        <f>SUM(Q65:Q68)</f>
        <v>0</v>
      </c>
      <c r="R69" s="1358"/>
      <c r="S69" s="1358">
        <f>SUM(S65:S68)</f>
        <v>0</v>
      </c>
      <c r="T69" s="1358"/>
      <c r="U69" s="1358">
        <f>SUM(U65:U68)</f>
        <v>0</v>
      </c>
      <c r="V69" s="1358"/>
      <c r="W69" s="1358">
        <f>SUM(W65:W68)</f>
        <v>0</v>
      </c>
      <c r="X69" s="1358"/>
      <c r="Y69" s="1358">
        <f>SUM(Y65:Y68)</f>
        <v>0</v>
      </c>
      <c r="Z69" s="1358"/>
      <c r="AA69" s="1358">
        <f>SUM(AA65:AA68)</f>
        <v>0</v>
      </c>
      <c r="AB69" s="1358"/>
      <c r="AC69" s="1358">
        <f>SUM(AC65:AC68)</f>
        <v>0</v>
      </c>
      <c r="AD69" s="1358"/>
      <c r="AE69" s="1358">
        <f>SUM(AE65:AE68)</f>
        <v>0</v>
      </c>
      <c r="AF69" s="1358"/>
      <c r="AG69" s="1358">
        <f>SUM(AG65:AG68)</f>
        <v>0</v>
      </c>
      <c r="AH69" s="1360"/>
      <c r="AI69" s="1360"/>
    </row>
    <row r="70" spans="1:35" s="2" customFormat="1">
      <c r="A70" s="1360"/>
      <c r="B70" s="1360"/>
      <c r="C70" s="1361"/>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1360"/>
      <c r="AC70" s="1360"/>
      <c r="AD70" s="1360"/>
      <c r="AE70" s="1360"/>
      <c r="AF70" s="1360"/>
      <c r="AG70" s="1360"/>
      <c r="AH70" s="1360"/>
      <c r="AI70" s="1360"/>
    </row>
    <row r="71" spans="1:35">
      <c r="A71" s="1367" t="s">
        <v>2144</v>
      </c>
      <c r="B71" s="589"/>
      <c r="C71" s="590"/>
      <c r="D71" s="589"/>
      <c r="E71" s="580">
        <f>E59-E61-E69</f>
        <v>69940.186917903018</v>
      </c>
      <c r="F71" s="589"/>
      <c r="G71" s="580">
        <f>G59-G61-G69</f>
        <v>79003.454035249772</v>
      </c>
      <c r="H71" s="589"/>
      <c r="I71" s="580">
        <f>I59-I61-I69</f>
        <v>88115.702730530407</v>
      </c>
      <c r="J71" s="589"/>
      <c r="K71" s="580">
        <f>K59-K61-K69</f>
        <v>97271.937764192931</v>
      </c>
      <c r="L71" s="589"/>
      <c r="M71" s="580">
        <f>M59-M61-M69</f>
        <v>106466.82124792156</v>
      </c>
      <c r="N71" s="589"/>
      <c r="O71" s="580">
        <f>O59-O61-O69</f>
        <v>115694.65645503695</v>
      </c>
      <c r="P71" s="589"/>
      <c r="Q71" s="580">
        <f>Q59-Q61-Q69</f>
        <v>124949.37095930183</v>
      </c>
      <c r="R71" s="589"/>
      <c r="S71" s="580">
        <f>S59-S61-S69</f>
        <v>134224.4990760173</v>
      </c>
      <c r="T71" s="589"/>
      <c r="U71" s="580">
        <f>U59-U61-U69</f>
        <v>143513.16357828153</v>
      </c>
      <c r="V71" s="589"/>
      <c r="W71" s="580">
        <f>W59-W61-W69</f>
        <v>152808.05666029849</v>
      </c>
      <c r="X71" s="589"/>
      <c r="Y71" s="580">
        <f>Y59-Y61-Y69</f>
        <v>162101.42011855252</v>
      </c>
      <c r="Z71" s="589"/>
      <c r="AA71" s="580">
        <f>AA59-AA61-AA69</f>
        <v>171385.02472057042</v>
      </c>
      <c r="AB71" s="589"/>
      <c r="AC71" s="580">
        <f>AC59-AC61-AC69</f>
        <v>180650.14872987964</v>
      </c>
      <c r="AD71" s="589"/>
      <c r="AE71" s="580">
        <f>AE59-AE61-AE69</f>
        <v>189887.55555457855</v>
      </c>
      <c r="AF71" s="589"/>
      <c r="AG71" s="580">
        <f>AG59-AG61-AG69</f>
        <v>199087.47048572113</v>
      </c>
      <c r="AH71" s="589"/>
      <c r="AI71" s="589"/>
    </row>
    <row r="72" spans="1:35" s="1332"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2"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9" t="s">
        <v>1186</v>
      </c>
      <c r="B76" s="2669"/>
      <c r="C76" s="2669"/>
      <c r="D76" s="2669"/>
      <c r="E76" s="2669"/>
      <c r="F76" s="2669"/>
      <c r="G76" s="2669"/>
      <c r="H76" s="2669"/>
      <c r="I76" s="2669"/>
      <c r="J76" s="2669"/>
      <c r="K76" s="2669"/>
      <c r="L76" s="2669"/>
      <c r="M76" s="2669"/>
      <c r="N76" s="2669"/>
      <c r="O76" s="2669"/>
      <c r="P76" s="2669"/>
      <c r="Q76" s="2669"/>
      <c r="R76" s="2669"/>
      <c r="S76" s="2669"/>
      <c r="T76" s="2669"/>
      <c r="U76" s="2669"/>
      <c r="V76" s="2669"/>
      <c r="W76" s="2669"/>
      <c r="X76" s="2669"/>
      <c r="Y76" s="2669"/>
      <c r="Z76" s="2669"/>
      <c r="AA76" s="2669"/>
      <c r="AB76" s="2669"/>
      <c r="AC76" s="2669"/>
      <c r="AD76" s="2669"/>
      <c r="AE76" s="2669"/>
      <c r="AF76" s="2669"/>
      <c r="AG76" s="2669"/>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F34" sqref="F34"/>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70" t="s">
        <v>1264</v>
      </c>
      <c r="B1" s="2670"/>
      <c r="C1" s="2670"/>
      <c r="D1" s="2670"/>
      <c r="E1" s="2670"/>
      <c r="F1" s="2670"/>
      <c r="G1" s="2670"/>
      <c r="H1" s="2670"/>
      <c r="I1" s="2670"/>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SRO/Studio</v>
      </c>
      <c r="B4" s="921">
        <f>Application!$G706</f>
        <v>14</v>
      </c>
      <c r="C4" s="913">
        <f>Application!$O706</f>
        <v>849</v>
      </c>
      <c r="D4" s="914"/>
      <c r="E4" s="717">
        <f>[4]EVERYTHING!$R$28</f>
        <v>2359</v>
      </c>
      <c r="F4" s="915">
        <f>$E4*$B4</f>
        <v>33026</v>
      </c>
      <c r="G4" s="916"/>
      <c r="H4" s="913">
        <f>IF($E4=0,0,MAX($E4-$C4,0))</f>
        <v>1510</v>
      </c>
      <c r="I4" s="915">
        <f>IF($H4=0,0,($H4*$B4))</f>
        <v>21140</v>
      </c>
    </row>
    <row r="5" spans="1:9">
      <c r="A5" s="913" t="str">
        <f>Application!$B707</f>
        <v>SRO/Studio</v>
      </c>
      <c r="B5" s="921">
        <f>Application!$G707</f>
        <v>7</v>
      </c>
      <c r="C5" s="913">
        <f>Application!$O707</f>
        <v>1144</v>
      </c>
      <c r="D5" s="914"/>
      <c r="E5" s="717">
        <f>E4</f>
        <v>2359</v>
      </c>
      <c r="F5" s="915">
        <f t="shared" ref="F5:F28" si="0">$E5*$B5</f>
        <v>16513</v>
      </c>
      <c r="G5" s="916"/>
      <c r="H5" s="913">
        <f t="shared" ref="H5:H28" si="1">IF($E5=0,0,MAX($E5-$C5,0))</f>
        <v>1215</v>
      </c>
      <c r="I5" s="915">
        <f t="shared" ref="I5:I28" si="2">IF($H5=0,0,($H5*$B5))</f>
        <v>8505</v>
      </c>
    </row>
    <row r="6" spans="1:9">
      <c r="A6" s="913" t="str">
        <f>Application!$B708</f>
        <v>SRO/Studio</v>
      </c>
      <c r="B6" s="921">
        <f>Application!$G708</f>
        <v>5</v>
      </c>
      <c r="C6" s="913">
        <f>Application!$O708</f>
        <v>1439</v>
      </c>
      <c r="D6" s="914"/>
      <c r="E6" s="717"/>
      <c r="F6" s="915">
        <f t="shared" si="0"/>
        <v>0</v>
      </c>
      <c r="G6" s="916"/>
      <c r="H6" s="913">
        <f t="shared" si="1"/>
        <v>0</v>
      </c>
      <c r="I6" s="915">
        <f t="shared" si="2"/>
        <v>0</v>
      </c>
    </row>
    <row r="7" spans="1:9">
      <c r="A7" s="913" t="str">
        <f>Application!$B709</f>
        <v>SRO/Studio</v>
      </c>
      <c r="B7" s="921">
        <f>Application!$G709</f>
        <v>11</v>
      </c>
      <c r="C7" s="913">
        <f>Application!$O709</f>
        <v>1439</v>
      </c>
      <c r="D7" s="914"/>
      <c r="E7" s="717"/>
      <c r="F7" s="915">
        <f t="shared" si="0"/>
        <v>0</v>
      </c>
      <c r="G7" s="916"/>
      <c r="H7" s="913">
        <f t="shared" si="1"/>
        <v>0</v>
      </c>
      <c r="I7" s="915">
        <f t="shared" si="2"/>
        <v>0</v>
      </c>
    </row>
    <row r="8" spans="1:9">
      <c r="A8" s="913" t="str">
        <f>Application!$B710</f>
        <v>1 Bedroom</v>
      </c>
      <c r="B8" s="921">
        <f>Application!$G710</f>
        <v>1</v>
      </c>
      <c r="C8" s="913">
        <f>Application!$O710</f>
        <v>905</v>
      </c>
      <c r="D8" s="914"/>
      <c r="E8" s="717">
        <f>[4]EVERYTHING!$R$30</f>
        <v>2659</v>
      </c>
      <c r="F8" s="915">
        <f t="shared" si="0"/>
        <v>2659</v>
      </c>
      <c r="G8" s="916"/>
      <c r="H8" s="913">
        <f t="shared" si="1"/>
        <v>1754</v>
      </c>
      <c r="I8" s="915">
        <f t="shared" si="2"/>
        <v>1754</v>
      </c>
    </row>
    <row r="9" spans="1:9">
      <c r="A9" s="913" t="str">
        <f>Application!$B711</f>
        <v>1 Bedroom</v>
      </c>
      <c r="B9" s="921">
        <f>Application!$G711</f>
        <v>2</v>
      </c>
      <c r="C9" s="913">
        <f>Application!$O711</f>
        <v>1221</v>
      </c>
      <c r="D9" s="914"/>
      <c r="E9" s="717">
        <f>E8</f>
        <v>2659</v>
      </c>
      <c r="F9" s="915">
        <f t="shared" si="0"/>
        <v>5318</v>
      </c>
      <c r="G9" s="916"/>
      <c r="H9" s="913">
        <f t="shared" si="1"/>
        <v>1438</v>
      </c>
      <c r="I9" s="915">
        <f t="shared" si="2"/>
        <v>2876</v>
      </c>
    </row>
    <row r="10" spans="1:9">
      <c r="A10" s="913" t="str">
        <f>Application!$B712</f>
        <v>1 Bedroom</v>
      </c>
      <c r="B10" s="921">
        <f>Application!$G712</f>
        <v>2</v>
      </c>
      <c r="C10" s="913">
        <f>Application!$O712</f>
        <v>1537</v>
      </c>
      <c r="D10" s="914"/>
      <c r="E10" s="717"/>
      <c r="F10" s="915">
        <f t="shared" si="0"/>
        <v>0</v>
      </c>
      <c r="G10" s="916"/>
      <c r="H10" s="913">
        <f t="shared" si="1"/>
        <v>0</v>
      </c>
      <c r="I10" s="915">
        <f t="shared" si="2"/>
        <v>0</v>
      </c>
    </row>
    <row r="11" spans="1:9">
      <c r="A11" s="913" t="str">
        <f>Application!$B713</f>
        <v>1 Bedroom</v>
      </c>
      <c r="B11" s="921">
        <f>Application!$G713</f>
        <v>3</v>
      </c>
      <c r="C11" s="913">
        <f>Application!$O713</f>
        <v>1537</v>
      </c>
      <c r="D11" s="914"/>
      <c r="E11" s="717"/>
      <c r="F11" s="915">
        <f t="shared" si="0"/>
        <v>0</v>
      </c>
      <c r="G11" s="916"/>
      <c r="H11" s="913">
        <f t="shared" si="1"/>
        <v>0</v>
      </c>
      <c r="I11" s="915">
        <f t="shared" si="2"/>
        <v>0</v>
      </c>
    </row>
    <row r="12" spans="1:9">
      <c r="A12" s="913" t="str">
        <f>Application!$B714</f>
        <v>2 Bedrooms</v>
      </c>
      <c r="B12" s="921">
        <f>Application!$G714</f>
        <v>1</v>
      </c>
      <c r="C12" s="913">
        <f>Application!$O714</f>
        <v>1079</v>
      </c>
      <c r="D12" s="914"/>
      <c r="E12" s="717">
        <f>[4]EVERYTHING!$R$32</f>
        <v>3154</v>
      </c>
      <c r="F12" s="915">
        <f t="shared" si="0"/>
        <v>3154</v>
      </c>
      <c r="G12" s="916"/>
      <c r="H12" s="913">
        <f t="shared" si="1"/>
        <v>2075</v>
      </c>
      <c r="I12" s="915">
        <f t="shared" si="2"/>
        <v>2075</v>
      </c>
    </row>
    <row r="13" spans="1:9">
      <c r="A13" s="913" t="str">
        <f>Application!$B715</f>
        <v>2 Bedrooms</v>
      </c>
      <c r="B13" s="921">
        <f>Application!$G715</f>
        <v>1</v>
      </c>
      <c r="C13" s="913">
        <f>Application!$O715</f>
        <v>1838</v>
      </c>
      <c r="D13" s="914"/>
      <c r="E13" s="717"/>
      <c r="F13" s="915">
        <f t="shared" si="0"/>
        <v>0</v>
      </c>
      <c r="G13" s="916"/>
      <c r="H13" s="913">
        <f t="shared" si="1"/>
        <v>0</v>
      </c>
      <c r="I13" s="915">
        <f t="shared" si="2"/>
        <v>0</v>
      </c>
    </row>
    <row r="14" spans="1:9">
      <c r="A14" s="913" t="str">
        <f>Application!$B716</f>
        <v>2 Bedrooms</v>
      </c>
      <c r="B14" s="921">
        <f>Application!$G716</f>
        <v>2</v>
      </c>
      <c r="C14" s="913">
        <f>Application!$O716</f>
        <v>1838</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726516</v>
      </c>
      <c r="D30" s="914"/>
      <c r="E30" s="914"/>
      <c r="F30" s="919">
        <f>SUM(F4:F28)*12</f>
        <v>728040</v>
      </c>
      <c r="G30" s="920"/>
      <c r="H30" s="918"/>
      <c r="I30" s="919">
        <f>SUM(I4:I28)*12</f>
        <v>436200</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0" workbookViewId="0">
      <selection sqref="A1:AN2"/>
    </sheetView>
  </sheetViews>
  <sheetFormatPr defaultColWidth="0" defaultRowHeight="0" customHeight="1" zeroHeight="1"/>
  <cols>
    <col min="1" max="1" width="1.42578125" style="1215" customWidth="1"/>
    <col min="2" max="2" width="0.85546875" style="1215" customWidth="1"/>
    <col min="3" max="18" width="2.42578125" style="1215" customWidth="1"/>
    <col min="19" max="19" width="4" style="1215" customWidth="1"/>
    <col min="20" max="39" width="2.42578125" style="1215" customWidth="1"/>
    <col min="40" max="40" width="1.42578125" style="1215" customWidth="1"/>
    <col min="41" max="16384" width="2.42578125" style="2" hidden="1"/>
  </cols>
  <sheetData>
    <row r="1" spans="1:40" ht="12.75" customHeight="1">
      <c r="A1" s="2262" t="s">
        <v>1187</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42" t="s">
        <v>1758</v>
      </c>
      <c r="U7" s="2242"/>
      <c r="V7" s="2242"/>
      <c r="W7" s="2242"/>
      <c r="X7" s="2242"/>
      <c r="Y7" s="2242" t="s">
        <v>1913</v>
      </c>
      <c r="Z7" s="2242"/>
      <c r="AA7" s="2242"/>
      <c r="AB7" s="2242"/>
      <c r="AC7" s="2242"/>
      <c r="AD7" s="2242" t="s">
        <v>1480</v>
      </c>
      <c r="AE7" s="2242"/>
      <c r="AF7" s="2242"/>
      <c r="AG7" s="2242"/>
      <c r="AH7" s="2242"/>
      <c r="AI7" s="2242" t="s">
        <v>1914</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562</v>
      </c>
      <c r="C11" s="2240"/>
      <c r="D11" s="2240"/>
      <c r="E11" s="2240"/>
      <c r="F11" s="2240"/>
      <c r="G11" s="2240"/>
      <c r="H11" s="2240"/>
      <c r="I11" s="2240"/>
      <c r="J11" s="2240"/>
      <c r="K11" s="2240"/>
      <c r="L11" s="2240"/>
      <c r="M11" s="2240"/>
      <c r="N11" s="2240"/>
      <c r="O11" s="2240"/>
      <c r="P11" s="2240"/>
      <c r="Q11" s="2240"/>
      <c r="R11" s="2240"/>
      <c r="S11" s="2241"/>
      <c r="T11" s="2279">
        <f>IF('Sources and Basis Breakdown'!F105=0,'Sources and Basis Breakdown'!E105,'Sources and Basis Breakdown'!F105)</f>
        <v>38815509.06984631</v>
      </c>
      <c r="U11" s="2267"/>
      <c r="V11" s="2267"/>
      <c r="W11" s="2267"/>
      <c r="X11" s="2267"/>
      <c r="Y11" s="2266">
        <f>IF('Sources and Basis Breakdown'!G105+'Sources and Basis Breakdown'!F105='Sources and Basis Breakdown'!E105,'Sources and Basis Breakdown'!G105,0)</f>
        <v>0</v>
      </c>
      <c r="Z11" s="2267"/>
      <c r="AA11" s="2267"/>
      <c r="AB11" s="2267"/>
      <c r="AC11" s="2267"/>
      <c r="AD11" s="2267">
        <f>IF('Sources and Basis Breakdown'!I105=0,'Sources and Basis Breakdown'!H105,'Sources and Basis Breakdown'!I105)</f>
        <v>0</v>
      </c>
      <c r="AE11" s="2267"/>
      <c r="AF11" s="2267"/>
      <c r="AG11" s="2267"/>
      <c r="AH11" s="2267"/>
      <c r="AI11" s="2267">
        <f>IF('Sources and Basis Breakdown'!I105+'Sources and Basis Breakdown'!J105='Sources and Basis Breakdown'!H105,'Sources and Basis Breakdown'!J105,0)</f>
        <v>0</v>
      </c>
      <c r="AJ11" s="2267"/>
      <c r="AK11" s="2267"/>
      <c r="AL11" s="2267"/>
      <c r="AM11" s="2267"/>
    </row>
    <row r="12" spans="1:40" ht="12.75">
      <c r="B12" s="2272" t="s">
        <v>492</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1875</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832</v>
      </c>
      <c r="D14" s="2276"/>
      <c r="E14" s="2276"/>
      <c r="F14" s="2276"/>
      <c r="G14" s="2276"/>
      <c r="H14" s="2276"/>
      <c r="I14" s="2276"/>
      <c r="J14" s="2276"/>
      <c r="K14" s="2276"/>
      <c r="L14" s="2276"/>
      <c r="M14" s="2276"/>
      <c r="N14" s="2276"/>
      <c r="O14" s="2276"/>
      <c r="P14" s="2276"/>
      <c r="Q14" s="2276"/>
      <c r="R14" s="2276"/>
      <c r="S14" s="2277"/>
      <c r="T14" s="1732">
        <f>'Basis &amp; Credits'!T14</f>
        <v>0</v>
      </c>
      <c r="U14" s="1735"/>
      <c r="V14" s="1735"/>
      <c r="W14" s="1735"/>
      <c r="X14" s="1735"/>
      <c r="Y14" s="1732">
        <f>'Basis &amp; Credits'!Y14</f>
        <v>0</v>
      </c>
      <c r="Z14" s="1735"/>
      <c r="AA14" s="1735"/>
      <c r="AB14" s="1735"/>
      <c r="AC14" s="1735"/>
      <c r="AD14" s="1735">
        <f>'Basis &amp; Credits'!AD14</f>
        <v>0</v>
      </c>
      <c r="AE14" s="1735"/>
      <c r="AF14" s="1735"/>
      <c r="AG14" s="1735"/>
      <c r="AH14" s="1735"/>
      <c r="AI14" s="1735">
        <f>'Basis &amp; Credits'!AI14</f>
        <v>0</v>
      </c>
      <c r="AJ14" s="1735"/>
      <c r="AK14" s="1735"/>
      <c r="AL14" s="1735"/>
      <c r="AM14" s="1735"/>
    </row>
    <row r="15" spans="1:40" ht="12.75">
      <c r="B15" s="11"/>
      <c r="C15" s="2276" t="s">
        <v>833</v>
      </c>
      <c r="D15" s="2276"/>
      <c r="E15" s="2276"/>
      <c r="F15" s="2276"/>
      <c r="G15" s="2276"/>
      <c r="H15" s="2276"/>
      <c r="I15" s="2276"/>
      <c r="J15" s="2276"/>
      <c r="K15" s="2276"/>
      <c r="L15" s="2276"/>
      <c r="M15" s="2276"/>
      <c r="N15" s="2276"/>
      <c r="O15" s="2276"/>
      <c r="P15" s="2276"/>
      <c r="Q15" s="2276"/>
      <c r="R15" s="2276"/>
      <c r="S15" s="2277"/>
      <c r="T15" s="1732">
        <f>'Basis &amp; Credits'!T15</f>
        <v>0</v>
      </c>
      <c r="U15" s="1735"/>
      <c r="V15" s="1735"/>
      <c r="W15" s="1735"/>
      <c r="X15" s="1735"/>
      <c r="Y15" s="1732">
        <f>'Basis &amp; Credits'!Y15</f>
        <v>0</v>
      </c>
      <c r="Z15" s="1735"/>
      <c r="AA15" s="1735"/>
      <c r="AB15" s="1735"/>
      <c r="AC15" s="1735"/>
      <c r="AD15" s="1735">
        <f>'Basis &amp; Credits'!AD15</f>
        <v>0</v>
      </c>
      <c r="AE15" s="1735"/>
      <c r="AF15" s="1735"/>
      <c r="AG15" s="1735"/>
      <c r="AH15" s="1735"/>
      <c r="AI15" s="1735">
        <f>'Basis &amp; Credits'!AI15</f>
        <v>0</v>
      </c>
      <c r="AJ15" s="1735"/>
      <c r="AK15" s="1735"/>
      <c r="AL15" s="1735"/>
      <c r="AM15" s="1735"/>
    </row>
    <row r="16" spans="1:40" ht="12.75">
      <c r="B16" s="11"/>
      <c r="C16" s="2275" t="s">
        <v>1095</v>
      </c>
      <c r="D16" s="2275"/>
      <c r="E16" s="2275"/>
      <c r="F16" s="2275"/>
      <c r="G16" s="2275"/>
      <c r="H16" s="2275"/>
      <c r="I16" s="2275"/>
      <c r="J16" s="2275"/>
      <c r="K16" s="2275"/>
      <c r="L16" s="2275"/>
      <c r="M16" s="2275"/>
      <c r="N16" s="2275"/>
      <c r="O16" s="2275"/>
      <c r="P16" s="2275"/>
      <c r="Q16" s="2275"/>
      <c r="R16" s="2275"/>
      <c r="S16" s="2278"/>
      <c r="T16" s="1732">
        <f>'Basis &amp; Credits'!T16</f>
        <v>0</v>
      </c>
      <c r="U16" s="1735"/>
      <c r="V16" s="1735"/>
      <c r="W16" s="1735"/>
      <c r="X16" s="1735"/>
      <c r="Y16" s="1732">
        <f>'Basis &amp; Credits'!Y16</f>
        <v>0</v>
      </c>
      <c r="Z16" s="1735"/>
      <c r="AA16" s="1735"/>
      <c r="AB16" s="1735"/>
      <c r="AC16" s="1735"/>
      <c r="AD16" s="1735">
        <f>'Basis &amp; Credits'!AD16</f>
        <v>0</v>
      </c>
      <c r="AE16" s="1735"/>
      <c r="AF16" s="1735"/>
      <c r="AG16" s="1735"/>
      <c r="AH16" s="1735"/>
      <c r="AI16" s="1735">
        <f>'Basis &amp; Credits'!AI16</f>
        <v>0</v>
      </c>
      <c r="AJ16" s="1735"/>
      <c r="AK16" s="1735"/>
      <c r="AL16" s="1735"/>
      <c r="AM16" s="1735"/>
    </row>
    <row r="17" spans="1:39" ht="12.75">
      <c r="B17" s="11"/>
      <c r="C17" s="2276" t="s">
        <v>834</v>
      </c>
      <c r="D17" s="2276"/>
      <c r="E17" s="2276"/>
      <c r="F17" s="2276"/>
      <c r="G17" s="2276"/>
      <c r="H17" s="2276"/>
      <c r="I17" s="2276"/>
      <c r="J17" s="2276"/>
      <c r="K17" s="2276"/>
      <c r="L17" s="2276"/>
      <c r="M17" s="2276"/>
      <c r="N17" s="2276"/>
      <c r="O17" s="2276"/>
      <c r="P17" s="2276"/>
      <c r="Q17" s="2276"/>
      <c r="R17" s="2276"/>
      <c r="S17" s="2277"/>
      <c r="T17" s="1732">
        <f>'Basis &amp; Credits'!T17</f>
        <v>0</v>
      </c>
      <c r="U17" s="1735"/>
      <c r="V17" s="1735"/>
      <c r="W17" s="1735"/>
      <c r="X17" s="1735"/>
      <c r="Y17" s="1732">
        <f>'Basis &amp; Credits'!Y17</f>
        <v>0</v>
      </c>
      <c r="Z17" s="1735"/>
      <c r="AA17" s="1735"/>
      <c r="AB17" s="1735"/>
      <c r="AC17" s="1735"/>
      <c r="AD17" s="1735">
        <f>'Basis &amp; Credits'!AD17</f>
        <v>0</v>
      </c>
      <c r="AE17" s="1735"/>
      <c r="AF17" s="1735"/>
      <c r="AG17" s="1735"/>
      <c r="AH17" s="1735"/>
      <c r="AI17" s="1735">
        <f>'Basis &amp; Credits'!AI17</f>
        <v>0</v>
      </c>
      <c r="AJ17" s="1735"/>
      <c r="AK17" s="1735"/>
      <c r="AL17" s="1735"/>
      <c r="AM17" s="1735"/>
    </row>
    <row r="18" spans="1:39" ht="12.75">
      <c r="B18" s="903"/>
      <c r="C18" s="2275" t="s">
        <v>1485</v>
      </c>
      <c r="D18" s="2276"/>
      <c r="E18" s="2276"/>
      <c r="F18" s="2276"/>
      <c r="G18" s="2276"/>
      <c r="H18" s="2276"/>
      <c r="I18" s="2276"/>
      <c r="J18" s="2276"/>
      <c r="K18" s="2276"/>
      <c r="L18" s="2276"/>
      <c r="M18" s="2276"/>
      <c r="N18" s="2276"/>
      <c r="O18" s="2276"/>
      <c r="P18" s="2276"/>
      <c r="Q18" s="2276"/>
      <c r="R18" s="2276"/>
      <c r="S18" s="2277"/>
      <c r="T18" s="1730">
        <f>'Basis &amp; Credits'!T18</f>
        <v>0</v>
      </c>
      <c r="U18" s="1731"/>
      <c r="V18" s="1731"/>
      <c r="W18" s="1731"/>
      <c r="X18" s="1732"/>
      <c r="Y18" s="1732">
        <f>'Basis &amp; Credits'!Y18</f>
        <v>0</v>
      </c>
      <c r="Z18" s="1735"/>
      <c r="AA18" s="1735"/>
      <c r="AB18" s="1735"/>
      <c r="AC18" s="1735"/>
      <c r="AD18" s="1735">
        <f>'Basis &amp; Credits'!AD18</f>
        <v>0</v>
      </c>
      <c r="AE18" s="1735"/>
      <c r="AF18" s="1735"/>
      <c r="AG18" s="1735"/>
      <c r="AH18" s="1735"/>
      <c r="AI18" s="1735">
        <f>'Basis &amp; Credits'!AI18</f>
        <v>0</v>
      </c>
      <c r="AJ18" s="1735"/>
      <c r="AK18" s="1735"/>
      <c r="AL18" s="1735"/>
      <c r="AM18" s="1735"/>
    </row>
    <row r="19" spans="1:39" ht="12.75">
      <c r="B19" s="745"/>
      <c r="C19" s="1965" t="str">
        <f>'Basis &amp; Credits'!C19:S19</f>
        <v>Subtract (specify other ineligible amounts):</v>
      </c>
      <c r="D19" s="1965"/>
      <c r="E19" s="1965"/>
      <c r="F19" s="1965"/>
      <c r="G19" s="1965"/>
      <c r="H19" s="1965"/>
      <c r="I19" s="1965"/>
      <c r="J19" s="1965"/>
      <c r="K19" s="1965"/>
      <c r="L19" s="1965"/>
      <c r="M19" s="1965"/>
      <c r="N19" s="1965"/>
      <c r="O19" s="1965"/>
      <c r="P19" s="1965"/>
      <c r="Q19" s="1965"/>
      <c r="R19" s="1965"/>
      <c r="S19" s="1966"/>
      <c r="T19" s="1732">
        <f>'Basis &amp; Credits'!T19</f>
        <v>0</v>
      </c>
      <c r="U19" s="1735"/>
      <c r="V19" s="1735"/>
      <c r="W19" s="1735"/>
      <c r="X19" s="1735"/>
      <c r="Y19" s="1732">
        <f>'Basis &amp; Credits'!Y19</f>
        <v>0</v>
      </c>
      <c r="Z19" s="1735"/>
      <c r="AA19" s="1735"/>
      <c r="AB19" s="1735"/>
      <c r="AC19" s="1735"/>
      <c r="AD19" s="1735">
        <f>'Basis &amp; Credits'!AD19</f>
        <v>0</v>
      </c>
      <c r="AE19" s="1735"/>
      <c r="AF19" s="1735"/>
      <c r="AG19" s="1735"/>
      <c r="AH19" s="1735"/>
      <c r="AI19" s="1735">
        <f>'Basis &amp; Credits'!AI19</f>
        <v>0</v>
      </c>
      <c r="AJ19" s="1735"/>
      <c r="AK19" s="1735"/>
      <c r="AL19" s="1735"/>
      <c r="AM19" s="1735"/>
    </row>
    <row r="20" spans="1:39" ht="12.75">
      <c r="B20" s="2239" t="s">
        <v>835</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1874</v>
      </c>
      <c r="C21" s="2240"/>
      <c r="D21" s="2240"/>
      <c r="E21" s="2240"/>
      <c r="F21" s="2240"/>
      <c r="G21" s="2240"/>
      <c r="H21" s="2240"/>
      <c r="I21" s="2240"/>
      <c r="J21" s="2240"/>
      <c r="K21" s="2240"/>
      <c r="L21" s="2240"/>
      <c r="M21" s="2240"/>
      <c r="N21" s="2240"/>
      <c r="O21" s="2240"/>
      <c r="P21" s="2240"/>
      <c r="Q21" s="2240"/>
      <c r="R21" s="2240"/>
      <c r="S21" s="2241"/>
      <c r="T21" s="1732">
        <f>'Basis &amp; Credits'!E21</f>
        <v>0</v>
      </c>
      <c r="U21" s="1735"/>
      <c r="V21" s="1735"/>
      <c r="W21" s="1735"/>
      <c r="X21" s="1735"/>
      <c r="Y21" s="1732">
        <f>'Basis &amp; Credits'!J21</f>
        <v>0</v>
      </c>
      <c r="Z21" s="1735"/>
      <c r="AA21" s="1735"/>
      <c r="AB21" s="1735"/>
      <c r="AC21" s="1735"/>
      <c r="AD21" s="1735">
        <f>'Basis &amp; Credits'!O21</f>
        <v>0</v>
      </c>
      <c r="AE21" s="1735"/>
      <c r="AF21" s="1735"/>
      <c r="AG21" s="1735"/>
      <c r="AH21" s="1735"/>
      <c r="AI21" s="1735">
        <f>'Basis &amp; Credits'!T21</f>
        <v>17447988</v>
      </c>
      <c r="AJ21" s="1735"/>
      <c r="AK21" s="1735"/>
      <c r="AL21" s="1735"/>
      <c r="AM21" s="1735"/>
    </row>
    <row r="22" spans="1:39" ht="12.75">
      <c r="B22" s="2239" t="s">
        <v>836</v>
      </c>
      <c r="C22" s="2240"/>
      <c r="D22" s="2240"/>
      <c r="E22" s="2240"/>
      <c r="F22" s="2240"/>
      <c r="G22" s="2240"/>
      <c r="H22" s="2240"/>
      <c r="I22" s="2240"/>
      <c r="J22" s="2240"/>
      <c r="K22" s="2240"/>
      <c r="L22" s="2240"/>
      <c r="M22" s="2240"/>
      <c r="N22" s="2240"/>
      <c r="O22" s="2240"/>
      <c r="P22" s="2240"/>
      <c r="Q22" s="2240"/>
      <c r="R22" s="2240"/>
      <c r="S22" s="2241"/>
      <c r="T22" s="2280">
        <f>(T20+T21)*-1</f>
        <v>0</v>
      </c>
      <c r="U22" s="2281"/>
      <c r="V22" s="2281"/>
      <c r="W22" s="2281"/>
      <c r="X22" s="2281"/>
      <c r="Y22" s="2280">
        <f>(Y20+Y21)*-1</f>
        <v>0</v>
      </c>
      <c r="Z22" s="2281"/>
      <c r="AA22" s="2281"/>
      <c r="AB22" s="2281"/>
      <c r="AC22" s="2281"/>
      <c r="AD22" s="2280">
        <f>(AD20+AD21)*-1</f>
        <v>0</v>
      </c>
      <c r="AE22" s="2281"/>
      <c r="AF22" s="2281"/>
      <c r="AG22" s="2281"/>
      <c r="AH22" s="2281"/>
      <c r="AI22" s="2280">
        <f>(AI20+AI21)*-1</f>
        <v>-17447988</v>
      </c>
      <c r="AJ22" s="2281"/>
      <c r="AK22" s="2281"/>
      <c r="AL22" s="2281"/>
      <c r="AM22" s="2281"/>
    </row>
    <row r="23" spans="1:39" ht="12.75">
      <c r="A23" s="2"/>
      <c r="B23" s="2299" t="s">
        <v>837</v>
      </c>
      <c r="C23" s="2300"/>
      <c r="D23" s="2300"/>
      <c r="E23" s="2300"/>
      <c r="F23" s="2300"/>
      <c r="G23" s="2300"/>
      <c r="H23" s="2300"/>
      <c r="I23" s="2300"/>
      <c r="J23" s="2300"/>
      <c r="K23" s="2300"/>
      <c r="L23" s="2300"/>
      <c r="M23" s="2300"/>
      <c r="N23" s="2300"/>
      <c r="O23" s="2300"/>
      <c r="P23" s="2300"/>
      <c r="Q23" s="2300"/>
      <c r="R23" s="2300"/>
      <c r="S23" s="2301"/>
      <c r="T23" s="2234">
        <f>T11+T22</f>
        <v>38815509.06984631</v>
      </c>
      <c r="U23" s="2235"/>
      <c r="V23" s="2235"/>
      <c r="W23" s="2235"/>
      <c r="X23" s="2235"/>
      <c r="Y23" s="2234">
        <f>Y11+Y22</f>
        <v>0</v>
      </c>
      <c r="Z23" s="2235"/>
      <c r="AA23" s="2235"/>
      <c r="AB23" s="2235"/>
      <c r="AC23" s="2235"/>
      <c r="AD23" s="2234">
        <f>AD11+AD22</f>
        <v>0</v>
      </c>
      <c r="AE23" s="2235"/>
      <c r="AF23" s="2235"/>
      <c r="AG23" s="2235"/>
      <c r="AH23" s="2235"/>
      <c r="AI23" s="2234">
        <f>AI11+AI22</f>
        <v>-17447988</v>
      </c>
      <c r="AJ23" s="2235"/>
      <c r="AK23" s="2235"/>
      <c r="AL23" s="2235"/>
      <c r="AM23" s="2235"/>
    </row>
    <row r="24" spans="1:39" ht="12.75">
      <c r="B24" s="2239" t="s">
        <v>1317</v>
      </c>
      <c r="C24" s="2240"/>
      <c r="D24" s="2240"/>
      <c r="E24" s="2240"/>
      <c r="F24" s="2240"/>
      <c r="G24" s="2240"/>
      <c r="H24" s="2240"/>
      <c r="I24" s="2240"/>
      <c r="J24" s="2240"/>
      <c r="K24" s="2240"/>
      <c r="L24" s="2240"/>
      <c r="M24" s="2240"/>
      <c r="N24" s="2240"/>
      <c r="O24" s="2240"/>
      <c r="P24" s="2240"/>
      <c r="Q24" s="2240"/>
      <c r="R24" s="2240"/>
      <c r="S24" s="2241"/>
      <c r="T24" s="2302">
        <f>Application!AD993</f>
        <v>0</v>
      </c>
      <c r="U24" s="2303"/>
      <c r="V24" s="2303"/>
      <c r="W24" s="2303"/>
      <c r="X24" s="2303"/>
      <c r="Y24" s="2303"/>
      <c r="Z24" s="2303"/>
      <c r="AA24" s="2303"/>
      <c r="AB24" s="2303"/>
      <c r="AC24" s="2303"/>
      <c r="AD24" s="2303"/>
      <c r="AE24" s="2303"/>
      <c r="AF24" s="2303"/>
      <c r="AG24" s="2303"/>
      <c r="AH24" s="2303"/>
      <c r="AI24" s="2303"/>
      <c r="AJ24" s="2303"/>
      <c r="AK24" s="2303"/>
      <c r="AL24" s="2303"/>
      <c r="AM24" s="2234"/>
    </row>
    <row r="25" spans="1:39" ht="12.75">
      <c r="B25" s="2293" t="s">
        <v>1912</v>
      </c>
      <c r="C25" s="2294"/>
      <c r="D25" s="2294"/>
      <c r="E25" s="2294"/>
      <c r="F25" s="2294"/>
      <c r="G25" s="2294"/>
      <c r="H25" s="2294"/>
      <c r="I25" s="2294"/>
      <c r="J25" s="2294"/>
      <c r="K25" s="2294"/>
      <c r="L25" s="2294"/>
      <c r="M25" s="2294"/>
      <c r="N25" s="2294"/>
      <c r="O25" s="2294"/>
      <c r="P25" s="2294"/>
      <c r="Q25" s="2294"/>
      <c r="R25" s="2294"/>
      <c r="S25" s="2295"/>
      <c r="T25" s="2286">
        <v>1</v>
      </c>
      <c r="U25" s="2287"/>
      <c r="V25" s="2287"/>
      <c r="W25" s="2287"/>
      <c r="X25" s="2288"/>
      <c r="Y25" s="2286">
        <v>1</v>
      </c>
      <c r="Z25" s="2287"/>
      <c r="AA25" s="2287"/>
      <c r="AB25" s="2287"/>
      <c r="AC25" s="2288"/>
      <c r="AD25" s="2286">
        <v>1</v>
      </c>
      <c r="AE25" s="2287"/>
      <c r="AF25" s="2287"/>
      <c r="AG25" s="2287"/>
      <c r="AH25" s="2288"/>
      <c r="AI25" s="2286">
        <v>1</v>
      </c>
      <c r="AJ25" s="2287"/>
      <c r="AK25" s="2287"/>
      <c r="AL25" s="2287"/>
      <c r="AM25" s="2288"/>
    </row>
    <row r="26" spans="1:39" ht="12.75">
      <c r="B26" s="2239" t="s">
        <v>838</v>
      </c>
      <c r="C26" s="2240"/>
      <c r="D26" s="2240"/>
      <c r="E26" s="2240"/>
      <c r="F26" s="2240"/>
      <c r="G26" s="2240"/>
      <c r="H26" s="2240"/>
      <c r="I26" s="2240"/>
      <c r="J26" s="2240"/>
      <c r="K26" s="2240"/>
      <c r="L26" s="2240"/>
      <c r="M26" s="2240"/>
      <c r="N26" s="2240"/>
      <c r="O26" s="2240"/>
      <c r="P26" s="2240"/>
      <c r="Q26" s="2240"/>
      <c r="R26" s="2240"/>
      <c r="S26" s="2241"/>
      <c r="T26" s="2289">
        <f>T23*T25</f>
        <v>38815509.06984631</v>
      </c>
      <c r="U26" s="2290"/>
      <c r="V26" s="2290"/>
      <c r="W26" s="2290"/>
      <c r="X26" s="2290"/>
      <c r="Y26" s="2289">
        <f>Y23*Y25</f>
        <v>0</v>
      </c>
      <c r="Z26" s="2290"/>
      <c r="AA26" s="2290"/>
      <c r="AB26" s="2290"/>
      <c r="AC26" s="2290"/>
      <c r="AD26" s="2289">
        <f>AD23*AD25</f>
        <v>0</v>
      </c>
      <c r="AE26" s="2290"/>
      <c r="AF26" s="2290"/>
      <c r="AG26" s="2290"/>
      <c r="AH26" s="2290"/>
      <c r="AI26" s="2289">
        <f>AI23*AI25</f>
        <v>-17447988</v>
      </c>
      <c r="AJ26" s="2290"/>
      <c r="AK26" s="2290"/>
      <c r="AL26" s="2290"/>
      <c r="AM26" s="2290"/>
    </row>
    <row r="27" spans="1:39" ht="12.75">
      <c r="A27" s="7"/>
      <c r="B27" s="2296" t="s">
        <v>956</v>
      </c>
      <c r="C27" s="2297"/>
      <c r="D27" s="2297"/>
      <c r="E27" s="2297"/>
      <c r="F27" s="2297"/>
      <c r="G27" s="2297"/>
      <c r="H27" s="2297"/>
      <c r="I27" s="2297"/>
      <c r="J27" s="2297"/>
      <c r="K27" s="2297"/>
      <c r="L27" s="2297"/>
      <c r="M27" s="2297"/>
      <c r="N27" s="2297"/>
      <c r="O27" s="2297"/>
      <c r="P27" s="2297"/>
      <c r="Q27" s="2297"/>
      <c r="R27" s="2297"/>
      <c r="S27" s="2298"/>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916</v>
      </c>
      <c r="C28" s="2240"/>
      <c r="D28" s="2240"/>
      <c r="E28" s="2240"/>
      <c r="F28" s="2240"/>
      <c r="G28" s="2240"/>
      <c r="H28" s="2240"/>
      <c r="I28" s="2240"/>
      <c r="J28" s="2240"/>
      <c r="K28" s="2240"/>
      <c r="L28" s="2240"/>
      <c r="M28" s="2240"/>
      <c r="N28" s="2240"/>
      <c r="O28" s="2240"/>
      <c r="P28" s="2240"/>
      <c r="Q28" s="2240"/>
      <c r="R28" s="2240"/>
      <c r="S28" s="2241"/>
      <c r="T28" s="1794">
        <f>IF(ISERROR((T26*T27)),0,(T26*T27))</f>
        <v>38815509.06984631</v>
      </c>
      <c r="U28" s="2256"/>
      <c r="V28" s="2256"/>
      <c r="W28" s="2256"/>
      <c r="X28" s="2256"/>
      <c r="Y28" s="1794">
        <f>IF(ISERROR((Y26*Y27)),0,(Y26*Y27))</f>
        <v>0</v>
      </c>
      <c r="Z28" s="2256"/>
      <c r="AA28" s="2256"/>
      <c r="AB28" s="2256"/>
      <c r="AC28" s="2256"/>
      <c r="AD28" s="1794">
        <f>IF(ISERROR((AD26*AD27)),0,(AD26*AD27))</f>
        <v>0</v>
      </c>
      <c r="AE28" s="2256"/>
      <c r="AF28" s="2256"/>
      <c r="AG28" s="2256"/>
      <c r="AH28" s="2256"/>
      <c r="AI28" s="1794">
        <f>IF(ISERROR((AI26*AI27)),0,(AI26*AI27))</f>
        <v>-17447988</v>
      </c>
      <c r="AJ28" s="2256"/>
      <c r="AK28" s="2256"/>
      <c r="AL28" s="2256"/>
      <c r="AM28" s="2256"/>
    </row>
    <row r="29" spans="1:39" ht="12.75">
      <c r="B29" s="2239" t="s">
        <v>684</v>
      </c>
      <c r="C29" s="2240"/>
      <c r="D29" s="2240"/>
      <c r="E29" s="2240"/>
      <c r="F29" s="2240"/>
      <c r="G29" s="2240"/>
      <c r="H29" s="2240"/>
      <c r="I29" s="2240"/>
      <c r="J29" s="2240"/>
      <c r="K29" s="2240"/>
      <c r="L29" s="2240"/>
      <c r="M29" s="2240"/>
      <c r="N29" s="2240"/>
      <c r="O29" s="2240"/>
      <c r="P29" s="2240"/>
      <c r="Q29" s="2240"/>
      <c r="R29" s="2240"/>
      <c r="S29" s="2241"/>
      <c r="T29" s="2302">
        <f>T28+Y28+AD28+AI28</f>
        <v>21367521.06984631</v>
      </c>
      <c r="U29" s="2303"/>
      <c r="V29" s="2303"/>
      <c r="W29" s="2303"/>
      <c r="X29" s="2303"/>
      <c r="Y29" s="2303"/>
      <c r="Z29" s="2303"/>
      <c r="AA29" s="2303"/>
      <c r="AB29" s="2303"/>
      <c r="AC29" s="2303"/>
      <c r="AD29" s="2303"/>
      <c r="AE29" s="2303"/>
      <c r="AF29" s="2303"/>
      <c r="AG29" s="2303"/>
      <c r="AH29" s="2303"/>
      <c r="AI29" s="2303"/>
      <c r="AJ29" s="2303"/>
      <c r="AK29" s="2303"/>
      <c r="AL29" s="2303"/>
      <c r="AM29" s="2234"/>
    </row>
    <row r="30" spans="1:39" ht="12.75" customHeight="1">
      <c r="B30" s="2671"/>
      <c r="C30" s="2671"/>
      <c r="D30" s="2671"/>
      <c r="E30" s="2671"/>
      <c r="F30" s="2671"/>
      <c r="G30" s="2671"/>
      <c r="H30" s="2671"/>
      <c r="I30" s="2671"/>
      <c r="J30" s="2671"/>
      <c r="K30" s="2671"/>
      <c r="L30" s="2671"/>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916</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2.75">
      <c r="B39" s="2239" t="s">
        <v>828</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672">
        <v>0.09</v>
      </c>
      <c r="Z39" s="2672"/>
      <c r="AA39" s="2672"/>
      <c r="AB39" s="2672"/>
      <c r="AC39" s="2672"/>
      <c r="AD39" s="2672">
        <f>'Basis &amp; Credits'!AD39:AH39</f>
        <v>0.04</v>
      </c>
      <c r="AE39" s="2672"/>
      <c r="AF39" s="2672"/>
      <c r="AG39" s="2672"/>
      <c r="AH39" s="2672"/>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2.75">
      <c r="B41" s="2239" t="s">
        <v>678</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1256</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30">
        <f>'Sources and Uses Budget'!B104-'Sources and Uses Budget'!$B$15</f>
        <v>49021183.979608379</v>
      </c>
      <c r="AC46" s="2231"/>
      <c r="AD46" s="2231"/>
      <c r="AE46" s="2231"/>
      <c r="AF46" s="2232"/>
    </row>
    <row r="47" spans="1:40" ht="12.75" customHeight="1">
      <c r="D47" s="6" t="s">
        <v>910</v>
      </c>
      <c r="AB47" s="2230">
        <f>Application!AG644-MIN('Sources and Uses Budget'!B15,Application!AG385)</f>
        <v>0</v>
      </c>
      <c r="AC47" s="2231"/>
      <c r="AD47" s="2231"/>
      <c r="AE47" s="2231"/>
      <c r="AF47" s="2232"/>
    </row>
    <row r="48" spans="1:40" ht="12.75">
      <c r="D48" s="6" t="s">
        <v>418</v>
      </c>
      <c r="AB48" s="2230">
        <f>AB46-AB47</f>
        <v>49021183.979608379</v>
      </c>
      <c r="AC48" s="2231"/>
      <c r="AD48" s="2231"/>
      <c r="AE48" s="2231"/>
      <c r="AF48" s="2232"/>
    </row>
    <row r="49" spans="1:40" ht="12.75">
      <c r="D49" s="6" t="s">
        <v>949</v>
      </c>
      <c r="X49" s="2"/>
      <c r="Y49" s="2"/>
      <c r="Z49" s="2"/>
      <c r="AA49" s="409"/>
      <c r="AB49" s="2249"/>
      <c r="AC49" s="2250"/>
      <c r="AD49" s="2250"/>
      <c r="AE49" s="2250"/>
      <c r="AF49" s="2251"/>
    </row>
    <row r="50" spans="1:40" s="497" customFormat="1" ht="15" customHeight="1">
      <c r="A50" s="2"/>
      <c r="B50" s="2"/>
      <c r="C50" s="2"/>
      <c r="D50" s="272"/>
      <c r="E50" s="2260" t="s">
        <v>1473</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55"/>
      <c r="AB50" s="755"/>
      <c r="AC50" s="755"/>
      <c r="AD50" s="755"/>
      <c r="AE50" s="755"/>
      <c r="AF50" s="755"/>
      <c r="AG50" s="2"/>
      <c r="AH50" s="2"/>
      <c r="AI50" s="2"/>
      <c r="AJ50" s="2"/>
      <c r="AK50" s="2"/>
      <c r="AL50" s="2"/>
      <c r="AM50" s="2"/>
      <c r="AN50" s="2"/>
    </row>
    <row r="51" spans="1:40" s="497"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617</v>
      </c>
      <c r="AB54" s="2230">
        <f>(AB53/10)</f>
        <v>0</v>
      </c>
      <c r="AC54" s="2231"/>
      <c r="AD54" s="2231"/>
      <c r="AE54" s="2231"/>
      <c r="AF54" s="2232"/>
    </row>
    <row r="55" spans="1:40" ht="12.75">
      <c r="D55" s="6" t="s">
        <v>377</v>
      </c>
      <c r="AB55" s="2257">
        <f>(IF((Y41&lt;AB54),Y41,AB54))</f>
        <v>0</v>
      </c>
      <c r="AC55" s="2258"/>
      <c r="AD55" s="2258"/>
      <c r="AE55" s="2258"/>
      <c r="AF55" s="2259"/>
    </row>
    <row r="56" spans="1:40" ht="12.75">
      <c r="D56" s="6" t="s">
        <v>117</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8">
        <f>AB48-AB56</f>
        <v>49021183.979608379</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1915</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29" t="s">
        <v>329</v>
      </c>
      <c r="Z62" s="2229"/>
      <c r="AA62" s="2229"/>
      <c r="AB62" s="2229"/>
      <c r="AC62" s="2229"/>
      <c r="AD62" s="2229" t="s">
        <v>46</v>
      </c>
      <c r="AE62" s="2229"/>
      <c r="AF62" s="2229"/>
      <c r="AG62" s="2229"/>
      <c r="AH62" s="2229"/>
      <c r="AI62" s="1"/>
      <c r="AJ62" s="1"/>
      <c r="AK62" s="1"/>
      <c r="AL62" s="1"/>
      <c r="AM62" s="1"/>
      <c r="AN62" s="1"/>
    </row>
    <row r="63" spans="1:40" ht="12.75">
      <c r="C63" s="330"/>
      <c r="D63" s="1213" t="s">
        <v>1342</v>
      </c>
      <c r="E63" s="776"/>
      <c r="F63" s="776"/>
      <c r="G63" s="776"/>
      <c r="H63" s="776"/>
      <c r="I63" s="776"/>
      <c r="J63" s="776"/>
      <c r="K63" s="776"/>
      <c r="L63" s="22"/>
      <c r="M63" s="22"/>
      <c r="N63" s="22"/>
      <c r="O63" s="22"/>
      <c r="P63" s="22"/>
      <c r="Q63" s="22"/>
      <c r="R63" s="22"/>
      <c r="S63" s="22"/>
      <c r="T63" s="22"/>
      <c r="U63" s="22"/>
      <c r="V63" s="22"/>
      <c r="W63" s="22"/>
      <c r="X63" s="22"/>
      <c r="Y63" s="2157">
        <f>Y28</f>
        <v>0</v>
      </c>
      <c r="Z63" s="2252"/>
      <c r="AA63" s="2252"/>
      <c r="AB63" s="2252"/>
      <c r="AC63" s="2252"/>
      <c r="AD63" s="2157">
        <f>AI28</f>
        <v>-17447988</v>
      </c>
      <c r="AE63" s="2252"/>
      <c r="AF63" s="2252"/>
      <c r="AG63" s="2252"/>
      <c r="AH63" s="2252"/>
    </row>
    <row r="64" spans="1:40" ht="15" customHeight="1">
      <c r="C64" s="6"/>
      <c r="E64" s="2226" t="s">
        <v>1393</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217</v>
      </c>
      <c r="E66" s="1216"/>
      <c r="F66" s="1216"/>
      <c r="G66" s="1216"/>
      <c r="H66" s="1216"/>
      <c r="I66" s="1216"/>
      <c r="J66" s="1216"/>
      <c r="K66" s="1216"/>
      <c r="L66" s="1216"/>
      <c r="M66" s="1216"/>
      <c r="N66" s="1216"/>
      <c r="O66" s="1216"/>
      <c r="P66" s="1216"/>
      <c r="Q66" s="1216"/>
      <c r="R66" s="1216"/>
      <c r="S66" s="1216"/>
      <c r="T66" s="1216"/>
      <c r="U66" s="1216"/>
      <c r="V66" s="1216"/>
      <c r="W66" s="1216"/>
      <c r="X66" s="1216"/>
      <c r="Y66" s="2248">
        <v>0.3</v>
      </c>
      <c r="Z66" s="2248"/>
      <c r="AA66" s="2248"/>
      <c r="AB66" s="2248"/>
      <c r="AC66" s="2248"/>
      <c r="AD66" s="2248">
        <v>0.13</v>
      </c>
      <c r="AE66" s="2248"/>
      <c r="AF66" s="2248"/>
      <c r="AG66" s="2248"/>
      <c r="AH66" s="2248"/>
    </row>
    <row r="67" spans="1:40" ht="12.75">
      <c r="C67" s="6"/>
      <c r="D67" s="6" t="s">
        <v>1023</v>
      </c>
      <c r="Y67" s="2157">
        <f>ROUND(Y63*Y66,0)</f>
        <v>0</v>
      </c>
      <c r="Z67" s="2252"/>
      <c r="AA67" s="2252"/>
      <c r="AB67" s="2252"/>
      <c r="AC67" s="2252"/>
      <c r="AD67" s="2157" t="str">
        <f>IF(OR(Application!D211="At-Risk",Application!D211="At-Risk/Located in Rural Census Tract",Application!D214="At-Risk"),ROUND(AD63*AD66,0),"$0")</f>
        <v>$0</v>
      </c>
      <c r="AE67" s="2253"/>
      <c r="AF67" s="2253"/>
      <c r="AG67" s="2253"/>
      <c r="AH67" s="2253"/>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1910</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4"/>
      <c r="AG74" s="2"/>
      <c r="AH74" s="2"/>
      <c r="AI74" s="2"/>
      <c r="AJ74" s="2"/>
      <c r="AK74" s="2"/>
      <c r="AL74" s="2"/>
      <c r="AM74" s="2"/>
      <c r="AN74" s="2"/>
    </row>
    <row r="75" spans="1:40" ht="12" customHeight="1">
      <c r="C75" s="6"/>
      <c r="D75" s="6" t="s">
        <v>114</v>
      </c>
      <c r="AB75" s="2247">
        <f>ROUND(IF(ISERROR((AB58/AB70)),0,(AB58/AB70)),0)</f>
        <v>0</v>
      </c>
      <c r="AC75" s="2247"/>
      <c r="AD75" s="2247"/>
      <c r="AE75" s="2247"/>
      <c r="AF75" s="2247"/>
    </row>
    <row r="76" spans="1:40" ht="12.75" customHeight="1">
      <c r="C76" s="6"/>
      <c r="D76" s="6" t="s">
        <v>115</v>
      </c>
      <c r="AB76" s="2244">
        <f>IF((Y67+AD67&lt;AB75),Y67+AD67,AB75)</f>
        <v>0</v>
      </c>
      <c r="AC76" s="2245"/>
      <c r="AD76" s="2245"/>
      <c r="AE76" s="2245"/>
      <c r="AF76" s="2246"/>
    </row>
    <row r="77" spans="1:40" ht="12.75" customHeight="1">
      <c r="C77" s="6"/>
      <c r="D77" s="6" t="s">
        <v>1024</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116</v>
      </c>
      <c r="AB79" s="2228">
        <f>AB48-(AB56+AB77)</f>
        <v>49021183.979608379</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52" workbookViewId="0">
      <selection sqref="A1:AN2"/>
    </sheetView>
  </sheetViews>
  <sheetFormatPr defaultColWidth="0" defaultRowHeight="0" customHeight="1" zeroHeight="1"/>
  <cols>
    <col min="1" max="1" width="1.42578125" style="1215" customWidth="1"/>
    <col min="2" max="2" width="0.85546875" style="1215" customWidth="1"/>
    <col min="3" max="18" width="2.42578125" style="1215" customWidth="1"/>
    <col min="19" max="19" width="4" style="1215" customWidth="1"/>
    <col min="20" max="39" width="2.42578125" style="1215" customWidth="1"/>
    <col min="40" max="40" width="1.42578125" style="1215" customWidth="1"/>
    <col min="41" max="16384" width="2.42578125" style="2" hidden="1"/>
  </cols>
  <sheetData>
    <row r="1" spans="1:40" ht="12.75" customHeight="1">
      <c r="A1" s="2262" t="s">
        <v>1474</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5"/>
      <c r="AA6" s="2"/>
    </row>
    <row r="7" spans="1:40" ht="13.7" customHeight="1">
      <c r="B7" s="9"/>
      <c r="C7" s="10"/>
      <c r="D7" s="10"/>
      <c r="E7" s="10"/>
      <c r="F7" s="10"/>
      <c r="G7" s="10"/>
      <c r="H7" s="10"/>
      <c r="I7" s="10"/>
      <c r="J7" s="10"/>
      <c r="K7" s="10"/>
      <c r="L7" s="10"/>
      <c r="M7" s="10"/>
      <c r="N7" s="10"/>
      <c r="O7" s="10"/>
      <c r="P7" s="10"/>
      <c r="Q7" s="10"/>
      <c r="R7" s="10"/>
      <c r="S7" s="10"/>
      <c r="T7" s="2242" t="s">
        <v>1758</v>
      </c>
      <c r="U7" s="2242"/>
      <c r="V7" s="2242"/>
      <c r="W7" s="2242"/>
      <c r="X7" s="2242"/>
      <c r="Y7" s="2242" t="s">
        <v>1913</v>
      </c>
      <c r="Z7" s="2242"/>
      <c r="AA7" s="2242"/>
      <c r="AB7" s="2242"/>
      <c r="AC7" s="2242"/>
      <c r="AD7" s="2242" t="s">
        <v>1480</v>
      </c>
      <c r="AE7" s="2242"/>
      <c r="AF7" s="2242"/>
      <c r="AG7" s="2242"/>
      <c r="AH7" s="2242"/>
      <c r="AI7" s="2242" t="s">
        <v>1914</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562</v>
      </c>
      <c r="C11" s="2240"/>
      <c r="D11" s="2240"/>
      <c r="E11" s="2240"/>
      <c r="F11" s="2240"/>
      <c r="G11" s="2240"/>
      <c r="H11" s="2240"/>
      <c r="I11" s="2240"/>
      <c r="J11" s="2240"/>
      <c r="K11" s="2240"/>
      <c r="L11" s="2240"/>
      <c r="M11" s="2240"/>
      <c r="N11" s="2240"/>
      <c r="O11" s="2240"/>
      <c r="P11" s="2240"/>
      <c r="Q11" s="2240"/>
      <c r="R11" s="2240"/>
      <c r="S11" s="2241"/>
      <c r="T11" s="2279">
        <f>IF('Sources and Basis Breakdown'!F105=0,'Sources and Basis Breakdown'!E105,'Sources and Basis Breakdown'!F105)</f>
        <v>38815509.06984631</v>
      </c>
      <c r="U11" s="2267"/>
      <c r="V11" s="2267"/>
      <c r="W11" s="2267"/>
      <c r="X11" s="2267"/>
      <c r="Y11" s="2266">
        <f>IF('Sources and Basis Breakdown'!G105+'Sources and Basis Breakdown'!F105='Sources and Basis Breakdown'!E105,'Sources and Basis Breakdown'!G105,0)</f>
        <v>0</v>
      </c>
      <c r="Z11" s="2267"/>
      <c r="AA11" s="2267"/>
      <c r="AB11" s="2267"/>
      <c r="AC11" s="2267"/>
      <c r="AD11" s="2267">
        <f>IF('Sources and Basis Breakdown'!I105=0,'Sources and Basis Breakdown'!H105,'Sources and Basis Breakdown'!I105)</f>
        <v>0</v>
      </c>
      <c r="AE11" s="2267"/>
      <c r="AF11" s="2267"/>
      <c r="AG11" s="2267"/>
      <c r="AH11" s="2267"/>
      <c r="AI11" s="2267">
        <f>IF('Sources and Basis Breakdown'!I105+'Sources and Basis Breakdown'!J105='Sources and Basis Breakdown'!H105,'Sources and Basis Breakdown'!J105,0)</f>
        <v>0</v>
      </c>
      <c r="AJ11" s="2267"/>
      <c r="AK11" s="2267"/>
      <c r="AL11" s="2267"/>
      <c r="AM11" s="2267"/>
    </row>
    <row r="12" spans="1:40" ht="12.75">
      <c r="B12" s="2272" t="s">
        <v>492</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1875</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832</v>
      </c>
      <c r="D14" s="2276"/>
      <c r="E14" s="2276"/>
      <c r="F14" s="2276"/>
      <c r="G14" s="2276"/>
      <c r="H14" s="2276"/>
      <c r="I14" s="2276"/>
      <c r="J14" s="2276"/>
      <c r="K14" s="2276"/>
      <c r="L14" s="2276"/>
      <c r="M14" s="2276"/>
      <c r="N14" s="2276"/>
      <c r="O14" s="2276"/>
      <c r="P14" s="2276"/>
      <c r="Q14" s="2276"/>
      <c r="R14" s="2276"/>
      <c r="S14" s="2277"/>
      <c r="T14" s="1732">
        <f>'Basis &amp; Credits'!T14</f>
        <v>0</v>
      </c>
      <c r="U14" s="1735"/>
      <c r="V14" s="1735"/>
      <c r="W14" s="1735"/>
      <c r="X14" s="1735"/>
      <c r="Y14" s="1732">
        <f>'Basis &amp; Credits'!Y14</f>
        <v>0</v>
      </c>
      <c r="Z14" s="1735"/>
      <c r="AA14" s="1735"/>
      <c r="AB14" s="1735"/>
      <c r="AC14" s="1735"/>
      <c r="AD14" s="1735">
        <f>'Basis &amp; Credits'!AD14</f>
        <v>0</v>
      </c>
      <c r="AE14" s="1735"/>
      <c r="AF14" s="1735"/>
      <c r="AG14" s="1735"/>
      <c r="AH14" s="1735"/>
      <c r="AI14" s="1735">
        <f>'Basis &amp; Credits'!AI14</f>
        <v>0</v>
      </c>
      <c r="AJ14" s="1735"/>
      <c r="AK14" s="1735"/>
      <c r="AL14" s="1735"/>
      <c r="AM14" s="1735"/>
    </row>
    <row r="15" spans="1:40" ht="12.75">
      <c r="B15" s="11"/>
      <c r="C15" s="2276" t="s">
        <v>833</v>
      </c>
      <c r="D15" s="2276"/>
      <c r="E15" s="2276"/>
      <c r="F15" s="2276"/>
      <c r="G15" s="2276"/>
      <c r="H15" s="2276"/>
      <c r="I15" s="2276"/>
      <c r="J15" s="2276"/>
      <c r="K15" s="2276"/>
      <c r="L15" s="2276"/>
      <c r="M15" s="2276"/>
      <c r="N15" s="2276"/>
      <c r="O15" s="2276"/>
      <c r="P15" s="2276"/>
      <c r="Q15" s="2276"/>
      <c r="R15" s="2276"/>
      <c r="S15" s="2277"/>
      <c r="T15" s="1732">
        <f>'Basis &amp; Credits'!T15</f>
        <v>0</v>
      </c>
      <c r="U15" s="1735"/>
      <c r="V15" s="1735"/>
      <c r="W15" s="1735"/>
      <c r="X15" s="1735"/>
      <c r="Y15" s="1732">
        <f>'Basis &amp; Credits'!Y15</f>
        <v>0</v>
      </c>
      <c r="Z15" s="1735"/>
      <c r="AA15" s="1735"/>
      <c r="AB15" s="1735"/>
      <c r="AC15" s="1735"/>
      <c r="AD15" s="1735">
        <f>'Basis &amp; Credits'!AD15</f>
        <v>0</v>
      </c>
      <c r="AE15" s="1735"/>
      <c r="AF15" s="1735"/>
      <c r="AG15" s="1735"/>
      <c r="AH15" s="1735"/>
      <c r="AI15" s="1735">
        <f>'Basis &amp; Credits'!AI15</f>
        <v>0</v>
      </c>
      <c r="AJ15" s="1735"/>
      <c r="AK15" s="1735"/>
      <c r="AL15" s="1735"/>
      <c r="AM15" s="1735"/>
    </row>
    <row r="16" spans="1:40" ht="12.75">
      <c r="B16" s="11"/>
      <c r="C16" s="2275" t="s">
        <v>1095</v>
      </c>
      <c r="D16" s="2275"/>
      <c r="E16" s="2275"/>
      <c r="F16" s="2275"/>
      <c r="G16" s="2275"/>
      <c r="H16" s="2275"/>
      <c r="I16" s="2275"/>
      <c r="J16" s="2275"/>
      <c r="K16" s="2275"/>
      <c r="L16" s="2275"/>
      <c r="M16" s="2275"/>
      <c r="N16" s="2275"/>
      <c r="O16" s="2275"/>
      <c r="P16" s="2275"/>
      <c r="Q16" s="2275"/>
      <c r="R16" s="2275"/>
      <c r="S16" s="2278"/>
      <c r="T16" s="1732">
        <f>'Basis &amp; Credits'!T16</f>
        <v>0</v>
      </c>
      <c r="U16" s="1735"/>
      <c r="V16" s="1735"/>
      <c r="W16" s="1735"/>
      <c r="X16" s="1735"/>
      <c r="Y16" s="1732">
        <f>'Basis &amp; Credits'!Y16</f>
        <v>0</v>
      </c>
      <c r="Z16" s="1735"/>
      <c r="AA16" s="1735"/>
      <c r="AB16" s="1735"/>
      <c r="AC16" s="1735"/>
      <c r="AD16" s="1735">
        <f>'Basis &amp; Credits'!AD16</f>
        <v>0</v>
      </c>
      <c r="AE16" s="1735"/>
      <c r="AF16" s="1735"/>
      <c r="AG16" s="1735"/>
      <c r="AH16" s="1735"/>
      <c r="AI16" s="1735">
        <f>'Basis &amp; Credits'!AI16</f>
        <v>0</v>
      </c>
      <c r="AJ16" s="1735"/>
      <c r="AK16" s="1735"/>
      <c r="AL16" s="1735"/>
      <c r="AM16" s="1735"/>
    </row>
    <row r="17" spans="1:39" ht="12.75">
      <c r="B17" s="11"/>
      <c r="C17" s="2276" t="s">
        <v>834</v>
      </c>
      <c r="D17" s="2276"/>
      <c r="E17" s="2276"/>
      <c r="F17" s="2276"/>
      <c r="G17" s="2276"/>
      <c r="H17" s="2276"/>
      <c r="I17" s="2276"/>
      <c r="J17" s="2276"/>
      <c r="K17" s="2276"/>
      <c r="L17" s="2276"/>
      <c r="M17" s="2276"/>
      <c r="N17" s="2276"/>
      <c r="O17" s="2276"/>
      <c r="P17" s="2276"/>
      <c r="Q17" s="2276"/>
      <c r="R17" s="2276"/>
      <c r="S17" s="2277"/>
      <c r="T17" s="1732">
        <f>'Basis &amp; Credits'!T17</f>
        <v>0</v>
      </c>
      <c r="U17" s="1735"/>
      <c r="V17" s="1735"/>
      <c r="W17" s="1735"/>
      <c r="X17" s="1735"/>
      <c r="Y17" s="1732">
        <f>'Basis &amp; Credits'!Y17</f>
        <v>0</v>
      </c>
      <c r="Z17" s="1735"/>
      <c r="AA17" s="1735"/>
      <c r="AB17" s="1735"/>
      <c r="AC17" s="1735"/>
      <c r="AD17" s="1735">
        <f>'Basis &amp; Credits'!AD17</f>
        <v>0</v>
      </c>
      <c r="AE17" s="1735"/>
      <c r="AF17" s="1735"/>
      <c r="AG17" s="1735"/>
      <c r="AH17" s="1735"/>
      <c r="AI17" s="1735">
        <f>'Basis &amp; Credits'!AI17</f>
        <v>0</v>
      </c>
      <c r="AJ17" s="1735"/>
      <c r="AK17" s="1735"/>
      <c r="AL17" s="1735"/>
      <c r="AM17" s="1735"/>
    </row>
    <row r="18" spans="1:39" ht="12.75">
      <c r="B18" s="903"/>
      <c r="C18" s="2275" t="s">
        <v>1485</v>
      </c>
      <c r="D18" s="2276"/>
      <c r="E18" s="2276"/>
      <c r="F18" s="2276"/>
      <c r="G18" s="2276"/>
      <c r="H18" s="2276"/>
      <c r="I18" s="2276"/>
      <c r="J18" s="2276"/>
      <c r="K18" s="2276"/>
      <c r="L18" s="2276"/>
      <c r="M18" s="2276"/>
      <c r="N18" s="2276"/>
      <c r="O18" s="2276"/>
      <c r="P18" s="2276"/>
      <c r="Q18" s="2276"/>
      <c r="R18" s="2276"/>
      <c r="S18" s="2277"/>
      <c r="T18" s="1730">
        <f>'Basis &amp; Credits'!T18</f>
        <v>0</v>
      </c>
      <c r="U18" s="1731"/>
      <c r="V18" s="1731"/>
      <c r="W18" s="1731"/>
      <c r="X18" s="1732"/>
      <c r="Y18" s="1732">
        <f>'Basis &amp; Credits'!Y18</f>
        <v>0</v>
      </c>
      <c r="Z18" s="1735"/>
      <c r="AA18" s="1735"/>
      <c r="AB18" s="1735"/>
      <c r="AC18" s="1735"/>
      <c r="AD18" s="1735">
        <f>'Basis &amp; Credits'!AD18</f>
        <v>0</v>
      </c>
      <c r="AE18" s="1735"/>
      <c r="AF18" s="1735"/>
      <c r="AG18" s="1735"/>
      <c r="AH18" s="1735"/>
      <c r="AI18" s="1735">
        <f>'Basis &amp; Credits'!AI18</f>
        <v>0</v>
      </c>
      <c r="AJ18" s="1735"/>
      <c r="AK18" s="1735"/>
      <c r="AL18" s="1735"/>
      <c r="AM18" s="1735"/>
    </row>
    <row r="19" spans="1:39" ht="12.75">
      <c r="B19" s="745"/>
      <c r="C19" s="1965" t="str">
        <f>'Basis &amp; Credits'!C19:S19</f>
        <v>Subtract (specify other ineligible amounts):</v>
      </c>
      <c r="D19" s="1965"/>
      <c r="E19" s="1965"/>
      <c r="F19" s="1965"/>
      <c r="G19" s="1965"/>
      <c r="H19" s="1965"/>
      <c r="I19" s="1965"/>
      <c r="J19" s="1965"/>
      <c r="K19" s="1965"/>
      <c r="L19" s="1965"/>
      <c r="M19" s="1965"/>
      <c r="N19" s="1965"/>
      <c r="O19" s="1965"/>
      <c r="P19" s="1965"/>
      <c r="Q19" s="1965"/>
      <c r="R19" s="1965"/>
      <c r="S19" s="1966"/>
      <c r="T19" s="1732">
        <f>'Basis &amp; Credits'!T19</f>
        <v>0</v>
      </c>
      <c r="U19" s="1735"/>
      <c r="V19" s="1735"/>
      <c r="W19" s="1735"/>
      <c r="X19" s="1735"/>
      <c r="Y19" s="1732">
        <f>'Basis &amp; Credits'!Y19</f>
        <v>0</v>
      </c>
      <c r="Z19" s="1735"/>
      <c r="AA19" s="1735"/>
      <c r="AB19" s="1735"/>
      <c r="AC19" s="1735"/>
      <c r="AD19" s="1735">
        <f>'Basis &amp; Credits'!AD19</f>
        <v>0</v>
      </c>
      <c r="AE19" s="1735"/>
      <c r="AF19" s="1735"/>
      <c r="AG19" s="1735"/>
      <c r="AH19" s="1735"/>
      <c r="AI19" s="1735">
        <f>'Basis &amp; Credits'!AI19</f>
        <v>0</v>
      </c>
      <c r="AJ19" s="1735"/>
      <c r="AK19" s="1735"/>
      <c r="AL19" s="1735"/>
      <c r="AM19" s="1735"/>
    </row>
    <row r="20" spans="1:39" ht="12.75">
      <c r="B20" s="2239" t="s">
        <v>835</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1874</v>
      </c>
      <c r="C21" s="2240"/>
      <c r="D21" s="2240"/>
      <c r="E21" s="2240"/>
      <c r="F21" s="2240"/>
      <c r="G21" s="2240"/>
      <c r="H21" s="2240"/>
      <c r="I21" s="2240"/>
      <c r="J21" s="2240"/>
      <c r="K21" s="2240"/>
      <c r="L21" s="2240"/>
      <c r="M21" s="2240"/>
      <c r="N21" s="2240"/>
      <c r="O21" s="2240"/>
      <c r="P21" s="2240"/>
      <c r="Q21" s="2240"/>
      <c r="R21" s="2240"/>
      <c r="S21" s="2241"/>
      <c r="T21" s="1732">
        <f>'Basis &amp; Credits'!T21</f>
        <v>17447988</v>
      </c>
      <c r="U21" s="1735"/>
      <c r="V21" s="1735"/>
      <c r="W21" s="1735"/>
      <c r="X21" s="1735"/>
      <c r="Y21" s="1732">
        <f>'Basis &amp; Credits'!Y21</f>
        <v>0</v>
      </c>
      <c r="Z21" s="1735"/>
      <c r="AA21" s="1735"/>
      <c r="AB21" s="1735"/>
      <c r="AC21" s="1735"/>
      <c r="AD21" s="1735">
        <f>'Basis &amp; Credits'!AD21</f>
        <v>0</v>
      </c>
      <c r="AE21" s="1735"/>
      <c r="AF21" s="1735"/>
      <c r="AG21" s="1735"/>
      <c r="AH21" s="1735"/>
      <c r="AI21" s="1735">
        <f>'Basis &amp; Credits'!AI21</f>
        <v>0</v>
      </c>
      <c r="AJ21" s="1735"/>
      <c r="AK21" s="1735"/>
      <c r="AL21" s="1735"/>
      <c r="AM21" s="1735"/>
    </row>
    <row r="22" spans="1:39" ht="12.75">
      <c r="B22" s="2239" t="s">
        <v>836</v>
      </c>
      <c r="C22" s="2240"/>
      <c r="D22" s="2240"/>
      <c r="E22" s="2240"/>
      <c r="F22" s="2240"/>
      <c r="G22" s="2240"/>
      <c r="H22" s="2240"/>
      <c r="I22" s="2240"/>
      <c r="J22" s="2240"/>
      <c r="K22" s="2240"/>
      <c r="L22" s="2240"/>
      <c r="M22" s="2240"/>
      <c r="N22" s="2240"/>
      <c r="O22" s="2240"/>
      <c r="P22" s="2240"/>
      <c r="Q22" s="2240"/>
      <c r="R22" s="2240"/>
      <c r="S22" s="2241"/>
      <c r="T22" s="2280">
        <f>(T20+T21)*-1</f>
        <v>-17447988</v>
      </c>
      <c r="U22" s="2281"/>
      <c r="V22" s="2281"/>
      <c r="W22" s="2281"/>
      <c r="X22" s="2281"/>
      <c r="Y22" s="2280">
        <f>(Y20+Y21)*-1</f>
        <v>0</v>
      </c>
      <c r="Z22" s="2281"/>
      <c r="AA22" s="2281"/>
      <c r="AB22" s="2281"/>
      <c r="AC22" s="2281"/>
      <c r="AD22" s="2280">
        <f>(AD20+AD21)*-1</f>
        <v>0</v>
      </c>
      <c r="AE22" s="2281"/>
      <c r="AF22" s="2281"/>
      <c r="AG22" s="2281"/>
      <c r="AH22" s="2281"/>
      <c r="AI22" s="2280">
        <f>(AI20+AI21)*-1</f>
        <v>0</v>
      </c>
      <c r="AJ22" s="2281"/>
      <c r="AK22" s="2281"/>
      <c r="AL22" s="2281"/>
      <c r="AM22" s="2281"/>
    </row>
    <row r="23" spans="1:39" ht="12.75">
      <c r="A23" s="2"/>
      <c r="B23" s="2299" t="s">
        <v>837</v>
      </c>
      <c r="C23" s="2300"/>
      <c r="D23" s="2300"/>
      <c r="E23" s="2300"/>
      <c r="F23" s="2300"/>
      <c r="G23" s="2300"/>
      <c r="H23" s="2300"/>
      <c r="I23" s="2300"/>
      <c r="J23" s="2300"/>
      <c r="K23" s="2300"/>
      <c r="L23" s="2300"/>
      <c r="M23" s="2300"/>
      <c r="N23" s="2300"/>
      <c r="O23" s="2300"/>
      <c r="P23" s="2300"/>
      <c r="Q23" s="2300"/>
      <c r="R23" s="2300"/>
      <c r="S23" s="2301"/>
      <c r="T23" s="2234">
        <f>T11+T22</f>
        <v>21367521.06984631</v>
      </c>
      <c r="U23" s="2235"/>
      <c r="V23" s="2235"/>
      <c r="W23" s="2235"/>
      <c r="X23" s="2235"/>
      <c r="Y23" s="2234">
        <f>Y11+Y22</f>
        <v>0</v>
      </c>
      <c r="Z23" s="2235"/>
      <c r="AA23" s="2235"/>
      <c r="AB23" s="2235"/>
      <c r="AC23" s="2235"/>
      <c r="AD23" s="2234">
        <f>AD11+AD22</f>
        <v>0</v>
      </c>
      <c r="AE23" s="2235"/>
      <c r="AF23" s="2235"/>
      <c r="AG23" s="2235"/>
      <c r="AH23" s="2235"/>
      <c r="AI23" s="2234">
        <f>AI11+AI22</f>
        <v>0</v>
      </c>
      <c r="AJ23" s="2235"/>
      <c r="AK23" s="2235"/>
      <c r="AL23" s="2235"/>
      <c r="AM23" s="2235"/>
    </row>
    <row r="24" spans="1:39" ht="12.75">
      <c r="B24" s="2239" t="s">
        <v>1317</v>
      </c>
      <c r="C24" s="2240"/>
      <c r="D24" s="2240"/>
      <c r="E24" s="2240"/>
      <c r="F24" s="2240"/>
      <c r="G24" s="2240"/>
      <c r="H24" s="2240"/>
      <c r="I24" s="2240"/>
      <c r="J24" s="2240"/>
      <c r="K24" s="2240"/>
      <c r="L24" s="2240"/>
      <c r="M24" s="2240"/>
      <c r="N24" s="2240"/>
      <c r="O24" s="2240"/>
      <c r="P24" s="2240"/>
      <c r="Q24" s="2240"/>
      <c r="R24" s="2240"/>
      <c r="S24" s="2241"/>
      <c r="T24" s="2302">
        <f>Application!AD993</f>
        <v>0</v>
      </c>
      <c r="U24" s="2303"/>
      <c r="V24" s="2303"/>
      <c r="W24" s="2303"/>
      <c r="X24" s="2303"/>
      <c r="Y24" s="2303"/>
      <c r="Z24" s="2303"/>
      <c r="AA24" s="2303"/>
      <c r="AB24" s="2303"/>
      <c r="AC24" s="2303"/>
      <c r="AD24" s="2303"/>
      <c r="AE24" s="2303"/>
      <c r="AF24" s="2303"/>
      <c r="AG24" s="2303"/>
      <c r="AH24" s="2303"/>
      <c r="AI24" s="2303"/>
      <c r="AJ24" s="2303"/>
      <c r="AK24" s="2303"/>
      <c r="AL24" s="2303"/>
      <c r="AM24" s="2234"/>
    </row>
    <row r="25" spans="1:39" ht="12.75">
      <c r="B25" s="2293" t="s">
        <v>1912</v>
      </c>
      <c r="C25" s="2294"/>
      <c r="D25" s="2294"/>
      <c r="E25" s="2294"/>
      <c r="F25" s="2294"/>
      <c r="G25" s="2294"/>
      <c r="H25" s="2294"/>
      <c r="I25" s="2294"/>
      <c r="J25" s="2294"/>
      <c r="K25" s="2294"/>
      <c r="L25" s="2294"/>
      <c r="M25" s="2294"/>
      <c r="N25" s="2294"/>
      <c r="O25" s="2294"/>
      <c r="P25" s="2294"/>
      <c r="Q25" s="2294"/>
      <c r="R25" s="2294"/>
      <c r="S25" s="2295"/>
      <c r="T25" s="2286">
        <v>1</v>
      </c>
      <c r="U25" s="2287"/>
      <c r="V25" s="2287"/>
      <c r="W25" s="2287"/>
      <c r="X25" s="2287"/>
      <c r="Y25" s="2286">
        <v>1</v>
      </c>
      <c r="Z25" s="2287"/>
      <c r="AA25" s="2287"/>
      <c r="AB25" s="2287"/>
      <c r="AC25" s="2288"/>
      <c r="AD25" s="2286">
        <v>1</v>
      </c>
      <c r="AE25" s="2287"/>
      <c r="AF25" s="2287"/>
      <c r="AG25" s="2287"/>
      <c r="AH25" s="2288"/>
      <c r="AI25" s="2286">
        <v>1</v>
      </c>
      <c r="AJ25" s="2287"/>
      <c r="AK25" s="2287"/>
      <c r="AL25" s="2287"/>
      <c r="AM25" s="2288"/>
    </row>
    <row r="26" spans="1:39" ht="12.75">
      <c r="B26" s="2239" t="s">
        <v>838</v>
      </c>
      <c r="C26" s="2240"/>
      <c r="D26" s="2240"/>
      <c r="E26" s="2240"/>
      <c r="F26" s="2240"/>
      <c r="G26" s="2240"/>
      <c r="H26" s="2240"/>
      <c r="I26" s="2240"/>
      <c r="J26" s="2240"/>
      <c r="K26" s="2240"/>
      <c r="L26" s="2240"/>
      <c r="M26" s="2240"/>
      <c r="N26" s="2240"/>
      <c r="O26" s="2240"/>
      <c r="P26" s="2240"/>
      <c r="Q26" s="2240"/>
      <c r="R26" s="2240"/>
      <c r="S26" s="2241"/>
      <c r="T26" s="2289">
        <f>T23*T25</f>
        <v>21367521.06984631</v>
      </c>
      <c r="U26" s="2290"/>
      <c r="V26" s="2290"/>
      <c r="W26" s="2290"/>
      <c r="X26" s="2290"/>
      <c r="Y26" s="2289">
        <f>Y23*Y25</f>
        <v>0</v>
      </c>
      <c r="Z26" s="2290"/>
      <c r="AA26" s="2290"/>
      <c r="AB26" s="2290"/>
      <c r="AC26" s="2290"/>
      <c r="AD26" s="2289">
        <f>AD23*AD25</f>
        <v>0</v>
      </c>
      <c r="AE26" s="2290"/>
      <c r="AF26" s="2290"/>
      <c r="AG26" s="2290"/>
      <c r="AH26" s="2290"/>
      <c r="AI26" s="2289">
        <f>AI23*AI25</f>
        <v>0</v>
      </c>
      <c r="AJ26" s="2290"/>
      <c r="AK26" s="2290"/>
      <c r="AL26" s="2290"/>
      <c r="AM26" s="2290"/>
    </row>
    <row r="27" spans="1:39" ht="12.75">
      <c r="A27" s="7"/>
      <c r="B27" s="2296" t="s">
        <v>956</v>
      </c>
      <c r="C27" s="2297"/>
      <c r="D27" s="2297"/>
      <c r="E27" s="2297"/>
      <c r="F27" s="2297"/>
      <c r="G27" s="2297"/>
      <c r="H27" s="2297"/>
      <c r="I27" s="2297"/>
      <c r="J27" s="2297"/>
      <c r="K27" s="2297"/>
      <c r="L27" s="2297"/>
      <c r="M27" s="2297"/>
      <c r="N27" s="2297"/>
      <c r="O27" s="2297"/>
      <c r="P27" s="2297"/>
      <c r="Q27" s="2297"/>
      <c r="R27" s="2297"/>
      <c r="S27" s="2298"/>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916</v>
      </c>
      <c r="C28" s="2240"/>
      <c r="D28" s="2240"/>
      <c r="E28" s="2240"/>
      <c r="F28" s="2240"/>
      <c r="G28" s="2240"/>
      <c r="H28" s="2240"/>
      <c r="I28" s="2240"/>
      <c r="J28" s="2240"/>
      <c r="K28" s="2240"/>
      <c r="L28" s="2240"/>
      <c r="M28" s="2240"/>
      <c r="N28" s="2240"/>
      <c r="O28" s="2240"/>
      <c r="P28" s="2240"/>
      <c r="Q28" s="2240"/>
      <c r="R28" s="2240"/>
      <c r="S28" s="2241"/>
      <c r="T28" s="1794">
        <f>IF(ISERROR((T26*T27)),0,(T26*T27))</f>
        <v>21367521.06984631</v>
      </c>
      <c r="U28" s="2256"/>
      <c r="V28" s="2256"/>
      <c r="W28" s="2256"/>
      <c r="X28" s="2256"/>
      <c r="Y28" s="1794">
        <f>IF(ISERROR((Y26*Y27)),0,(Y26*Y27))</f>
        <v>0</v>
      </c>
      <c r="Z28" s="2256"/>
      <c r="AA28" s="2256"/>
      <c r="AB28" s="2256"/>
      <c r="AC28" s="2256"/>
      <c r="AD28" s="1794">
        <f>IF(ISERROR((AD26*AD27)),0,(AD26*AD27))</f>
        <v>0</v>
      </c>
      <c r="AE28" s="2256"/>
      <c r="AF28" s="2256"/>
      <c r="AG28" s="2256"/>
      <c r="AH28" s="2256"/>
      <c r="AI28" s="1794">
        <f>IF(ISERROR((AI26*AI27)),0,(AI26*AI27))</f>
        <v>0</v>
      </c>
      <c r="AJ28" s="2256"/>
      <c r="AK28" s="2256"/>
      <c r="AL28" s="2256"/>
      <c r="AM28" s="2256"/>
    </row>
    <row r="29" spans="1:39" ht="12.75">
      <c r="B29" s="2239" t="s">
        <v>684</v>
      </c>
      <c r="C29" s="2240"/>
      <c r="D29" s="2240"/>
      <c r="E29" s="2240"/>
      <c r="F29" s="2240"/>
      <c r="G29" s="2240"/>
      <c r="H29" s="2240"/>
      <c r="I29" s="2240"/>
      <c r="J29" s="2240"/>
      <c r="K29" s="2240"/>
      <c r="L29" s="2240"/>
      <c r="M29" s="2240"/>
      <c r="N29" s="2240"/>
      <c r="O29" s="2240"/>
      <c r="P29" s="2240"/>
      <c r="Q29" s="2240"/>
      <c r="R29" s="2240"/>
      <c r="S29" s="2241"/>
      <c r="T29" s="2302">
        <f>T28+Y28+AD28+AI28</f>
        <v>21367521.06984631</v>
      </c>
      <c r="U29" s="2303"/>
      <c r="V29" s="2303"/>
      <c r="W29" s="2303"/>
      <c r="X29" s="2303"/>
      <c r="Y29" s="2303"/>
      <c r="Z29" s="2303"/>
      <c r="AA29" s="2303"/>
      <c r="AB29" s="2303"/>
      <c r="AC29" s="2303"/>
      <c r="AD29" s="2303"/>
      <c r="AE29" s="2303"/>
      <c r="AF29" s="2303"/>
      <c r="AG29" s="2303"/>
      <c r="AH29" s="2303"/>
      <c r="AI29" s="2303"/>
      <c r="AJ29" s="2303"/>
      <c r="AK29" s="2303"/>
      <c r="AL29" s="2303"/>
      <c r="AM29" s="2234"/>
    </row>
    <row r="30" spans="1:39" ht="12.75" customHeight="1">
      <c r="B30" s="2671"/>
      <c r="C30" s="2671"/>
      <c r="D30" s="2671"/>
      <c r="E30" s="2671"/>
      <c r="F30" s="2671"/>
      <c r="G30" s="2671"/>
      <c r="H30" s="2671"/>
      <c r="I30" s="2671"/>
      <c r="J30" s="2671"/>
      <c r="K30" s="2671"/>
      <c r="L30" s="2671"/>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916</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2.75">
      <c r="B39" s="2239" t="s">
        <v>828</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672">
        <v>0.09</v>
      </c>
      <c r="Z39" s="2672"/>
      <c r="AA39" s="2672"/>
      <c r="AB39" s="2672"/>
      <c r="AC39" s="2672"/>
      <c r="AD39" s="2672">
        <f>'Basis &amp; Credits'!AD39:AH39</f>
        <v>0.04</v>
      </c>
      <c r="AE39" s="2672"/>
      <c r="AF39" s="2672"/>
      <c r="AG39" s="2672"/>
      <c r="AH39" s="2672"/>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2.75">
      <c r="B41" s="2239" t="s">
        <v>678</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1256</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30">
        <f>'Sources and Uses Budget'!B104-'Sources and Uses Budget'!$B$15</f>
        <v>49021183.979608379</v>
      </c>
      <c r="AC46" s="2231"/>
      <c r="AD46" s="2231"/>
      <c r="AE46" s="2231"/>
      <c r="AF46" s="2232"/>
    </row>
    <row r="47" spans="1:40" ht="12.75" customHeight="1">
      <c r="D47" s="6" t="s">
        <v>910</v>
      </c>
      <c r="AB47" s="2230">
        <f>Application!AG644-MIN('Sources and Uses Budget'!B15,Application!AG385)</f>
        <v>0</v>
      </c>
      <c r="AC47" s="2231"/>
      <c r="AD47" s="2231"/>
      <c r="AE47" s="2231"/>
      <c r="AF47" s="2232"/>
    </row>
    <row r="48" spans="1:40" ht="12.75">
      <c r="D48" s="6" t="s">
        <v>418</v>
      </c>
      <c r="AB48" s="2230">
        <f>AB46-AB47</f>
        <v>49021183.979608379</v>
      </c>
      <c r="AC48" s="2231"/>
      <c r="AD48" s="2231"/>
      <c r="AE48" s="2231"/>
      <c r="AF48" s="2232"/>
    </row>
    <row r="49" spans="1:40" ht="12.75">
      <c r="D49" s="6" t="s">
        <v>949</v>
      </c>
      <c r="X49" s="2"/>
      <c r="Y49" s="2"/>
      <c r="Z49" s="2"/>
      <c r="AA49" s="409"/>
      <c r="AB49" s="2249"/>
      <c r="AC49" s="2250"/>
      <c r="AD49" s="2250"/>
      <c r="AE49" s="2250"/>
      <c r="AF49" s="2251"/>
    </row>
    <row r="50" spans="1:40" s="497" customFormat="1" ht="15" customHeight="1">
      <c r="A50" s="2"/>
      <c r="B50" s="2"/>
      <c r="C50" s="2"/>
      <c r="D50" s="272"/>
      <c r="E50" s="2260" t="s">
        <v>1473</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55"/>
      <c r="AB50" s="755"/>
      <c r="AC50" s="755"/>
      <c r="AD50" s="755"/>
      <c r="AE50" s="755"/>
      <c r="AF50" s="755"/>
      <c r="AG50" s="2"/>
      <c r="AH50" s="2"/>
      <c r="AI50" s="2"/>
      <c r="AJ50" s="2"/>
      <c r="AK50" s="2"/>
      <c r="AL50" s="2"/>
      <c r="AM50" s="2"/>
      <c r="AN50" s="2"/>
    </row>
    <row r="51" spans="1:40" s="497"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617</v>
      </c>
      <c r="AB54" s="2230">
        <f>(AB53/10)</f>
        <v>0</v>
      </c>
      <c r="AC54" s="2231"/>
      <c r="AD54" s="2231"/>
      <c r="AE54" s="2231"/>
      <c r="AF54" s="2232"/>
    </row>
    <row r="55" spans="1:40" ht="12.75">
      <c r="D55" s="6" t="s">
        <v>377</v>
      </c>
      <c r="AB55" s="2257">
        <f>(IF((Y41&lt;AB54),Y41,AB54))</f>
        <v>0</v>
      </c>
      <c r="AC55" s="2258"/>
      <c r="AD55" s="2258"/>
      <c r="AE55" s="2258"/>
      <c r="AF55" s="2259"/>
    </row>
    <row r="56" spans="1:40" ht="12.75">
      <c r="D56" s="6" t="s">
        <v>117</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8">
        <f>AB48-AB56</f>
        <v>49021183.979608379</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1915</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29" t="s">
        <v>329</v>
      </c>
      <c r="Z62" s="2229"/>
      <c r="AA62" s="2229"/>
      <c r="AB62" s="2229"/>
      <c r="AC62" s="2229"/>
      <c r="AD62" s="2229" t="s">
        <v>46</v>
      </c>
      <c r="AE62" s="2229"/>
      <c r="AF62" s="2229"/>
      <c r="AG62" s="2229"/>
      <c r="AH62" s="2229"/>
      <c r="AI62" s="1"/>
      <c r="AJ62" s="1"/>
      <c r="AK62" s="1"/>
      <c r="AL62" s="1"/>
      <c r="AM62" s="1"/>
      <c r="AN62" s="1"/>
    </row>
    <row r="63" spans="1:40" ht="12.75">
      <c r="C63" s="330"/>
      <c r="D63" s="1213" t="s">
        <v>1342</v>
      </c>
      <c r="E63" s="776"/>
      <c r="F63" s="776"/>
      <c r="G63" s="776"/>
      <c r="H63" s="776"/>
      <c r="I63" s="776"/>
      <c r="J63" s="776"/>
      <c r="K63" s="776"/>
      <c r="L63" s="22"/>
      <c r="M63" s="22"/>
      <c r="N63" s="22"/>
      <c r="O63" s="22"/>
      <c r="P63" s="22"/>
      <c r="Q63" s="22"/>
      <c r="R63" s="22"/>
      <c r="S63" s="22"/>
      <c r="T63" s="22"/>
      <c r="U63" s="22"/>
      <c r="V63" s="22"/>
      <c r="W63" s="22"/>
      <c r="X63" s="22"/>
      <c r="Y63" s="2157">
        <f>Y28</f>
        <v>0</v>
      </c>
      <c r="Z63" s="2252"/>
      <c r="AA63" s="2252"/>
      <c r="AB63" s="2252"/>
      <c r="AC63" s="2252"/>
      <c r="AD63" s="2157">
        <f>AI28</f>
        <v>0</v>
      </c>
      <c r="AE63" s="2252"/>
      <c r="AF63" s="2252"/>
      <c r="AG63" s="2252"/>
      <c r="AH63" s="2252"/>
    </row>
    <row r="64" spans="1:40" ht="15" customHeight="1">
      <c r="C64" s="6"/>
      <c r="E64" s="2226" t="s">
        <v>1393</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217</v>
      </c>
      <c r="E66" s="1216"/>
      <c r="F66" s="1216"/>
      <c r="G66" s="1216"/>
      <c r="H66" s="1216"/>
      <c r="I66" s="1216"/>
      <c r="J66" s="1216"/>
      <c r="K66" s="1216"/>
      <c r="L66" s="1216"/>
      <c r="M66" s="1216"/>
      <c r="N66" s="1216"/>
      <c r="O66" s="1216"/>
      <c r="P66" s="1216"/>
      <c r="Q66" s="1216"/>
      <c r="R66" s="1216"/>
      <c r="S66" s="1216"/>
      <c r="T66" s="1216"/>
      <c r="U66" s="1216"/>
      <c r="V66" s="1216"/>
      <c r="W66" s="1216"/>
      <c r="X66" s="1216"/>
      <c r="Y66" s="2248">
        <v>0.3</v>
      </c>
      <c r="Z66" s="2248"/>
      <c r="AA66" s="2248"/>
      <c r="AB66" s="2248"/>
      <c r="AC66" s="2248"/>
      <c r="AD66" s="2248">
        <v>0.13</v>
      </c>
      <c r="AE66" s="2248"/>
      <c r="AF66" s="2248"/>
      <c r="AG66" s="2248"/>
      <c r="AH66" s="2248"/>
    </row>
    <row r="67" spans="1:40" ht="12.75">
      <c r="C67" s="6"/>
      <c r="D67" s="6" t="s">
        <v>1023</v>
      </c>
      <c r="Y67" s="2157">
        <f>ROUND(Y63*Y66,0)</f>
        <v>0</v>
      </c>
      <c r="Z67" s="2252"/>
      <c r="AA67" s="2252"/>
      <c r="AB67" s="2252"/>
      <c r="AC67" s="2252"/>
      <c r="AD67" s="2157" t="str">
        <f>IF(OR(Application!D211="At-Risk",Application!D211="At-Risk/Located in Rural Census Tract",Application!D214="At-Risk"),ROUND(AD63*AD66,0),"$0")</f>
        <v>$0</v>
      </c>
      <c r="AE67" s="2253"/>
      <c r="AF67" s="2253"/>
      <c r="AG67" s="2253"/>
      <c r="AH67" s="2253"/>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1910</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4"/>
      <c r="AG74" s="2"/>
      <c r="AH74" s="2"/>
      <c r="AI74" s="2"/>
      <c r="AJ74" s="2"/>
      <c r="AK74" s="2"/>
      <c r="AL74" s="2"/>
      <c r="AM74" s="2"/>
      <c r="AN74" s="2"/>
    </row>
    <row r="75" spans="1:40" ht="12" customHeight="1">
      <c r="C75" s="6"/>
      <c r="D75" s="6" t="s">
        <v>114</v>
      </c>
      <c r="AB75" s="2247">
        <f>ROUND(IF(ISERROR((AB58/AB70)),0,(AB58/AB70)),0)</f>
        <v>0</v>
      </c>
      <c r="AC75" s="2247"/>
      <c r="AD75" s="2247"/>
      <c r="AE75" s="2247"/>
      <c r="AF75" s="2247"/>
    </row>
    <row r="76" spans="1:40" ht="12.75" customHeight="1">
      <c r="C76" s="6"/>
      <c r="D76" s="6" t="s">
        <v>115</v>
      </c>
      <c r="AB76" s="2244">
        <f>IF((Y67+AD67&lt;AB75),Y67+AD67,AB75)</f>
        <v>0</v>
      </c>
      <c r="AC76" s="2245"/>
      <c r="AD76" s="2245"/>
      <c r="AE76" s="2245"/>
      <c r="AF76" s="2246"/>
    </row>
    <row r="77" spans="1:40" ht="12.75" customHeight="1">
      <c r="C77" s="6"/>
      <c r="D77" s="6" t="s">
        <v>1024</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116</v>
      </c>
      <c r="AB79" s="2228">
        <f>AB48-(AB56+AB77)</f>
        <v>49021183.979608379</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2" t="s">
        <v>1329</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40" t="s">
        <v>379</v>
      </c>
      <c r="B4" s="503"/>
      <c r="C4" s="503"/>
      <c r="D4" s="503"/>
      <c r="E4" s="503"/>
      <c r="F4" s="503"/>
      <c r="G4" s="503"/>
    </row>
    <row r="5" spans="1:7" s="876" customFormat="1" ht="12.75">
      <c r="A5" s="1441" t="s">
        <v>1038</v>
      </c>
      <c r="B5" s="505">
        <f>'Sources and Uses Budget'!C4</f>
        <v>5700000</v>
      </c>
      <c r="C5" s="505">
        <f>'Sources and Uses Budget'!C4</f>
        <v>5700000</v>
      </c>
      <c r="D5" s="505">
        <f>'Sources and Uses Budget'!C4</f>
        <v>5700000</v>
      </c>
      <c r="E5" s="507">
        <f>C5-B5</f>
        <v>0</v>
      </c>
      <c r="F5" s="506"/>
      <c r="G5" s="506"/>
    </row>
    <row r="6" spans="1:7" s="876" customFormat="1" ht="12.75">
      <c r="A6" s="1441" t="s">
        <v>1039</v>
      </c>
      <c r="B6" s="505">
        <f>'Sources and Uses Budget'!C5</f>
        <v>0</v>
      </c>
      <c r="C6" s="505">
        <f>'Sources and Uses Budget'!C5</f>
        <v>0</v>
      </c>
      <c r="D6" s="505">
        <f>'Sources and Uses Budget'!C5</f>
        <v>0</v>
      </c>
      <c r="E6" s="507">
        <f t="shared" ref="E6:E73" si="0">C6-B6</f>
        <v>0</v>
      </c>
      <c r="F6" s="506"/>
      <c r="G6" s="506"/>
    </row>
    <row r="7" spans="1:7" s="876" customFormat="1" ht="12.75">
      <c r="A7" s="1441" t="s">
        <v>380</v>
      </c>
      <c r="B7" s="505">
        <f>'Sources and Uses Budget'!C6</f>
        <v>95000</v>
      </c>
      <c r="C7" s="505">
        <f>'Sources and Uses Budget'!C6</f>
        <v>95000</v>
      </c>
      <c r="D7" s="505">
        <f>'Sources and Uses Budget'!C6</f>
        <v>95000</v>
      </c>
      <c r="E7" s="507">
        <f t="shared" si="0"/>
        <v>0</v>
      </c>
      <c r="F7" s="506"/>
      <c r="G7" s="506"/>
    </row>
    <row r="8" spans="1:7" s="876" customFormat="1" ht="12.75">
      <c r="A8" s="1441" t="s">
        <v>308</v>
      </c>
      <c r="B8" s="505">
        <f>'Sources and Uses Budget'!C7</f>
        <v>0</v>
      </c>
      <c r="C8" s="505">
        <f>'Sources and Uses Budget'!C7</f>
        <v>0</v>
      </c>
      <c r="D8" s="505">
        <f>'Sources and Uses Budget'!C7</f>
        <v>0</v>
      </c>
      <c r="E8" s="507">
        <f t="shared" si="0"/>
        <v>0</v>
      </c>
      <c r="F8" s="506"/>
      <c r="G8" s="506"/>
    </row>
    <row r="9" spans="1:7" s="876" customFormat="1" ht="12.75">
      <c r="A9" s="1442" t="s">
        <v>1040</v>
      </c>
      <c r="B9" s="507">
        <f>SUM(B5:B8)</f>
        <v>5795000</v>
      </c>
      <c r="C9" s="507">
        <f>SUM(C5:C8)</f>
        <v>5795000</v>
      </c>
      <c r="D9" s="507">
        <f>SUM(D5:D8)</f>
        <v>5795000</v>
      </c>
      <c r="E9" s="507">
        <f t="shared" si="0"/>
        <v>0</v>
      </c>
      <c r="F9" s="506"/>
      <c r="G9" s="506"/>
    </row>
    <row r="10" spans="1:7" s="876" customFormat="1" ht="12.75">
      <c r="A10" s="1441" t="s">
        <v>641</v>
      </c>
      <c r="B10" s="505">
        <f>'Sources and Uses Budget'!C9</f>
        <v>0</v>
      </c>
      <c r="C10" s="505">
        <f>'Sources and Uses Budget'!C9</f>
        <v>0</v>
      </c>
      <c r="D10" s="505">
        <f>'Sources and Uses Budget'!C9</f>
        <v>0</v>
      </c>
      <c r="E10" s="507">
        <f t="shared" si="0"/>
        <v>0</v>
      </c>
      <c r="F10" s="506"/>
      <c r="G10" s="506"/>
    </row>
    <row r="11" spans="1:7" s="876" customFormat="1" ht="12.75">
      <c r="A11" s="1441" t="s">
        <v>1041</v>
      </c>
      <c r="B11" s="505">
        <f>'Sources and Uses Budget'!C10</f>
        <v>476691</v>
      </c>
      <c r="C11" s="505">
        <f>'Sources and Uses Budget'!C10</f>
        <v>476691</v>
      </c>
      <c r="D11" s="505">
        <f>'Sources and Uses Budget'!C10</f>
        <v>476691</v>
      </c>
      <c r="E11" s="507">
        <f t="shared" si="0"/>
        <v>0</v>
      </c>
      <c r="F11" s="506"/>
      <c r="G11" s="506"/>
    </row>
    <row r="12" spans="1:7" s="876" customFormat="1" ht="12.75">
      <c r="A12" s="1442" t="s">
        <v>642</v>
      </c>
      <c r="B12" s="507">
        <f>SUM(B10:B11)</f>
        <v>476691</v>
      </c>
      <c r="C12" s="507">
        <f>SUM(C10:C11)</f>
        <v>476691</v>
      </c>
      <c r="D12" s="507">
        <f>SUM(D10:D11)</f>
        <v>476691</v>
      </c>
      <c r="E12" s="507">
        <f t="shared" si="0"/>
        <v>0</v>
      </c>
      <c r="F12" s="506"/>
      <c r="G12" s="506"/>
    </row>
    <row r="13" spans="1:7" s="876" customFormat="1" ht="12.75">
      <c r="A13" s="1442" t="s">
        <v>772</v>
      </c>
      <c r="B13" s="507">
        <f>SUM(B9+B12)</f>
        <v>6271691</v>
      </c>
      <c r="C13" s="507">
        <f>SUM(C9+C12)</f>
        <v>6271691</v>
      </c>
      <c r="D13" s="507">
        <f>SUM(D9+D12)</f>
        <v>6271691</v>
      </c>
      <c r="E13" s="507">
        <f t="shared" si="0"/>
        <v>0</v>
      </c>
      <c r="F13" s="506"/>
      <c r="G13" s="506"/>
    </row>
    <row r="14" spans="1:7" s="876" customFormat="1" ht="12.75">
      <c r="A14" s="1443" t="s">
        <v>1197</v>
      </c>
      <c r="B14" s="505">
        <f>'Sources and Uses Budget'!C13</f>
        <v>43868.15</v>
      </c>
      <c r="C14" s="505">
        <f>'Sources and Uses Budget'!C13</f>
        <v>43868.15</v>
      </c>
      <c r="D14" s="505">
        <f>'Sources and Uses Budget'!C13</f>
        <v>43868.15</v>
      </c>
      <c r="E14" s="507">
        <f t="shared" si="0"/>
        <v>0</v>
      </c>
      <c r="F14" s="506"/>
      <c r="G14" s="506"/>
    </row>
    <row r="15" spans="1:7" s="876" customFormat="1" ht="24">
      <c r="A15" s="1444" t="s">
        <v>1232</v>
      </c>
      <c r="B15" s="505">
        <f>'Sources and Uses Budget'!C14</f>
        <v>0</v>
      </c>
      <c r="C15" s="505">
        <f>'Sources and Uses Budget'!C14</f>
        <v>0</v>
      </c>
      <c r="D15" s="505">
        <f>'Sources and Uses Budget'!C14</f>
        <v>0</v>
      </c>
      <c r="E15" s="507">
        <f t="shared" si="0"/>
        <v>0</v>
      </c>
      <c r="F15" s="506"/>
      <c r="G15" s="506"/>
    </row>
    <row r="16" spans="1:7" s="876" customFormat="1" ht="12.75">
      <c r="A16" s="1444" t="s">
        <v>1840</v>
      </c>
      <c r="B16" s="505">
        <f>'Sources and Uses Budget'!C15</f>
        <v>0</v>
      </c>
      <c r="C16" s="505">
        <f>'Sources and Uses Budget'!C15</f>
        <v>0</v>
      </c>
      <c r="D16" s="505">
        <f>'Sources and Uses Budget'!C15</f>
        <v>0</v>
      </c>
      <c r="E16" s="507">
        <f t="shared" si="0"/>
        <v>0</v>
      </c>
      <c r="F16" s="506"/>
      <c r="G16" s="506"/>
    </row>
    <row r="17" spans="1:7" s="876" customFormat="1" ht="12.75">
      <c r="A17" s="1440"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2163</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2">
        <f>'Sources and Uses Budget'!C26</f>
        <v>0</v>
      </c>
      <c r="C27" s="1452">
        <f>'Sources and Uses Budget'!C26</f>
        <v>0</v>
      </c>
      <c r="D27" s="1452">
        <f>'Sources and Uses Budget'!C26</f>
        <v>0</v>
      </c>
      <c r="E27" s="507">
        <f>C27-B27</f>
        <v>0</v>
      </c>
      <c r="F27" s="506"/>
      <c r="G27" s="506"/>
    </row>
    <row r="28" spans="1:7" s="876" customFormat="1" ht="12.75">
      <c r="A28" s="1445" t="s">
        <v>999</v>
      </c>
      <c r="B28" s="505">
        <f>'Sources and Uses Budget'!C27</f>
        <v>0</v>
      </c>
      <c r="C28" s="505">
        <f>'Sources and Uses Budget'!C27</f>
        <v>0</v>
      </c>
      <c r="D28" s="505">
        <f>'Sources and Uses Budget'!C27</f>
        <v>0</v>
      </c>
      <c r="E28" s="507">
        <f>C28-B28</f>
        <v>0</v>
      </c>
      <c r="F28" s="506"/>
      <c r="G28" s="506"/>
    </row>
    <row r="29" spans="1:7" s="876" customFormat="1" ht="12.75">
      <c r="A29" s="1440" t="s">
        <v>1000</v>
      </c>
      <c r="B29" s="503"/>
      <c r="C29" s="503"/>
      <c r="D29" s="503"/>
      <c r="E29" s="503"/>
      <c r="F29" s="503"/>
      <c r="G29" s="503"/>
    </row>
    <row r="30" spans="1:7" s="876" customFormat="1" ht="12.75">
      <c r="A30" s="369" t="s">
        <v>992</v>
      </c>
      <c r="B30" s="505">
        <f>'Sources and Uses Budget'!C29</f>
        <v>1527058.5</v>
      </c>
      <c r="C30" s="505">
        <f>'Sources and Uses Budget'!C29</f>
        <v>1527058.5</v>
      </c>
      <c r="D30" s="505">
        <f>'Sources and Uses Budget'!C29</f>
        <v>1527058.5</v>
      </c>
      <c r="E30" s="507">
        <f t="shared" si="0"/>
        <v>0</v>
      </c>
      <c r="F30" s="506"/>
      <c r="G30" s="506"/>
    </row>
    <row r="31" spans="1:7" s="876" customFormat="1" ht="12.75">
      <c r="A31" s="369" t="s">
        <v>993</v>
      </c>
      <c r="B31" s="505">
        <f>'Sources and Uses Budget'!C30</f>
        <v>23521946.287</v>
      </c>
      <c r="C31" s="505">
        <f>'Sources and Uses Budget'!C30</f>
        <v>23521946.287</v>
      </c>
      <c r="D31" s="505">
        <f>'Sources and Uses Budget'!C30</f>
        <v>23521946.287</v>
      </c>
      <c r="E31" s="507">
        <f t="shared" si="0"/>
        <v>0</v>
      </c>
      <c r="F31" s="506"/>
      <c r="G31" s="506"/>
    </row>
    <row r="32" spans="1:7" s="876" customFormat="1" ht="12.75">
      <c r="A32" s="369" t="s">
        <v>994</v>
      </c>
      <c r="B32" s="505">
        <f>'Sources and Uses Budget'!C31</f>
        <v>1988682.5</v>
      </c>
      <c r="C32" s="505">
        <f>'Sources and Uses Budget'!C31</f>
        <v>1988682.5</v>
      </c>
      <c r="D32" s="505">
        <f>'Sources and Uses Budget'!C31</f>
        <v>1988682.5</v>
      </c>
      <c r="E32" s="507">
        <f t="shared" si="0"/>
        <v>0</v>
      </c>
      <c r="F32" s="506"/>
      <c r="G32" s="506"/>
    </row>
    <row r="33" spans="1:7" s="876" customFormat="1" ht="12.75">
      <c r="A33" s="369" t="s">
        <v>995</v>
      </c>
      <c r="B33" s="505">
        <f>'Sources and Uses Budget'!C32</f>
        <v>349044.06</v>
      </c>
      <c r="C33" s="505">
        <f>'Sources and Uses Budget'!C32</f>
        <v>349044.06</v>
      </c>
      <c r="D33" s="505">
        <f>'Sources and Uses Budget'!C32</f>
        <v>349044.06</v>
      </c>
      <c r="E33" s="507">
        <f t="shared" si="0"/>
        <v>0</v>
      </c>
      <c r="F33" s="506"/>
      <c r="G33" s="506"/>
    </row>
    <row r="34" spans="1:7" s="876" customFormat="1" ht="12.75">
      <c r="A34" s="369" t="s">
        <v>996</v>
      </c>
      <c r="B34" s="505">
        <f>'Sources and Uses Budget'!C33</f>
        <v>814436.1399999999</v>
      </c>
      <c r="C34" s="505">
        <f>'Sources and Uses Budget'!C33</f>
        <v>814436.1399999999</v>
      </c>
      <c r="D34" s="505">
        <f>'Sources and Uses Budget'!C33</f>
        <v>814436.1399999999</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206395.09999999998</v>
      </c>
      <c r="C36" s="505">
        <f>'Sources and Uses Budget'!C35</f>
        <v>206395.09999999998</v>
      </c>
      <c r="D36" s="505">
        <f>'Sources and Uses Budget'!C35</f>
        <v>206395.09999999998</v>
      </c>
      <c r="E36" s="507">
        <f t="shared" si="0"/>
        <v>0</v>
      </c>
      <c r="F36" s="506"/>
      <c r="G36" s="506"/>
    </row>
    <row r="37" spans="1:7" s="876" customFormat="1" ht="12.75">
      <c r="A37" s="700" t="s">
        <v>2163</v>
      </c>
      <c r="B37" s="505">
        <f>'Sources and Uses Budget'!C36</f>
        <v>0</v>
      </c>
      <c r="C37" s="505">
        <f>'Sources and Uses Budget'!C36</f>
        <v>0</v>
      </c>
      <c r="D37" s="505">
        <f>'Sources and Uses Budget'!C36</f>
        <v>0</v>
      </c>
      <c r="E37" s="507">
        <f t="shared" si="0"/>
        <v>0</v>
      </c>
      <c r="F37" s="506"/>
      <c r="G37" s="506"/>
    </row>
    <row r="38" spans="1:7" s="876" customFormat="1" ht="12.75">
      <c r="A38" s="380" t="s">
        <v>588</v>
      </c>
      <c r="B38" s="505">
        <f>'Sources and Uses Budget'!C37</f>
        <v>259452</v>
      </c>
      <c r="C38" s="505">
        <f>'Sources and Uses Budget'!C37</f>
        <v>259452</v>
      </c>
      <c r="D38" s="505">
        <f>'Sources and Uses Budget'!C37</f>
        <v>259452</v>
      </c>
      <c r="E38" s="507">
        <f>C38-B38</f>
        <v>0</v>
      </c>
      <c r="F38" s="506"/>
      <c r="G38" s="506"/>
    </row>
    <row r="39" spans="1:7" s="876" customFormat="1" ht="12.75">
      <c r="A39" s="1445" t="s">
        <v>1001</v>
      </c>
      <c r="B39" s="1452">
        <f>'Sources and Uses Budget'!C38</f>
        <v>28667014.587000001</v>
      </c>
      <c r="C39" s="1452">
        <f>'Sources and Uses Budget'!C38</f>
        <v>28667014.587000001</v>
      </c>
      <c r="D39" s="1452">
        <f>'Sources and Uses Budget'!C38</f>
        <v>28667014.587000001</v>
      </c>
      <c r="E39" s="507">
        <f>C39-B39</f>
        <v>0</v>
      </c>
      <c r="F39" s="506"/>
      <c r="G39" s="506"/>
    </row>
    <row r="40" spans="1:7" s="876" customFormat="1" ht="12.75">
      <c r="A40" s="1440" t="s">
        <v>1002</v>
      </c>
      <c r="B40" s="503"/>
      <c r="C40" s="503"/>
      <c r="D40" s="503"/>
      <c r="E40" s="503"/>
      <c r="F40" s="503"/>
      <c r="G40" s="503"/>
    </row>
    <row r="41" spans="1:7" s="876" customFormat="1" ht="12.75">
      <c r="A41" s="1446" t="s">
        <v>1003</v>
      </c>
      <c r="B41" s="505">
        <f>'Sources and Uses Budget'!C40</f>
        <v>1366480</v>
      </c>
      <c r="C41" s="505">
        <f>'Sources and Uses Budget'!C40</f>
        <v>1366480</v>
      </c>
      <c r="D41" s="505">
        <f>'Sources and Uses Budget'!C40</f>
        <v>1366480</v>
      </c>
      <c r="E41" s="507">
        <f>C41-B41</f>
        <v>0</v>
      </c>
      <c r="F41" s="506"/>
      <c r="G41" s="506"/>
    </row>
    <row r="42" spans="1:7" s="876" customFormat="1" ht="12.75">
      <c r="A42" s="1446" t="s">
        <v>1004</v>
      </c>
      <c r="B42" s="505">
        <f>'Sources and Uses Budget'!C41</f>
        <v>341620</v>
      </c>
      <c r="C42" s="505">
        <f>'Sources and Uses Budget'!C41</f>
        <v>341620</v>
      </c>
      <c r="D42" s="505">
        <f>'Sources and Uses Budget'!C41</f>
        <v>341620</v>
      </c>
      <c r="E42" s="507">
        <f>C42-B42</f>
        <v>0</v>
      </c>
      <c r="F42" s="506"/>
      <c r="G42" s="506"/>
    </row>
    <row r="43" spans="1:7" s="876" customFormat="1" ht="12" customHeight="1">
      <c r="A43" s="1445" t="s">
        <v>1005</v>
      </c>
      <c r="B43" s="1452">
        <f>'Sources and Uses Budget'!C42</f>
        <v>1708100</v>
      </c>
      <c r="C43" s="1452">
        <f>'Sources and Uses Budget'!C42</f>
        <v>1708100</v>
      </c>
      <c r="D43" s="1452">
        <f>'Sources and Uses Budget'!C42</f>
        <v>1708100</v>
      </c>
      <c r="E43" s="507">
        <f>C43-B43</f>
        <v>0</v>
      </c>
      <c r="F43" s="506"/>
      <c r="G43" s="506"/>
    </row>
    <row r="44" spans="1:7" s="876" customFormat="1" ht="12.75">
      <c r="A44" s="1445" t="s">
        <v>1006</v>
      </c>
      <c r="B44" s="505">
        <f>'Sources and Uses Budget'!C43</f>
        <v>416841</v>
      </c>
      <c r="C44" s="505">
        <f>'Sources and Uses Budget'!C43</f>
        <v>416841</v>
      </c>
      <c r="D44" s="505">
        <f>'Sources and Uses Budget'!C43</f>
        <v>416841</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1875716.6420099607</v>
      </c>
      <c r="C46" s="505">
        <f>'Sources and Uses Budget'!C45</f>
        <v>1875716.6420099607</v>
      </c>
      <c r="D46" s="505">
        <f>'Sources and Uses Budget'!C45</f>
        <v>1875716.6420099607</v>
      </c>
      <c r="E46" s="507">
        <f t="shared" si="0"/>
        <v>0</v>
      </c>
      <c r="F46" s="506"/>
      <c r="G46" s="506"/>
    </row>
    <row r="47" spans="1:7" s="876" customFormat="1" ht="12.75">
      <c r="A47" s="369" t="s">
        <v>1009</v>
      </c>
      <c r="B47" s="505">
        <f>'Sources and Uses Budget'!C46</f>
        <v>302345.55226799467</v>
      </c>
      <c r="C47" s="505">
        <f>'Sources and Uses Budget'!C46</f>
        <v>302345.55226799467</v>
      </c>
      <c r="D47" s="505">
        <f>'Sources and Uses Budget'!C46</f>
        <v>302345.55226799467</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61750</v>
      </c>
      <c r="C50" s="505">
        <f>'Sources and Uses Budget'!C49</f>
        <v>61750</v>
      </c>
      <c r="D50" s="505">
        <f>'Sources and Uses Budget'!C49</f>
        <v>61750</v>
      </c>
      <c r="E50" s="507">
        <f t="shared" si="0"/>
        <v>0</v>
      </c>
      <c r="F50" s="506"/>
      <c r="G50" s="506"/>
    </row>
    <row r="51" spans="1:7" s="876" customFormat="1" ht="12.75">
      <c r="A51" s="369" t="s">
        <v>1012</v>
      </c>
      <c r="B51" s="505">
        <f>'Sources and Uses Budget'!C50</f>
        <v>7600</v>
      </c>
      <c r="C51" s="505">
        <f>'Sources and Uses Budget'!C50</f>
        <v>7600</v>
      </c>
      <c r="D51" s="505">
        <f>'Sources and Uses Budget'!C50</f>
        <v>7600</v>
      </c>
      <c r="E51" s="507">
        <f t="shared" si="0"/>
        <v>0</v>
      </c>
      <c r="F51" s="506"/>
      <c r="G51" s="506"/>
    </row>
    <row r="52" spans="1:7" s="877" customFormat="1" ht="12.75">
      <c r="A52" s="369" t="s">
        <v>1013</v>
      </c>
      <c r="B52" s="505">
        <f>'Sources and Uses Budget'!C51</f>
        <v>708832.04999999993</v>
      </c>
      <c r="C52" s="505">
        <f>'Sources and Uses Budget'!C51</f>
        <v>708832.04999999993</v>
      </c>
      <c r="D52" s="505">
        <f>'Sources and Uses Budget'!C51</f>
        <v>708832.04999999993</v>
      </c>
      <c r="E52" s="507">
        <f t="shared" si="0"/>
        <v>0</v>
      </c>
      <c r="F52" s="506"/>
      <c r="G52" s="506"/>
    </row>
    <row r="53" spans="1:7" s="876" customFormat="1" ht="12.75">
      <c r="A53" s="376" t="s">
        <v>588</v>
      </c>
      <c r="B53" s="505">
        <f>'Sources and Uses Budget'!C52</f>
        <v>0</v>
      </c>
      <c r="C53" s="505">
        <f>'Sources and Uses Budget'!C52</f>
        <v>0</v>
      </c>
      <c r="D53" s="505">
        <f>'Sources and Uses Budget'!C52</f>
        <v>0</v>
      </c>
      <c r="E53" s="507">
        <f t="shared" si="0"/>
        <v>0</v>
      </c>
      <c r="F53" s="506"/>
      <c r="G53" s="506"/>
    </row>
    <row r="54" spans="1:7" s="876" customFormat="1" ht="12.75">
      <c r="A54" s="373" t="s">
        <v>1015</v>
      </c>
      <c r="B54" s="1452">
        <f>'Sources and Uses Budget'!C53</f>
        <v>2956244.244277955</v>
      </c>
      <c r="C54" s="1452">
        <f>'Sources and Uses Budget'!C53</f>
        <v>2956244.244277955</v>
      </c>
      <c r="D54" s="1452">
        <f>'Sources and Uses Budget'!C53</f>
        <v>2956244.244277955</v>
      </c>
      <c r="E54" s="507">
        <f t="shared" si="0"/>
        <v>0</v>
      </c>
      <c r="F54" s="506"/>
      <c r="G54" s="506"/>
    </row>
    <row r="55" spans="1:7" s="876" customFormat="1" ht="12" customHeight="1">
      <c r="A55" s="1440" t="s">
        <v>744</v>
      </c>
      <c r="B55" s="503"/>
      <c r="C55" s="503"/>
      <c r="D55" s="503"/>
      <c r="E55" s="503"/>
      <c r="F55" s="503"/>
      <c r="G55" s="503"/>
    </row>
    <row r="56" spans="1:7" s="876" customFormat="1" ht="12.75">
      <c r="A56" s="1446" t="s">
        <v>1016</v>
      </c>
      <c r="B56" s="505">
        <f>'Sources and Uses Budget'!C55</f>
        <v>58520</v>
      </c>
      <c r="C56" s="505">
        <f>'Sources and Uses Budget'!C55</f>
        <v>58520</v>
      </c>
      <c r="D56" s="505">
        <f>'Sources and Uses Budget'!C55</f>
        <v>58520</v>
      </c>
      <c r="E56" s="507">
        <f t="shared" si="0"/>
        <v>0</v>
      </c>
      <c r="F56" s="506"/>
      <c r="G56" s="506"/>
    </row>
    <row r="57" spans="1:7" s="876" customFormat="1" ht="12.75">
      <c r="A57" s="1446" t="s">
        <v>1010</v>
      </c>
      <c r="B57" s="505">
        <f>'Sources and Uses Budget'!C56</f>
        <v>0</v>
      </c>
      <c r="C57" s="505">
        <f>'Sources and Uses Budget'!C56</f>
        <v>0</v>
      </c>
      <c r="D57" s="505">
        <f>'Sources and Uses Budget'!C56</f>
        <v>0</v>
      </c>
      <c r="E57" s="507">
        <f t="shared" si="0"/>
        <v>0</v>
      </c>
      <c r="F57" s="506"/>
      <c r="G57" s="506"/>
    </row>
    <row r="58" spans="1:7" s="876" customFormat="1" ht="12.75">
      <c r="A58" s="1446" t="s">
        <v>1014</v>
      </c>
      <c r="B58" s="505">
        <f>'Sources and Uses Budget'!C57</f>
        <v>20000</v>
      </c>
      <c r="C58" s="505">
        <f>'Sources and Uses Budget'!C57</f>
        <v>20000</v>
      </c>
      <c r="D58" s="505">
        <f>'Sources and Uses Budget'!C57</f>
        <v>20000</v>
      </c>
      <c r="E58" s="507">
        <f t="shared" si="0"/>
        <v>0</v>
      </c>
      <c r="F58" s="506"/>
      <c r="G58" s="506"/>
    </row>
    <row r="59" spans="1:7" s="876" customFormat="1" ht="12.75">
      <c r="A59" s="1446" t="s">
        <v>1012</v>
      </c>
      <c r="B59" s="505">
        <f>'Sources and Uses Budget'!C58</f>
        <v>0</v>
      </c>
      <c r="C59" s="505">
        <f>'Sources and Uses Budget'!C58</f>
        <v>0</v>
      </c>
      <c r="D59" s="505">
        <f>'Sources and Uses Budget'!C58</f>
        <v>0</v>
      </c>
      <c r="E59" s="507">
        <f t="shared" si="0"/>
        <v>0</v>
      </c>
      <c r="F59" s="506"/>
      <c r="G59" s="506"/>
    </row>
    <row r="60" spans="1:7" s="876" customFormat="1" ht="12.75">
      <c r="A60" s="1446"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7" t="s">
        <v>588</v>
      </c>
      <c r="B61" s="505">
        <f>'Sources and Uses Budget'!C60</f>
        <v>30000</v>
      </c>
      <c r="C61" s="505">
        <f>'Sources and Uses Budget'!C60</f>
        <v>30000</v>
      </c>
      <c r="D61" s="505">
        <f>'Sources and Uses Budget'!C60</f>
        <v>30000</v>
      </c>
      <c r="E61" s="507">
        <f t="shared" si="0"/>
        <v>0</v>
      </c>
      <c r="F61" s="506"/>
      <c r="G61" s="506"/>
    </row>
    <row r="62" spans="1:7" s="876" customFormat="1" ht="12.75">
      <c r="A62" s="1445" t="s">
        <v>545</v>
      </c>
      <c r="B62" s="1452">
        <f>'Sources and Uses Budget'!C61</f>
        <v>108520</v>
      </c>
      <c r="C62" s="1452">
        <f>'Sources and Uses Budget'!C61</f>
        <v>108520</v>
      </c>
      <c r="D62" s="1452">
        <f>'Sources and Uses Budget'!C61</f>
        <v>108520</v>
      </c>
      <c r="E62" s="507">
        <f t="shared" si="0"/>
        <v>0</v>
      </c>
      <c r="F62" s="506"/>
      <c r="G62" s="506"/>
    </row>
    <row r="63" spans="1:7" s="876" customFormat="1" ht="12.75">
      <c r="A63" s="1448" t="s">
        <v>546</v>
      </c>
      <c r="B63" s="1452">
        <f>'Sources and Uses Budget'!C62</f>
        <v>40172278.981277958</v>
      </c>
      <c r="C63" s="1452">
        <f>'Sources and Uses Budget'!C62</f>
        <v>40172278.981277958</v>
      </c>
      <c r="D63" s="1452">
        <f>'Sources and Uses Budget'!C62</f>
        <v>40172278.981277958</v>
      </c>
      <c r="E63" s="507">
        <f t="shared" si="0"/>
        <v>0</v>
      </c>
      <c r="F63" s="506"/>
      <c r="G63" s="506"/>
    </row>
    <row r="64" spans="1:7" s="876" customFormat="1" ht="24">
      <c r="A64" s="365" t="s">
        <v>2164</v>
      </c>
      <c r="B64" s="503"/>
      <c r="C64" s="503"/>
      <c r="D64" s="503"/>
      <c r="E64" s="503"/>
      <c r="F64" s="503"/>
      <c r="G64" s="503"/>
    </row>
    <row r="65" spans="1:7" s="876" customFormat="1" ht="12.75">
      <c r="A65" s="369" t="s">
        <v>310</v>
      </c>
      <c r="B65" s="505">
        <f>'Sources and Uses Budget'!C64</f>
        <v>57000</v>
      </c>
      <c r="C65" s="505">
        <f>'Sources and Uses Budget'!C64</f>
        <v>57000</v>
      </c>
      <c r="D65" s="505">
        <f>'Sources and Uses Budget'!C64</f>
        <v>57000</v>
      </c>
      <c r="E65" s="507">
        <f t="shared" si="0"/>
        <v>0</v>
      </c>
      <c r="F65" s="506"/>
      <c r="G65" s="506"/>
    </row>
    <row r="66" spans="1:7" s="876" customFormat="1" ht="24">
      <c r="A66" s="369" t="s">
        <v>2165</v>
      </c>
      <c r="B66" s="505">
        <f>'Sources and Uses Budget'!C65</f>
        <v>0</v>
      </c>
      <c r="C66" s="505">
        <f>'Sources and Uses Budget'!C65</f>
        <v>0</v>
      </c>
      <c r="D66" s="505">
        <f>'Sources and Uses Budget'!C65</f>
        <v>0</v>
      </c>
      <c r="E66" s="507">
        <f t="shared" si="0"/>
        <v>0</v>
      </c>
      <c r="F66" s="506"/>
      <c r="G66" s="506"/>
    </row>
    <row r="67" spans="1:7" s="876" customFormat="1" ht="24">
      <c r="A67" s="369" t="s">
        <v>2166</v>
      </c>
      <c r="B67" s="505">
        <f>'Sources and Uses Budget'!C66</f>
        <v>0</v>
      </c>
      <c r="C67" s="505">
        <f>'Sources and Uses Budget'!C66</f>
        <v>0</v>
      </c>
      <c r="D67" s="505">
        <f>'Sources and Uses Budget'!C66</f>
        <v>0</v>
      </c>
      <c r="E67" s="507">
        <f t="shared" si="0"/>
        <v>0</v>
      </c>
      <c r="F67" s="506"/>
      <c r="G67" s="506"/>
    </row>
    <row r="68" spans="1:7" s="876" customFormat="1" ht="12.75">
      <c r="A68" s="369" t="s">
        <v>2167</v>
      </c>
      <c r="B68" s="505">
        <f>'Sources and Uses Budget'!C67</f>
        <v>0</v>
      </c>
      <c r="C68" s="505">
        <f>'Sources and Uses Budget'!C67</f>
        <v>0</v>
      </c>
      <c r="D68" s="505">
        <f>'Sources and Uses Budget'!C67</f>
        <v>0</v>
      </c>
      <c r="E68" s="507">
        <f t="shared" si="0"/>
        <v>0</v>
      </c>
      <c r="F68" s="506"/>
      <c r="G68" s="506"/>
    </row>
    <row r="69" spans="1:7" s="876" customFormat="1" ht="12.75">
      <c r="A69" s="380" t="s">
        <v>2233</v>
      </c>
      <c r="B69" s="505">
        <f>'Sources and Uses Budget'!C68</f>
        <v>101750</v>
      </c>
      <c r="C69" s="505">
        <f>'Sources and Uses Budget'!C68</f>
        <v>101750</v>
      </c>
      <c r="D69" s="505">
        <f>'Sources and Uses Budget'!C68</f>
        <v>101750</v>
      </c>
      <c r="E69" s="507">
        <f t="shared" si="0"/>
        <v>0</v>
      </c>
      <c r="F69" s="506"/>
      <c r="G69" s="506"/>
    </row>
    <row r="70" spans="1:7" s="876" customFormat="1" ht="12.75">
      <c r="A70" s="373" t="s">
        <v>2168</v>
      </c>
      <c r="B70" s="1452">
        <f>'Sources and Uses Budget'!C69</f>
        <v>158750</v>
      </c>
      <c r="C70" s="1452">
        <f>'Sources and Uses Budget'!C69</f>
        <v>158750</v>
      </c>
      <c r="D70" s="1452">
        <f>'Sources and Uses Budget'!C69</f>
        <v>158750</v>
      </c>
      <c r="E70" s="507">
        <f t="shared" si="0"/>
        <v>0</v>
      </c>
      <c r="F70" s="506"/>
      <c r="G70" s="506"/>
    </row>
    <row r="71" spans="1:7" s="876" customFormat="1" ht="12.75">
      <c r="A71" s="1440" t="s">
        <v>311</v>
      </c>
      <c r="B71" s="503"/>
      <c r="C71" s="503"/>
      <c r="D71" s="503"/>
      <c r="E71" s="503"/>
      <c r="F71" s="503"/>
      <c r="G71" s="503"/>
    </row>
    <row r="72" spans="1:7" s="876" customFormat="1" ht="12.75">
      <c r="A72" s="1446" t="s">
        <v>312</v>
      </c>
      <c r="B72" s="505">
        <f>'Sources and Uses Budget'!C71</f>
        <v>0</v>
      </c>
      <c r="C72" s="505">
        <f>'Sources and Uses Budget'!C71</f>
        <v>0</v>
      </c>
      <c r="D72" s="505">
        <f>'Sources and Uses Budget'!C71</f>
        <v>0</v>
      </c>
      <c r="E72" s="507">
        <f t="shared" si="0"/>
        <v>0</v>
      </c>
      <c r="F72" s="506"/>
      <c r="G72" s="506"/>
    </row>
    <row r="73" spans="1:7" s="876" customFormat="1" ht="12.75">
      <c r="A73" s="1446" t="s">
        <v>313</v>
      </c>
      <c r="B73" s="505">
        <f>'Sources and Uses Budget'!C72</f>
        <v>0</v>
      </c>
      <c r="C73" s="505">
        <f>'Sources and Uses Budget'!C72</f>
        <v>0</v>
      </c>
      <c r="D73" s="505">
        <f>'Sources and Uses Budget'!C72</f>
        <v>0</v>
      </c>
      <c r="E73" s="507">
        <f t="shared" si="0"/>
        <v>0</v>
      </c>
      <c r="F73" s="506"/>
      <c r="G73" s="506"/>
    </row>
    <row r="74" spans="1:7" s="876" customFormat="1" ht="12.75">
      <c r="A74" s="1449" t="s">
        <v>1340</v>
      </c>
      <c r="B74" s="505">
        <f>'Sources and Uses Budget'!C73</f>
        <v>0</v>
      </c>
      <c r="C74" s="505">
        <f>'Sources and Uses Budget'!C73</f>
        <v>0</v>
      </c>
      <c r="D74" s="505">
        <f>'Sources and Uses Budget'!C73</f>
        <v>0</v>
      </c>
      <c r="E74" s="507">
        <f>C74-B74</f>
        <v>0</v>
      </c>
      <c r="F74" s="506"/>
      <c r="G74" s="506"/>
    </row>
    <row r="75" spans="1:7" s="876" customFormat="1" ht="12.75">
      <c r="A75" s="1446" t="s">
        <v>314</v>
      </c>
      <c r="B75" s="505">
        <f>'Sources and Uses Budget'!C74</f>
        <v>492514</v>
      </c>
      <c r="C75" s="505">
        <f>'Sources and Uses Budget'!C74</f>
        <v>492514</v>
      </c>
      <c r="D75" s="505">
        <f>'Sources and Uses Budget'!C74</f>
        <v>492514</v>
      </c>
      <c r="E75" s="507">
        <f>C75-B75</f>
        <v>0</v>
      </c>
      <c r="F75" s="506"/>
      <c r="G75" s="506"/>
    </row>
    <row r="76" spans="1:7" s="876" customFormat="1" ht="12.75">
      <c r="A76" s="1450" t="s">
        <v>588</v>
      </c>
      <c r="B76" s="505">
        <f>'Sources and Uses Budget'!C75</f>
        <v>0</v>
      </c>
      <c r="C76" s="505">
        <f>'Sources and Uses Budget'!C75</f>
        <v>0</v>
      </c>
      <c r="D76" s="505">
        <f>'Sources and Uses Budget'!C75</f>
        <v>0</v>
      </c>
      <c r="E76" s="507">
        <f>C76-B76</f>
        <v>0</v>
      </c>
      <c r="F76" s="506"/>
      <c r="G76" s="506"/>
    </row>
    <row r="77" spans="1:7" s="876" customFormat="1" ht="12.75">
      <c r="A77" s="1445" t="s">
        <v>315</v>
      </c>
      <c r="B77" s="1452">
        <f>'Sources and Uses Budget'!C76</f>
        <v>492514</v>
      </c>
      <c r="C77" s="1452">
        <f>'Sources and Uses Budget'!C76</f>
        <v>492514</v>
      </c>
      <c r="D77" s="1452">
        <f>'Sources and Uses Budget'!C76</f>
        <v>492514</v>
      </c>
      <c r="E77" s="507">
        <f>C77-B77</f>
        <v>0</v>
      </c>
      <c r="F77" s="506"/>
      <c r="G77" s="506"/>
    </row>
    <row r="78" spans="1:7" s="876" customFormat="1" ht="12.75">
      <c r="A78" s="1440" t="s">
        <v>1908</v>
      </c>
      <c r="B78" s="503"/>
      <c r="C78" s="503"/>
      <c r="D78" s="503"/>
      <c r="E78" s="503"/>
      <c r="F78" s="503"/>
      <c r="G78" s="503"/>
    </row>
    <row r="79" spans="1:7" s="876" customFormat="1" ht="13.9" customHeight="1">
      <c r="A79" s="1446" t="s">
        <v>1906</v>
      </c>
      <c r="B79" s="505">
        <f>'Sources and Uses Budget'!C78</f>
        <v>1456536.6493500001</v>
      </c>
      <c r="C79" s="505">
        <f>'Sources and Uses Budget'!C78</f>
        <v>1456536.6493500001</v>
      </c>
      <c r="D79" s="505">
        <f>'Sources and Uses Budget'!C78</f>
        <v>1456536.6493500001</v>
      </c>
      <c r="E79" s="507">
        <f t="shared" ref="E79:E105" si="2">C79-B79</f>
        <v>0</v>
      </c>
      <c r="F79" s="506"/>
      <c r="G79" s="506"/>
    </row>
    <row r="80" spans="1:7" s="876" customFormat="1" ht="12.75">
      <c r="A80" s="1446" t="s">
        <v>593</v>
      </c>
      <c r="B80" s="505">
        <f>'Sources and Uses Budget'!C79</f>
        <v>475000</v>
      </c>
      <c r="C80" s="505">
        <f>'Sources and Uses Budget'!C79</f>
        <v>475000</v>
      </c>
      <c r="D80" s="505">
        <f>'Sources and Uses Budget'!C79</f>
        <v>475000</v>
      </c>
      <c r="E80" s="507">
        <f t="shared" si="2"/>
        <v>0</v>
      </c>
      <c r="F80" s="506"/>
      <c r="G80" s="506"/>
    </row>
    <row r="81" spans="1:7" s="876" customFormat="1" ht="12.75">
      <c r="A81" s="1445" t="s">
        <v>1907</v>
      </c>
      <c r="B81" s="1452">
        <f>'Sources and Uses Budget'!C80</f>
        <v>1931536.6493500001</v>
      </c>
      <c r="C81" s="1452">
        <f>'Sources and Uses Budget'!C80</f>
        <v>1931536.6493500001</v>
      </c>
      <c r="D81" s="1452">
        <f>'Sources and Uses Budget'!C80</f>
        <v>1931536.6493500001</v>
      </c>
      <c r="E81" s="507">
        <f t="shared" si="2"/>
        <v>0</v>
      </c>
      <c r="F81" s="506"/>
      <c r="G81" s="506"/>
    </row>
    <row r="82" spans="1:7" s="876" customFormat="1" ht="12.75">
      <c r="A82" s="1440" t="s">
        <v>569</v>
      </c>
      <c r="B82" s="503"/>
      <c r="C82" s="503"/>
      <c r="D82" s="503"/>
      <c r="E82" s="503"/>
      <c r="F82" s="503"/>
      <c r="G82" s="503"/>
    </row>
    <row r="83" spans="1:7" s="876" customFormat="1" ht="12.75">
      <c r="A83" s="369" t="s">
        <v>570</v>
      </c>
      <c r="B83" s="505">
        <f>'Sources and Uses Budget'!C82</f>
        <v>122090</v>
      </c>
      <c r="C83" s="505">
        <f>'Sources and Uses Budget'!C82</f>
        <v>122090</v>
      </c>
      <c r="D83" s="505">
        <f>'Sources and Uses Budget'!C82</f>
        <v>122090</v>
      </c>
      <c r="E83" s="507">
        <f t="shared" si="2"/>
        <v>0</v>
      </c>
      <c r="F83" s="506"/>
      <c r="G83" s="506"/>
    </row>
    <row r="84" spans="1:7" s="876" customFormat="1" ht="12.75">
      <c r="A84" s="369" t="s">
        <v>571</v>
      </c>
      <c r="B84" s="505">
        <f>'Sources and Uses Budget'!C83</f>
        <v>40010.199999999997</v>
      </c>
      <c r="C84" s="505">
        <f>'Sources and Uses Budget'!C83</f>
        <v>40010.199999999997</v>
      </c>
      <c r="D84" s="505">
        <f>'Sources and Uses Budget'!C83</f>
        <v>40010.199999999997</v>
      </c>
      <c r="E84" s="507">
        <f t="shared" si="2"/>
        <v>0</v>
      </c>
      <c r="F84" s="506"/>
      <c r="G84" s="506"/>
    </row>
    <row r="85" spans="1:7" s="876" customFormat="1" ht="12.75">
      <c r="A85" s="369" t="s">
        <v>572</v>
      </c>
      <c r="B85" s="505">
        <f>'Sources and Uses Budget'!C84</f>
        <v>310121.8</v>
      </c>
      <c r="C85" s="505">
        <f>'Sources and Uses Budget'!C84</f>
        <v>310121.8</v>
      </c>
      <c r="D85" s="505">
        <f>'Sources and Uses Budget'!C84</f>
        <v>310121.8</v>
      </c>
      <c r="E85" s="507">
        <f t="shared" si="2"/>
        <v>0</v>
      </c>
      <c r="F85" s="506"/>
      <c r="G85" s="506"/>
    </row>
    <row r="86" spans="1:7" s="876" customFormat="1" ht="12.75">
      <c r="A86" s="369" t="s">
        <v>573</v>
      </c>
      <c r="B86" s="505">
        <f>'Sources and Uses Budget'!C85</f>
        <v>855000</v>
      </c>
      <c r="C86" s="505">
        <f>'Sources and Uses Budget'!C85</f>
        <v>855000</v>
      </c>
      <c r="D86" s="505">
        <f>'Sources and Uses Budget'!C85</f>
        <v>855000</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120000</v>
      </c>
      <c r="C88" s="505">
        <f>'Sources and Uses Budget'!C87</f>
        <v>120000</v>
      </c>
      <c r="D88" s="505">
        <f>'Sources and Uses Budget'!C87</f>
        <v>120000</v>
      </c>
      <c r="E88" s="507">
        <f t="shared" si="2"/>
        <v>0</v>
      </c>
      <c r="F88" s="506"/>
      <c r="G88" s="506"/>
    </row>
    <row r="89" spans="1:7" s="876" customFormat="1" ht="12.75">
      <c r="A89" s="369" t="s">
        <v>576</v>
      </c>
      <c r="B89" s="505">
        <f>'Sources and Uses Budget'!C88</f>
        <v>120000</v>
      </c>
      <c r="C89" s="505">
        <f>'Sources and Uses Budget'!C88</f>
        <v>120000</v>
      </c>
      <c r="D89" s="505">
        <f>'Sources and Uses Budget'!C88</f>
        <v>120000</v>
      </c>
      <c r="E89" s="507">
        <f t="shared" si="2"/>
        <v>0</v>
      </c>
      <c r="F89" s="506"/>
      <c r="G89" s="506"/>
    </row>
    <row r="90" spans="1:7" s="876" customFormat="1" ht="12.75">
      <c r="A90" s="369" t="s">
        <v>577</v>
      </c>
      <c r="B90" s="505">
        <f>'Sources and Uses Budget'!C89</f>
        <v>10000</v>
      </c>
      <c r="C90" s="505">
        <f>'Sources and Uses Budget'!C89</f>
        <v>10000</v>
      </c>
      <c r="D90" s="505">
        <f>'Sources and Uses Budget'!C89</f>
        <v>10000</v>
      </c>
      <c r="E90" s="507">
        <f t="shared" si="2"/>
        <v>0</v>
      </c>
      <c r="F90" s="506"/>
      <c r="G90" s="506"/>
    </row>
    <row r="91" spans="1:7" s="876" customFormat="1" ht="12.75">
      <c r="A91" s="380" t="s">
        <v>1422</v>
      </c>
      <c r="B91" s="505">
        <f>'Sources and Uses Budget'!C90</f>
        <v>0</v>
      </c>
      <c r="C91" s="505">
        <f>'Sources and Uses Budget'!C90</f>
        <v>0</v>
      </c>
      <c r="D91" s="505">
        <f>'Sources and Uses Budget'!C90</f>
        <v>0</v>
      </c>
      <c r="E91" s="507">
        <f t="shared" si="2"/>
        <v>0</v>
      </c>
      <c r="F91" s="506"/>
      <c r="G91" s="506"/>
    </row>
    <row r="92" spans="1:7" s="876" customFormat="1" ht="12.75">
      <c r="A92" s="380" t="s">
        <v>1905</v>
      </c>
      <c r="B92" s="505">
        <f>'Sources and Uses Budget'!C91</f>
        <v>9500</v>
      </c>
      <c r="C92" s="505">
        <f>'Sources and Uses Budget'!C91</f>
        <v>9500</v>
      </c>
      <c r="D92" s="505">
        <f>'Sources and Uses Budget'!C91</f>
        <v>9500</v>
      </c>
      <c r="E92" s="507">
        <f t="shared" si="2"/>
        <v>0</v>
      </c>
      <c r="F92" s="506"/>
      <c r="G92" s="506"/>
    </row>
    <row r="93" spans="1:7" s="876" customFormat="1" ht="12.75">
      <c r="A93" s="376" t="s">
        <v>588</v>
      </c>
      <c r="B93" s="505">
        <f>'Sources and Uses Budget'!C92</f>
        <v>201951.94999999998</v>
      </c>
      <c r="C93" s="505">
        <f>'Sources and Uses Budget'!C92</f>
        <v>201951.94999999998</v>
      </c>
      <c r="D93" s="505">
        <f>'Sources and Uses Budget'!C92</f>
        <v>201951.94999999998</v>
      </c>
      <c r="E93" s="507">
        <f t="shared" si="2"/>
        <v>0</v>
      </c>
      <c r="F93" s="506"/>
      <c r="G93" s="506"/>
    </row>
    <row r="94" spans="1:7" s="876" customFormat="1" ht="12.75">
      <c r="A94" s="376" t="s">
        <v>588</v>
      </c>
      <c r="B94" s="505">
        <f>'Sources and Uses Budget'!C93</f>
        <v>0</v>
      </c>
      <c r="C94" s="505">
        <f>'Sources and Uses Budget'!C93</f>
        <v>0</v>
      </c>
      <c r="D94" s="505">
        <f>'Sources and Uses Budget'!C93</f>
        <v>0</v>
      </c>
      <c r="E94" s="507">
        <f t="shared" si="2"/>
        <v>0</v>
      </c>
      <c r="F94" s="506"/>
      <c r="G94" s="506"/>
    </row>
    <row r="95" spans="1:7" s="876" customFormat="1" ht="12.75">
      <c r="A95" s="376" t="s">
        <v>588</v>
      </c>
      <c r="B95" s="505">
        <f>'Sources and Uses Budget'!C94</f>
        <v>0</v>
      </c>
      <c r="C95" s="505">
        <f>'Sources and Uses Budget'!C94</f>
        <v>0</v>
      </c>
      <c r="D95" s="505">
        <f>'Sources and Uses Budget'!C94</f>
        <v>0</v>
      </c>
      <c r="E95" s="507">
        <f t="shared" si="2"/>
        <v>0</v>
      </c>
      <c r="F95" s="506"/>
      <c r="G95" s="506"/>
    </row>
    <row r="96" spans="1:7" s="876" customFormat="1" ht="12.75">
      <c r="A96" s="373" t="s">
        <v>578</v>
      </c>
      <c r="B96" s="1452">
        <f>'Sources and Uses Budget'!C95</f>
        <v>1788673.95</v>
      </c>
      <c r="C96" s="1452">
        <f>'Sources and Uses Budget'!C95</f>
        <v>1788673.95</v>
      </c>
      <c r="D96" s="1452">
        <f>'Sources and Uses Budget'!C95</f>
        <v>1788673.95</v>
      </c>
      <c r="E96" s="507">
        <f t="shared" si="2"/>
        <v>0</v>
      </c>
      <c r="F96" s="506"/>
      <c r="G96" s="506"/>
    </row>
    <row r="97" spans="1:7" s="875" customFormat="1" ht="12.75">
      <c r="A97" s="373" t="s">
        <v>579</v>
      </c>
      <c r="B97" s="1452">
        <f>'Sources and Uses Budget'!C96</f>
        <v>44543753.580627963</v>
      </c>
      <c r="C97" s="1452">
        <f>'Sources and Uses Budget'!C96</f>
        <v>44543753.580627963</v>
      </c>
      <c r="D97" s="1452">
        <f>'Sources and Uses Budget'!C96</f>
        <v>44543753.580627963</v>
      </c>
      <c r="E97" s="507">
        <f t="shared" si="2"/>
        <v>0</v>
      </c>
      <c r="F97" s="506"/>
      <c r="G97" s="506"/>
    </row>
    <row r="98" spans="1:7" s="875" customFormat="1" ht="12.75">
      <c r="A98" s="1440"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2232</v>
      </c>
      <c r="B102" s="505">
        <f>'Sources and Uses Budget'!C101</f>
        <v>0</v>
      </c>
      <c r="C102" s="505">
        <f>'Sources and Uses Budget'!C101</f>
        <v>0</v>
      </c>
      <c r="D102" s="505">
        <f>'Sources and Uses Budget'!C101</f>
        <v>0</v>
      </c>
      <c r="E102" s="507">
        <f t="shared" si="2"/>
        <v>0</v>
      </c>
      <c r="F102" s="506"/>
      <c r="G102" s="506"/>
    </row>
    <row r="103" spans="1:7" s="875" customFormat="1" ht="12.75">
      <c r="A103" s="1447" t="s">
        <v>588</v>
      </c>
      <c r="B103" s="505">
        <f>'Sources and Uses Budget'!C102</f>
        <v>0</v>
      </c>
      <c r="C103" s="505">
        <f>'Sources and Uses Budget'!C102</f>
        <v>0</v>
      </c>
      <c r="D103" s="505">
        <f>'Sources and Uses Budget'!C102</f>
        <v>0</v>
      </c>
      <c r="E103" s="507">
        <f t="shared" si="2"/>
        <v>0</v>
      </c>
      <c r="F103" s="506"/>
      <c r="G103" s="506"/>
    </row>
    <row r="104" spans="1:7" s="875" customFormat="1" ht="12.75">
      <c r="A104" s="1445" t="s">
        <v>583</v>
      </c>
      <c r="B104" s="1452">
        <f>'Sources and Uses Budget'!C103</f>
        <v>2200000</v>
      </c>
      <c r="C104" s="1452">
        <f>'Sources and Uses Budget'!C103</f>
        <v>2200000</v>
      </c>
      <c r="D104" s="1452">
        <f>'Sources and Uses Budget'!C103</f>
        <v>2200000</v>
      </c>
      <c r="E104" s="507">
        <f t="shared" si="2"/>
        <v>0</v>
      </c>
      <c r="F104" s="506"/>
      <c r="G104" s="506"/>
    </row>
    <row r="105" spans="1:7" s="875" customFormat="1" ht="12.75">
      <c r="A105" s="1445" t="s">
        <v>584</v>
      </c>
      <c r="B105" s="1452">
        <f>'Sources and Uses Budget'!C104</f>
        <v>46743753.580627963</v>
      </c>
      <c r="C105" s="1452">
        <f>'Sources and Uses Budget'!C104</f>
        <v>46743753.580627963</v>
      </c>
      <c r="D105" s="1452">
        <f>'Sources and Uses Budget'!C104</f>
        <v>46743753.580627963</v>
      </c>
      <c r="E105" s="507">
        <f t="shared" si="2"/>
        <v>0</v>
      </c>
      <c r="F105" s="506"/>
      <c r="G105" s="1451"/>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9"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43" t="s">
        <v>331</v>
      </c>
      <c r="B2" s="1544"/>
      <c r="C2" s="1544"/>
      <c r="D2" s="1544"/>
      <c r="E2" s="1544"/>
      <c r="F2" s="1544"/>
      <c r="G2" s="1544"/>
      <c r="H2" s="1544"/>
      <c r="I2" s="1544"/>
      <c r="J2" s="1544"/>
    </row>
    <row r="3" spans="1:10" ht="15">
      <c r="A3" s="1545" t="s">
        <v>2291</v>
      </c>
      <c r="B3" s="1544"/>
      <c r="C3" s="1544"/>
      <c r="D3" s="1544"/>
      <c r="E3" s="1544"/>
      <c r="F3" s="1544"/>
      <c r="G3" s="1544"/>
      <c r="H3" s="1544"/>
      <c r="I3" s="1544"/>
      <c r="J3" s="1544"/>
    </row>
    <row r="4" spans="1:10"/>
    <row r="5" spans="1:10" ht="12.75" customHeight="1">
      <c r="A5" s="1550" t="s">
        <v>2235</v>
      </c>
      <c r="B5" s="1550"/>
      <c r="C5" s="1550"/>
      <c r="D5" s="1550"/>
      <c r="E5" s="1550"/>
      <c r="F5" s="1550"/>
      <c r="G5" s="1550"/>
      <c r="H5" s="1550"/>
      <c r="I5" s="1550"/>
      <c r="J5" s="1550"/>
    </row>
    <row r="6" spans="1:10">
      <c r="A6" s="1550"/>
      <c r="B6" s="1550"/>
      <c r="C6" s="1550"/>
      <c r="D6" s="1550"/>
      <c r="E6" s="1550"/>
      <c r="F6" s="1550"/>
      <c r="G6" s="1550"/>
      <c r="H6" s="1550"/>
      <c r="I6" s="1550"/>
      <c r="J6" s="1550"/>
    </row>
    <row r="7" spans="1:10">
      <c r="A7" s="83"/>
      <c r="B7" s="83"/>
      <c r="C7" s="83"/>
      <c r="D7" s="83"/>
      <c r="E7" s="83"/>
      <c r="F7" s="83"/>
      <c r="G7" s="83"/>
      <c r="H7" s="83"/>
      <c r="I7" s="83"/>
      <c r="J7" s="83"/>
    </row>
    <row r="8" spans="1:10">
      <c r="A8" s="1453" t="s">
        <v>2236</v>
      </c>
      <c r="B8" s="83"/>
      <c r="C8" s="83"/>
      <c r="D8" s="83"/>
      <c r="E8" s="83"/>
      <c r="F8" s="83"/>
      <c r="G8" s="83"/>
      <c r="H8" s="83"/>
      <c r="I8" s="83"/>
      <c r="J8" s="83"/>
    </row>
    <row r="9" spans="1:10">
      <c r="A9" s="1077"/>
      <c r="B9" s="1077"/>
      <c r="C9" s="1077"/>
      <c r="D9" s="1077"/>
      <c r="E9" s="1077"/>
      <c r="F9" s="1077"/>
      <c r="G9" s="1077"/>
      <c r="H9" s="1077"/>
      <c r="I9" s="1077"/>
      <c r="J9" s="1077"/>
    </row>
    <row r="10" spans="1:10" s="1551" customFormat="1">
      <c r="A10" s="1551" t="s">
        <v>2332</v>
      </c>
    </row>
    <row r="11" spans="1:10" s="1551" customFormat="1" ht="12.75" customHeight="1"/>
    <row r="12" spans="1:10" s="1551" customFormat="1" ht="12.75" customHeight="1"/>
    <row r="13" spans="1:10" s="1551" customFormat="1" ht="12.75" customHeight="1"/>
    <row r="14" spans="1:10" s="1551" customFormat="1" ht="12.75" customHeight="1"/>
    <row r="15" spans="1:10"/>
    <row r="16" spans="1:10" ht="12.75" customHeight="1">
      <c r="A16" s="1546" t="s">
        <v>2059</v>
      </c>
      <c r="B16" s="1547"/>
      <c r="C16" s="1547"/>
      <c r="D16" s="1547"/>
      <c r="E16" s="1547"/>
      <c r="F16" s="1547"/>
      <c r="G16" s="1547"/>
      <c r="H16" s="1547"/>
      <c r="I16" s="1547"/>
      <c r="J16" s="1547"/>
    </row>
    <row r="17" spans="1:10" ht="12.75" customHeight="1">
      <c r="A17" s="1547"/>
      <c r="B17" s="1547"/>
      <c r="C17" s="1547"/>
      <c r="D17" s="1547"/>
      <c r="E17" s="1547"/>
      <c r="F17" s="1547"/>
      <c r="G17" s="1547"/>
      <c r="H17" s="1547"/>
      <c r="I17" s="1547"/>
      <c r="J17" s="1547"/>
    </row>
    <row r="18" spans="1:10">
      <c r="A18" s="1547"/>
      <c r="B18" s="1547"/>
      <c r="C18" s="1547"/>
      <c r="D18" s="1547"/>
      <c r="E18" s="1547"/>
      <c r="F18" s="1547"/>
      <c r="G18" s="1547"/>
      <c r="H18" s="1547"/>
      <c r="I18" s="1547"/>
      <c r="J18" s="1547"/>
    </row>
    <row r="19" spans="1:10">
      <c r="A19" s="1548"/>
      <c r="B19" s="1548"/>
      <c r="C19" s="1548"/>
      <c r="D19" s="1548"/>
      <c r="E19" s="1548"/>
      <c r="F19" s="1548"/>
      <c r="G19" s="1548"/>
      <c r="H19" s="1548"/>
      <c r="I19" s="1548"/>
      <c r="J19" s="1548"/>
    </row>
    <row r="20" spans="1:10">
      <c r="A20" s="1548"/>
      <c r="B20" s="1548"/>
      <c r="C20" s="1548"/>
      <c r="D20" s="1548"/>
      <c r="E20" s="1548"/>
      <c r="F20" s="1548"/>
      <c r="G20" s="1548"/>
      <c r="H20" s="1548"/>
      <c r="I20" s="1548"/>
      <c r="J20" s="1548"/>
    </row>
    <row r="21" spans="1:10">
      <c r="A21" s="1548"/>
      <c r="B21" s="1548"/>
      <c r="C21" s="1548"/>
      <c r="D21" s="1548"/>
      <c r="E21" s="1548"/>
      <c r="F21" s="1548"/>
      <c r="G21" s="1548"/>
      <c r="H21" s="1548"/>
      <c r="I21" s="1548"/>
      <c r="J21" s="1548"/>
    </row>
    <row r="22" spans="1:10">
      <c r="A22" s="40" t="s">
        <v>1118</v>
      </c>
      <c r="B22" s="1077"/>
      <c r="C22" s="1077"/>
      <c r="D22" s="1077"/>
      <c r="E22" s="1077"/>
      <c r="F22" s="1077"/>
      <c r="G22" s="1077"/>
      <c r="H22" s="1077"/>
      <c r="I22" s="1077"/>
      <c r="J22" s="1077"/>
    </row>
    <row r="23" spans="1:10" ht="15">
      <c r="A23" s="1078" t="s">
        <v>253</v>
      </c>
      <c r="B23" s="1078"/>
      <c r="C23" s="1078"/>
      <c r="D23" s="1078"/>
      <c r="E23" s="1078"/>
      <c r="F23" s="1078"/>
      <c r="G23" s="1078"/>
      <c r="H23" s="1078"/>
      <c r="I23" s="1078"/>
      <c r="J23" s="1513"/>
    </row>
    <row r="24" spans="1:10">
      <c r="A24" s="1549" t="s">
        <v>1101</v>
      </c>
      <c r="B24" s="1544"/>
      <c r="C24" s="1544"/>
      <c r="D24" s="1544"/>
      <c r="E24" s="154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7" t="s">
        <v>1119</v>
      </c>
      <c r="B61" s="1548"/>
      <c r="C61" s="1548"/>
      <c r="D61" s="1548"/>
      <c r="E61" s="1548"/>
      <c r="F61" s="1548"/>
      <c r="G61" s="1548"/>
      <c r="H61" s="1548"/>
      <c r="I61" s="1548"/>
      <c r="J61" s="1548"/>
    </row>
    <row r="62" spans="1:10">
      <c r="A62" s="1548"/>
      <c r="B62" s="1548"/>
      <c r="C62" s="1548"/>
      <c r="D62" s="1548"/>
      <c r="E62" s="1548"/>
      <c r="F62" s="1548"/>
      <c r="G62" s="1548"/>
      <c r="H62" s="1548"/>
      <c r="I62" s="1548"/>
      <c r="J62" s="1548"/>
    </row>
    <row r="63" spans="1:10">
      <c r="A63" s="1548"/>
      <c r="B63" s="1548"/>
      <c r="C63" s="1548"/>
      <c r="D63" s="1548"/>
      <c r="E63" s="1548"/>
      <c r="F63" s="1548"/>
      <c r="G63" s="1548"/>
      <c r="H63" s="1548"/>
      <c r="I63" s="1548"/>
      <c r="J63" s="1548"/>
    </row>
    <row r="64" spans="1:10"/>
    <row r="65" spans="1:9">
      <c r="A65" s="8" t="s">
        <v>1101</v>
      </c>
    </row>
    <row r="66" spans="1:9"/>
    <row r="67" spans="1:9"/>
    <row r="68" spans="1:9"/>
    <row r="69" spans="1:9"/>
    <row r="70" spans="1:9"/>
    <row r="71" spans="1:9"/>
    <row r="72" spans="1:9"/>
    <row r="73" spans="1:9"/>
    <row r="74" spans="1:9"/>
    <row r="75" spans="1:9"/>
    <row r="76" spans="1:9">
      <c r="A76" s="1542" t="s">
        <v>1233</v>
      </c>
      <c r="B76" s="1542"/>
      <c r="C76" s="1542"/>
      <c r="D76" s="1542"/>
      <c r="E76" s="1542"/>
      <c r="F76" s="1542"/>
      <c r="G76" s="1542"/>
      <c r="H76" s="1542"/>
      <c r="I76" s="1542"/>
    </row>
    <row r="77" spans="1:9">
      <c r="A77" s="1541" t="s">
        <v>1392</v>
      </c>
      <c r="B77" s="1541"/>
      <c r="C77" s="1541"/>
      <c r="D77" s="1541"/>
      <c r="E77" s="1541"/>
      <c r="F77" s="1076"/>
    </row>
    <row r="78" spans="1:9">
      <c r="A78" s="1541" t="s">
        <v>1391</v>
      </c>
      <c r="B78" s="1541"/>
      <c r="C78" s="1541"/>
      <c r="D78" s="1541"/>
      <c r="E78" s="1541"/>
      <c r="F78" s="1076"/>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19" zoomScale="115" zoomScaleNormal="115" workbookViewId="0">
      <selection activeCell="F827" sqref="F82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94" t="s">
        <v>2292</v>
      </c>
      <c r="B2" s="1594"/>
      <c r="C2" s="1595"/>
      <c r="D2" s="1595"/>
      <c r="E2" s="1595"/>
      <c r="F2" s="1595"/>
      <c r="G2" s="1595"/>
      <c r="I2" s="2" t="s">
        <v>85</v>
      </c>
    </row>
    <row r="3" spans="1:9" ht="12.75">
      <c r="A3" s="298"/>
      <c r="B3" s="298"/>
      <c r="C3" s="13"/>
      <c r="D3" s="13"/>
      <c r="E3" s="13"/>
      <c r="F3" s="13"/>
      <c r="G3" s="687"/>
      <c r="I3" s="329" t="s">
        <v>1514</v>
      </c>
    </row>
    <row r="4" spans="1:9" ht="12.75">
      <c r="A4" s="1596" t="s">
        <v>1127</v>
      </c>
      <c r="B4" s="1596"/>
      <c r="C4" s="1597"/>
      <c r="D4" s="1597"/>
      <c r="E4" s="1597"/>
      <c r="F4" s="1597"/>
      <c r="G4" s="1597"/>
      <c r="I4" s="329" t="s">
        <v>1498</v>
      </c>
    </row>
    <row r="5" spans="1:9" ht="12.75">
      <c r="A5" s="1596" t="s">
        <v>1128</v>
      </c>
      <c r="B5" s="1596"/>
      <c r="C5" s="1597"/>
      <c r="D5" s="1597"/>
      <c r="E5" s="1597"/>
      <c r="F5" s="1597"/>
      <c r="G5" s="1597"/>
      <c r="I5" s="2" t="s">
        <v>134</v>
      </c>
    </row>
    <row r="6" spans="1:9" ht="13.7" customHeight="1">
      <c r="A6" s="14"/>
      <c r="B6" s="14"/>
      <c r="C6" s="14"/>
      <c r="D6" s="282"/>
      <c r="E6" s="282"/>
      <c r="F6" s="282"/>
    </row>
    <row r="7" spans="1:9" ht="12.75">
      <c r="A7" s="1598" t="s">
        <v>1551</v>
      </c>
      <c r="B7" s="1598"/>
      <c r="C7" s="1599"/>
      <c r="D7" s="1599"/>
      <c r="E7" s="1599"/>
      <c r="F7" s="1599"/>
      <c r="G7" s="1599"/>
    </row>
    <row r="8" spans="1:9" ht="12.75">
      <c r="A8" s="1598" t="s">
        <v>1552</v>
      </c>
      <c r="B8" s="1598"/>
      <c r="C8" s="1599"/>
      <c r="D8" s="1599"/>
      <c r="E8" s="1599"/>
      <c r="F8" s="1599"/>
      <c r="G8" s="1599"/>
    </row>
    <row r="9" spans="1:9" ht="12.75">
      <c r="A9" s="301"/>
      <c r="B9" s="301"/>
      <c r="C9" s="298"/>
      <c r="D9" s="298"/>
      <c r="E9" s="298"/>
      <c r="F9" s="298"/>
      <c r="G9" s="406"/>
    </row>
    <row r="10" spans="1:9" ht="12.75">
      <c r="A10" s="1600" t="s">
        <v>1685</v>
      </c>
      <c r="B10" s="1600"/>
      <c r="C10" s="1600"/>
      <c r="D10" s="1600"/>
      <c r="E10" s="1600"/>
      <c r="F10" s="1600"/>
      <c r="G10" s="1600"/>
    </row>
    <row r="11" spans="1:9" ht="12.75">
      <c r="A11" s="414"/>
      <c r="B11" s="414"/>
      <c r="C11" s="14"/>
      <c r="D11" s="282"/>
      <c r="E11" s="282"/>
      <c r="F11" s="282"/>
    </row>
    <row r="12" spans="1:9" ht="13.7" customHeight="1">
      <c r="A12" s="140"/>
      <c r="B12" s="140"/>
      <c r="C12" s="298"/>
      <c r="D12" s="1601" t="s">
        <v>1684</v>
      </c>
      <c r="E12" s="1601"/>
      <c r="F12" s="1601"/>
      <c r="G12" s="925"/>
    </row>
    <row r="13" spans="1:9" ht="12.75">
      <c r="A13" s="140"/>
      <c r="B13" s="140"/>
      <c r="C13" s="298"/>
      <c r="D13" s="1601"/>
      <c r="E13" s="1601"/>
      <c r="F13" s="1601"/>
      <c r="G13" s="925"/>
    </row>
    <row r="14" spans="1:9" ht="12.75">
      <c r="A14" s="415"/>
      <c r="B14" s="415"/>
      <c r="C14" s="299"/>
      <c r="D14" s="1561" t="s">
        <v>1538</v>
      </c>
      <c r="E14" s="1561"/>
      <c r="F14" s="1561"/>
      <c r="G14" s="467"/>
    </row>
    <row r="15" spans="1:9" ht="12.75">
      <c r="A15" s="415"/>
      <c r="B15" s="415"/>
      <c r="C15" s="299"/>
      <c r="D15" s="282"/>
      <c r="E15" s="282"/>
      <c r="F15" s="282"/>
    </row>
    <row r="16" spans="1:9" ht="14.45" customHeight="1">
      <c r="A16" s="413"/>
      <c r="B16" s="924" t="s">
        <v>1498</v>
      </c>
      <c r="C16" s="299"/>
      <c r="D16" s="1593" t="s">
        <v>2296</v>
      </c>
      <c r="E16" s="1559"/>
      <c r="F16" s="1559"/>
      <c r="G16" s="550"/>
    </row>
    <row r="17" spans="1:7" ht="14.45" customHeight="1">
      <c r="A17" s="413"/>
      <c r="B17" s="14"/>
      <c r="C17" s="299"/>
      <c r="D17" s="1559"/>
      <c r="E17" s="1559"/>
      <c r="F17" s="1559"/>
      <c r="G17" s="550"/>
    </row>
    <row r="18" spans="1:7" ht="12.75">
      <c r="A18" s="415"/>
      <c r="B18" s="14"/>
      <c r="C18" s="299"/>
      <c r="D18" s="1559"/>
      <c r="E18" s="1559"/>
      <c r="F18" s="1559"/>
      <c r="G18" s="550"/>
    </row>
    <row r="19" spans="1:7" ht="12.75">
      <c r="A19" s="415"/>
      <c r="B19" s="14"/>
      <c r="C19" s="299"/>
      <c r="D19" s="1499"/>
      <c r="E19" s="1501" t="s">
        <v>2297</v>
      </c>
      <c r="F19" s="1499"/>
      <c r="G19" s="550"/>
    </row>
    <row r="20" spans="1:7" ht="12.75">
      <c r="A20" s="415"/>
      <c r="B20" s="415"/>
      <c r="C20" s="299"/>
      <c r="D20" s="282"/>
      <c r="E20" s="282"/>
      <c r="F20" s="282"/>
    </row>
    <row r="21" spans="1:7" ht="14.25">
      <c r="A21" s="413"/>
      <c r="B21" s="924" t="s">
        <v>1498</v>
      </c>
      <c r="C21" s="14"/>
      <c r="D21" s="1593" t="s">
        <v>2298</v>
      </c>
      <c r="E21" s="1559"/>
      <c r="F21" s="1559"/>
    </row>
    <row r="22" spans="1:7" ht="12.75">
      <c r="A22" s="14"/>
      <c r="B22" s="14"/>
      <c r="C22" s="14"/>
      <c r="D22" s="1559"/>
      <c r="E22" s="1559"/>
      <c r="F22" s="1559"/>
    </row>
    <row r="23" spans="1:7" ht="12.75">
      <c r="A23" s="14"/>
      <c r="B23" s="14"/>
      <c r="C23" s="14"/>
      <c r="D23" s="1500"/>
      <c r="E23" s="930" t="s">
        <v>2299</v>
      </c>
      <c r="F23" s="1500"/>
    </row>
    <row r="24" spans="1:7" ht="14.25">
      <c r="A24" s="413"/>
      <c r="B24" s="413"/>
      <c r="C24" s="14"/>
      <c r="D24" s="287"/>
      <c r="E24" s="282"/>
      <c r="F24" s="282"/>
    </row>
    <row r="25" spans="1:7" ht="14.25">
      <c r="A25" s="413"/>
      <c r="B25" s="924" t="s">
        <v>134</v>
      </c>
      <c r="C25" s="14"/>
      <c r="D25" s="1559" t="s">
        <v>1530</v>
      </c>
      <c r="E25" s="1559"/>
      <c r="F25" s="1559"/>
    </row>
    <row r="26" spans="1:7" ht="14.25">
      <c r="A26" s="413"/>
      <c r="B26" s="413"/>
      <c r="C26" s="14"/>
      <c r="D26" s="1559"/>
      <c r="E26" s="1559"/>
      <c r="F26" s="1559"/>
    </row>
    <row r="27" spans="1:7" ht="14.25">
      <c r="A27" s="413"/>
      <c r="B27" s="413"/>
      <c r="C27" s="14"/>
      <c r="D27" s="287"/>
      <c r="E27" s="282"/>
      <c r="F27" s="282"/>
    </row>
    <row r="28" spans="1:7" ht="14.25" customHeight="1">
      <c r="A28" s="552"/>
      <c r="B28" s="924" t="s">
        <v>1498</v>
      </c>
      <c r="D28" s="1591" t="s">
        <v>1532</v>
      </c>
      <c r="E28" s="1591"/>
      <c r="F28" s="1591"/>
    </row>
    <row r="29" spans="1:7" ht="14.25">
      <c r="A29" s="552"/>
      <c r="B29" s="552"/>
      <c r="D29" s="1591"/>
      <c r="E29" s="1591"/>
      <c r="F29" s="1591"/>
    </row>
    <row r="30" spans="1:7" ht="14.25">
      <c r="A30" s="552"/>
      <c r="B30" s="552"/>
      <c r="D30" s="1591"/>
      <c r="E30" s="1591"/>
      <c r="F30" s="1591"/>
    </row>
    <row r="31" spans="1:7" ht="14.25">
      <c r="A31" s="552"/>
      <c r="B31" s="552"/>
      <c r="D31" s="1591"/>
      <c r="E31" s="1591"/>
      <c r="F31" s="1591"/>
    </row>
    <row r="32" spans="1:7" ht="14.25">
      <c r="A32" s="552"/>
      <c r="B32" s="552"/>
      <c r="D32" s="1591"/>
      <c r="E32" s="1591"/>
      <c r="F32" s="1591"/>
    </row>
    <row r="33" spans="1:6" ht="14.25">
      <c r="A33" s="552"/>
      <c r="B33" s="552"/>
      <c r="D33" s="884"/>
      <c r="F33" s="929"/>
    </row>
    <row r="34" spans="1:6" ht="14.45" customHeight="1">
      <c r="A34" s="552"/>
      <c r="B34" s="924" t="s">
        <v>134</v>
      </c>
      <c r="D34" s="1602" t="s">
        <v>1531</v>
      </c>
      <c r="E34" s="1602"/>
      <c r="F34" s="1602"/>
    </row>
    <row r="35" spans="1:6" ht="14.25">
      <c r="A35" s="552"/>
      <c r="B35" s="552"/>
      <c r="D35" s="1602"/>
      <c r="E35" s="1602"/>
      <c r="F35" s="1602"/>
    </row>
    <row r="36" spans="1:6" ht="14.25">
      <c r="A36" s="413"/>
      <c r="B36" s="413"/>
      <c r="C36" s="14"/>
      <c r="D36" s="928"/>
      <c r="E36" s="928"/>
      <c r="F36" s="928"/>
    </row>
    <row r="37" spans="1:6" ht="14.25">
      <c r="A37" s="413"/>
      <c r="B37" s="924" t="s">
        <v>1498</v>
      </c>
      <c r="C37" s="14"/>
      <c r="D37" s="1569" t="s">
        <v>1918</v>
      </c>
      <c r="E37" s="1602"/>
      <c r="F37" s="1602"/>
    </row>
    <row r="38" spans="1:6" ht="14.25">
      <c r="A38" s="413"/>
      <c r="B38" s="413"/>
      <c r="C38" s="14"/>
      <c r="D38" s="1602"/>
      <c r="E38" s="1602"/>
      <c r="F38" s="1602"/>
    </row>
    <row r="39" spans="1:6" ht="14.25">
      <c r="A39" s="413"/>
      <c r="B39" s="413"/>
      <c r="C39" s="14"/>
      <c r="D39" s="1602"/>
      <c r="E39" s="1602"/>
      <c r="F39" s="1602"/>
    </row>
    <row r="40" spans="1:6" ht="14.25">
      <c r="A40" s="413"/>
      <c r="B40" s="413"/>
      <c r="C40" s="14"/>
      <c r="D40" s="1602"/>
      <c r="E40" s="1602"/>
      <c r="F40" s="1602"/>
    </row>
    <row r="41" spans="1:6" ht="14.25">
      <c r="A41" s="413"/>
      <c r="B41" s="413"/>
      <c r="C41" s="14"/>
      <c r="D41" s="1602"/>
      <c r="E41" s="1602"/>
      <c r="F41" s="1602"/>
    </row>
    <row r="42" spans="1:6" ht="14.25">
      <c r="A42" s="413"/>
      <c r="B42" s="413"/>
      <c r="C42" s="14"/>
      <c r="D42" s="1602"/>
      <c r="E42" s="1602"/>
      <c r="F42" s="1602"/>
    </row>
    <row r="43" spans="1:6" ht="14.25">
      <c r="A43" s="413"/>
      <c r="B43" s="413"/>
      <c r="C43" s="14"/>
      <c r="D43" s="1602"/>
      <c r="E43" s="1602"/>
      <c r="F43" s="1602"/>
    </row>
    <row r="44" spans="1:6" ht="14.25">
      <c r="A44" s="413"/>
      <c r="B44" s="413"/>
      <c r="C44" s="14"/>
      <c r="D44" s="1602"/>
      <c r="E44" s="1602"/>
      <c r="F44" s="1602"/>
    </row>
    <row r="45" spans="1:6" ht="14.25">
      <c r="A45" s="413"/>
      <c r="B45" s="413"/>
      <c r="C45" s="14"/>
      <c r="D45" s="931"/>
      <c r="E45" s="931"/>
      <c r="F45" s="931"/>
    </row>
    <row r="46" spans="1:6" ht="14.45" customHeight="1">
      <c r="A46" s="413"/>
      <c r="B46" s="924" t="s">
        <v>134</v>
      </c>
      <c r="C46" s="14"/>
      <c r="D46" s="1602" t="s">
        <v>1569</v>
      </c>
      <c r="E46" s="1602"/>
      <c r="F46" s="1602"/>
    </row>
    <row r="47" spans="1:6" ht="14.25">
      <c r="A47" s="413"/>
      <c r="B47" s="413"/>
      <c r="C47" s="14"/>
      <c r="D47" s="1602"/>
      <c r="E47" s="1602"/>
      <c r="F47" s="1602"/>
    </row>
    <row r="48" spans="1:6" ht="14.25">
      <c r="A48" s="413"/>
      <c r="B48" s="413"/>
      <c r="C48" s="14"/>
      <c r="D48" s="1602"/>
      <c r="E48" s="1602"/>
      <c r="F48" s="1602"/>
    </row>
    <row r="49" spans="1:6" ht="14.25">
      <c r="A49" s="413"/>
      <c r="B49" s="413"/>
      <c r="C49" s="14"/>
      <c r="D49" s="1602"/>
      <c r="E49" s="1602"/>
      <c r="F49" s="1602"/>
    </row>
    <row r="50" spans="1:6" ht="14.25">
      <c r="A50" s="413"/>
      <c r="B50" s="413"/>
      <c r="C50" s="14"/>
      <c r="D50" s="1602"/>
      <c r="E50" s="1602"/>
      <c r="F50" s="1602"/>
    </row>
    <row r="51" spans="1:6" ht="14.25">
      <c r="A51" s="413"/>
      <c r="B51" s="413"/>
      <c r="C51" s="14"/>
      <c r="D51" s="403"/>
    </row>
    <row r="52" spans="1:6" ht="14.25">
      <c r="A52" s="413"/>
      <c r="B52" s="924" t="s">
        <v>1498</v>
      </c>
      <c r="C52" s="14"/>
      <c r="D52" s="1569" t="s">
        <v>2078</v>
      </c>
      <c r="E52" s="1602"/>
      <c r="F52" s="1602"/>
    </row>
    <row r="53" spans="1:6" ht="14.25">
      <c r="A53" s="413"/>
      <c r="B53" s="413"/>
      <c r="C53" s="14"/>
      <c r="D53" s="1602"/>
      <c r="E53" s="1602"/>
      <c r="F53" s="1602"/>
    </row>
    <row r="54" spans="1:6" ht="14.25">
      <c r="A54" s="413"/>
      <c r="B54" s="413"/>
      <c r="C54" s="14"/>
      <c r="D54" s="1602"/>
      <c r="E54" s="1602"/>
      <c r="F54" s="1602"/>
    </row>
    <row r="55" spans="1:6" ht="14.25">
      <c r="A55" s="413"/>
      <c r="B55" s="413"/>
      <c r="C55" s="14"/>
      <c r="D55" s="1602"/>
      <c r="E55" s="1602"/>
      <c r="F55" s="1602"/>
    </row>
    <row r="56" spans="1:6" ht="14.25">
      <c r="A56" s="413"/>
      <c r="B56" s="413"/>
      <c r="C56" s="14"/>
      <c r="D56" s="1602"/>
      <c r="E56" s="1602"/>
      <c r="F56" s="1602"/>
    </row>
    <row r="57" spans="1:6" ht="15" customHeight="1">
      <c r="A57" s="413"/>
      <c r="B57" s="413"/>
      <c r="C57" s="14"/>
      <c r="D57" s="1602"/>
      <c r="E57" s="1602"/>
      <c r="F57" s="1602"/>
    </row>
    <row r="58" spans="1:6" ht="14.25">
      <c r="A58" s="413"/>
      <c r="B58" s="413"/>
      <c r="C58" s="14"/>
      <c r="D58" s="2"/>
    </row>
    <row r="59" spans="1:6" ht="14.25">
      <c r="A59" s="413"/>
      <c r="B59" s="924" t="s">
        <v>134</v>
      </c>
      <c r="C59" s="14"/>
      <c r="D59" s="1569" t="s">
        <v>2129</v>
      </c>
      <c r="E59" s="1602"/>
      <c r="F59" s="1602"/>
    </row>
    <row r="60" spans="1:6" ht="14.25">
      <c r="A60" s="413"/>
      <c r="B60" s="413"/>
      <c r="C60" s="14"/>
      <c r="D60" s="1602"/>
      <c r="E60" s="1602"/>
      <c r="F60" s="1602"/>
    </row>
    <row r="61" spans="1:6" ht="14.25">
      <c r="A61" s="413"/>
      <c r="B61" s="413"/>
      <c r="C61" s="14"/>
      <c r="D61" s="1602"/>
      <c r="E61" s="1602"/>
      <c r="F61" s="1602"/>
    </row>
    <row r="62" spans="1:6" ht="14.25">
      <c r="A62" s="413"/>
      <c r="B62" s="413"/>
      <c r="C62" s="14"/>
      <c r="D62" s="1602"/>
      <c r="E62" s="1602"/>
      <c r="F62" s="1602"/>
    </row>
    <row r="63" spans="1:6" ht="17.25" customHeight="1">
      <c r="A63" s="413"/>
      <c r="B63" s="413"/>
      <c r="C63" s="14"/>
      <c r="D63" s="1602"/>
      <c r="E63" s="1602"/>
      <c r="F63" s="1602"/>
    </row>
    <row r="64" spans="1:6" ht="14.25" customHeight="1">
      <c r="A64" s="413"/>
      <c r="B64" s="924" t="s">
        <v>1498</v>
      </c>
      <c r="C64" s="14"/>
      <c r="D64" s="1557" t="s">
        <v>1574</v>
      </c>
      <c r="E64" s="1557"/>
      <c r="F64" s="1557"/>
    </row>
    <row r="65" spans="1:6" ht="15" customHeight="1">
      <c r="A65" s="413"/>
      <c r="B65" s="413"/>
      <c r="C65" s="14"/>
      <c r="D65" s="1557"/>
      <c r="E65" s="1557"/>
      <c r="F65" s="1557"/>
    </row>
    <row r="66" spans="1:6" ht="21.6" customHeight="1">
      <c r="A66" s="413"/>
      <c r="B66" s="413"/>
      <c r="C66" s="14"/>
      <c r="D66" s="1557"/>
      <c r="E66" s="1557"/>
      <c r="F66" s="1557"/>
    </row>
    <row r="67" spans="1:6" ht="14.25">
      <c r="A67" s="413"/>
      <c r="B67" s="413"/>
      <c r="C67" s="14"/>
      <c r="D67" s="136"/>
    </row>
    <row r="68" spans="1:6" ht="14.25" customHeight="1">
      <c r="A68" s="552"/>
      <c r="B68" s="924" t="s">
        <v>1498</v>
      </c>
      <c r="D68" s="1569" t="s">
        <v>2300</v>
      </c>
      <c r="E68" s="1602"/>
      <c r="F68" s="1602"/>
    </row>
    <row r="69" spans="1:6" ht="12.75">
      <c r="D69" s="1602"/>
      <c r="E69" s="1602"/>
      <c r="F69" s="1602"/>
    </row>
    <row r="70" spans="1:6" ht="12.75">
      <c r="D70" s="1602"/>
      <c r="E70" s="1602"/>
      <c r="F70" s="1602"/>
    </row>
    <row r="71" spans="1:6" ht="14.25">
      <c r="A71" s="552"/>
      <c r="B71" s="552"/>
      <c r="D71" s="928"/>
      <c r="E71" s="1501" t="s">
        <v>2297</v>
      </c>
      <c r="F71" s="928"/>
    </row>
    <row r="72" spans="1:6" ht="14.25">
      <c r="A72" s="413"/>
      <c r="B72" s="413"/>
      <c r="C72" s="14"/>
      <c r="D72" s="136"/>
    </row>
    <row r="73" spans="1:6" ht="14.25">
      <c r="A73" s="413"/>
      <c r="B73" s="924" t="s">
        <v>134</v>
      </c>
      <c r="C73" s="14"/>
      <c r="D73" s="1602" t="s">
        <v>1683</v>
      </c>
      <c r="E73" s="1602"/>
      <c r="F73" s="1602"/>
    </row>
    <row r="74" spans="1:6" ht="12.75">
      <c r="A74" s="140"/>
      <c r="B74" s="140"/>
      <c r="C74" s="14"/>
      <c r="D74" s="1602"/>
      <c r="E74" s="1602"/>
      <c r="F74" s="1602"/>
    </row>
    <row r="75" spans="1:6" ht="12.75">
      <c r="A75" s="140"/>
      <c r="B75" s="140"/>
      <c r="C75" s="14"/>
      <c r="D75" s="1602"/>
      <c r="E75" s="1602"/>
      <c r="F75" s="1602"/>
    </row>
    <row r="76" spans="1:6" ht="12.75">
      <c r="A76" s="140"/>
      <c r="B76" s="140"/>
      <c r="C76" s="14"/>
      <c r="D76" s="282"/>
      <c r="E76" s="282"/>
      <c r="F76" s="282"/>
    </row>
    <row r="77" spans="1:6" ht="14.25">
      <c r="A77" s="413" t="s">
        <v>253</v>
      </c>
      <c r="B77" s="924" t="s">
        <v>1498</v>
      </c>
      <c r="C77" s="14"/>
      <c r="D77" s="1602" t="s">
        <v>1575</v>
      </c>
      <c r="E77" s="1602"/>
      <c r="F77" s="1602"/>
    </row>
    <row r="78" spans="1:6" ht="12.75">
      <c r="A78" s="140"/>
      <c r="B78" s="140"/>
      <c r="C78" s="14"/>
      <c r="D78" s="1602"/>
      <c r="E78" s="1602"/>
      <c r="F78" s="1602"/>
    </row>
    <row r="79" spans="1:6" ht="12.75">
      <c r="A79" s="140"/>
      <c r="B79" s="140"/>
      <c r="C79" s="14"/>
      <c r="D79" s="282"/>
      <c r="E79" s="282"/>
      <c r="F79" s="282"/>
    </row>
    <row r="80" spans="1:6" ht="14.25">
      <c r="A80" s="413" t="s">
        <v>253</v>
      </c>
      <c r="B80" s="924" t="s">
        <v>134</v>
      </c>
      <c r="C80" s="14"/>
      <c r="D80" s="1602" t="s">
        <v>1576</v>
      </c>
      <c r="E80" s="1602"/>
      <c r="F80" s="1602"/>
    </row>
    <row r="81" spans="1:7" ht="12.75">
      <c r="A81" s="140"/>
      <c r="B81" s="140"/>
      <c r="C81" s="14"/>
      <c r="D81" s="1602"/>
      <c r="E81" s="1602"/>
      <c r="F81" s="1602"/>
    </row>
    <row r="82" spans="1:7" ht="12.75">
      <c r="A82" s="140"/>
      <c r="B82" s="140"/>
      <c r="C82" s="14"/>
      <c r="D82" s="1602"/>
      <c r="E82" s="1602"/>
      <c r="F82" s="1602"/>
    </row>
    <row r="83" spans="1:7" ht="12.75">
      <c r="A83" s="140"/>
      <c r="B83" s="140"/>
      <c r="C83" s="14"/>
      <c r="D83" s="403"/>
      <c r="E83" s="282"/>
      <c r="F83" s="282"/>
    </row>
    <row r="84" spans="1:7" ht="14.25">
      <c r="A84" s="413" t="s">
        <v>253</v>
      </c>
      <c r="B84" s="924" t="s">
        <v>134</v>
      </c>
      <c r="C84" s="14"/>
      <c r="D84" s="1559" t="s">
        <v>1577</v>
      </c>
      <c r="E84" s="1559"/>
      <c r="F84" s="1559"/>
    </row>
    <row r="85" spans="1:7" ht="12.75">
      <c r="A85" s="140"/>
      <c r="B85" s="140"/>
      <c r="C85" s="14"/>
      <c r="D85" s="1559"/>
      <c r="E85" s="1559"/>
      <c r="F85" s="1559"/>
    </row>
    <row r="86" spans="1:7" ht="12.75">
      <c r="A86" s="140"/>
      <c r="B86" s="140"/>
      <c r="C86" s="14"/>
      <c r="D86" s="282"/>
      <c r="E86" s="282"/>
      <c r="F86" s="282"/>
    </row>
    <row r="87" spans="1:7" ht="12.75">
      <c r="A87" s="1567" t="s">
        <v>1502</v>
      </c>
      <c r="B87" s="1567"/>
      <c r="C87" s="1567"/>
      <c r="D87" s="1567"/>
      <c r="E87" s="1567"/>
      <c r="F87" s="1567"/>
      <c r="G87" s="1567"/>
    </row>
    <row r="88" spans="1:7" ht="12.75">
      <c r="A88" s="140"/>
      <c r="B88" s="140"/>
      <c r="C88" s="14"/>
      <c r="D88" s="282"/>
      <c r="E88" s="2"/>
      <c r="F88" s="2"/>
      <c r="G88" s="2"/>
    </row>
    <row r="89" spans="1:7" ht="13.7" customHeight="1">
      <c r="A89" s="140"/>
      <c r="B89" s="140"/>
      <c r="C89" s="900"/>
      <c r="D89" s="1570" t="s">
        <v>1503</v>
      </c>
      <c r="E89" s="1570"/>
      <c r="F89" s="1570"/>
      <c r="G89" s="2"/>
    </row>
    <row r="90" spans="1:7" ht="13.7" customHeight="1">
      <c r="A90" s="143"/>
      <c r="B90" s="143"/>
      <c r="C90" s="14"/>
      <c r="D90" s="1559" t="s">
        <v>1686</v>
      </c>
      <c r="E90" s="1559"/>
      <c r="F90" s="1559"/>
      <c r="G90" s="2"/>
    </row>
    <row r="91" spans="1:7" ht="12.75">
      <c r="A91" s="143"/>
      <c r="B91" s="143"/>
      <c r="C91" s="14"/>
      <c r="D91" s="282"/>
      <c r="E91" s="2"/>
      <c r="F91" s="2"/>
      <c r="G91" s="2"/>
    </row>
    <row r="92" spans="1:7" ht="14.25" customHeight="1">
      <c r="A92" s="413"/>
      <c r="B92" s="924" t="s">
        <v>1498</v>
      </c>
      <c r="C92" s="14"/>
      <c r="D92" s="1593" t="s">
        <v>2048</v>
      </c>
      <c r="E92" s="1593"/>
      <c r="F92" s="1593"/>
      <c r="G92" s="2"/>
    </row>
    <row r="93" spans="1:7" ht="14.45" customHeight="1">
      <c r="A93" s="413"/>
      <c r="B93" s="14"/>
      <c r="C93" s="14"/>
      <c r="D93" s="1593"/>
      <c r="E93" s="1593"/>
      <c r="F93" s="1593"/>
      <c r="G93" s="2"/>
    </row>
    <row r="94" spans="1:7" ht="14.25">
      <c r="A94" s="413"/>
      <c r="B94" s="413"/>
      <c r="C94" s="14"/>
      <c r="D94" s="1593"/>
      <c r="E94" s="1593"/>
      <c r="F94" s="1593"/>
      <c r="G94" s="2"/>
    </row>
    <row r="95" spans="1:7" ht="14.25">
      <c r="A95" s="413"/>
      <c r="B95" s="413"/>
      <c r="C95" s="14"/>
      <c r="D95" s="1593"/>
      <c r="E95" s="1593"/>
      <c r="F95" s="1593"/>
      <c r="G95" s="2"/>
    </row>
    <row r="96" spans="1:7" ht="14.25">
      <c r="A96" s="413"/>
      <c r="B96" s="413"/>
      <c r="C96" s="14"/>
      <c r="D96" s="1593"/>
      <c r="E96" s="1593"/>
      <c r="F96" s="1593"/>
      <c r="G96" s="2"/>
    </row>
    <row r="97" spans="1:7" ht="14.25">
      <c r="A97" s="413"/>
      <c r="B97" s="413"/>
      <c r="C97" s="14"/>
      <c r="D97" s="1593"/>
      <c r="E97" s="1593"/>
      <c r="F97" s="1593"/>
      <c r="G97" s="2"/>
    </row>
    <row r="98" spans="1:7" ht="14.25">
      <c r="A98" s="413"/>
      <c r="B98" s="413"/>
      <c r="C98" s="14"/>
      <c r="D98" s="1593"/>
      <c r="E98" s="1593"/>
      <c r="F98" s="1593"/>
      <c r="G98" s="2"/>
    </row>
    <row r="99" spans="1:7" ht="14.25">
      <c r="A99" s="413"/>
      <c r="B99" s="413"/>
      <c r="C99" s="14"/>
      <c r="D99" s="1593"/>
      <c r="E99" s="1593"/>
      <c r="F99" s="1593"/>
      <c r="G99" s="2"/>
    </row>
    <row r="100" spans="1:7" ht="14.25">
      <c r="A100" s="413"/>
      <c r="B100" s="413"/>
      <c r="C100" s="14"/>
      <c r="D100" s="1593"/>
      <c r="E100" s="1593"/>
      <c r="F100" s="1593"/>
      <c r="G100" s="2"/>
    </row>
    <row r="101" spans="1:7" ht="14.45" customHeight="1">
      <c r="A101" s="413"/>
      <c r="B101" s="957" t="s">
        <v>134</v>
      </c>
      <c r="C101" s="14"/>
      <c r="D101" s="1563" t="s">
        <v>2049</v>
      </c>
      <c r="E101" s="1563"/>
      <c r="F101" s="1563"/>
      <c r="G101" s="2"/>
    </row>
    <row r="102" spans="1:7" ht="14.25">
      <c r="A102" s="413"/>
      <c r="B102" s="413"/>
      <c r="C102" s="14"/>
      <c r="D102" s="1563"/>
      <c r="E102" s="1563"/>
      <c r="F102" s="1563"/>
      <c r="G102" s="2"/>
    </row>
    <row r="103" spans="1:7" ht="14.25">
      <c r="A103" s="413"/>
      <c r="B103" s="413"/>
      <c r="C103" s="14"/>
      <c r="D103" s="1563"/>
      <c r="E103" s="1563"/>
      <c r="F103" s="1563"/>
      <c r="G103" s="2"/>
    </row>
    <row r="104" spans="1:7" ht="14.25">
      <c r="A104" s="413"/>
      <c r="B104" s="413"/>
      <c r="C104" s="14"/>
      <c r="D104" s="1563"/>
      <c r="E104" s="1563"/>
      <c r="F104" s="1563"/>
      <c r="G104" s="2"/>
    </row>
    <row r="105" spans="1:7" ht="14.25">
      <c r="A105" s="413"/>
      <c r="B105" s="413"/>
      <c r="C105" s="14"/>
      <c r="D105" s="1563"/>
      <c r="E105" s="1563"/>
      <c r="F105" s="1563"/>
      <c r="G105" s="2"/>
    </row>
    <row r="106" spans="1:7" ht="14.25">
      <c r="A106" s="413"/>
      <c r="B106" s="413"/>
      <c r="C106" s="14"/>
      <c r="D106" s="1563"/>
      <c r="E106" s="1563"/>
      <c r="F106" s="1563"/>
      <c r="G106" s="2"/>
    </row>
    <row r="107" spans="1:7" ht="14.25">
      <c r="A107" s="413"/>
      <c r="B107" s="413"/>
      <c r="C107" s="14"/>
      <c r="D107" s="1563"/>
      <c r="E107" s="1563"/>
      <c r="F107" s="1563"/>
      <c r="G107" s="2"/>
    </row>
    <row r="108" spans="1:7" ht="14.25">
      <c r="A108" s="413"/>
      <c r="B108" s="413"/>
      <c r="C108" s="14"/>
      <c r="D108" s="1563"/>
      <c r="E108" s="1563"/>
      <c r="F108" s="1563"/>
      <c r="G108" s="2"/>
    </row>
    <row r="109" spans="1:7" ht="14.25">
      <c r="A109" s="413"/>
      <c r="B109" s="413"/>
      <c r="C109" s="14"/>
      <c r="D109" s="1563"/>
      <c r="E109" s="1563"/>
      <c r="F109" s="1563"/>
      <c r="G109" s="2"/>
    </row>
    <row r="110" spans="1:7" ht="14.25">
      <c r="A110" s="413"/>
      <c r="B110" s="413"/>
      <c r="C110" s="14"/>
      <c r="D110" s="1563"/>
      <c r="E110" s="1563"/>
      <c r="F110" s="1563"/>
      <c r="G110" s="2"/>
    </row>
    <row r="111" spans="1:7" ht="14.25">
      <c r="A111" s="413"/>
      <c r="B111" s="413"/>
      <c r="C111" s="14"/>
      <c r="D111" s="1563"/>
      <c r="E111" s="1563"/>
      <c r="F111" s="1563"/>
      <c r="G111" s="2"/>
    </row>
    <row r="112" spans="1:7" ht="14.25">
      <c r="A112" s="413"/>
      <c r="B112" s="413"/>
      <c r="C112" s="14"/>
      <c r="D112" s="1563"/>
      <c r="E112" s="1563"/>
      <c r="F112" s="1563"/>
      <c r="G112" s="2"/>
    </row>
    <row r="113" spans="1:7" ht="14.25">
      <c r="A113" s="413"/>
      <c r="B113" s="413"/>
      <c r="C113" s="14"/>
      <c r="D113" s="1563"/>
      <c r="E113" s="1563"/>
      <c r="F113" s="1563"/>
      <c r="G113" s="2"/>
    </row>
    <row r="114" spans="1:7" ht="14.25">
      <c r="A114" s="413"/>
      <c r="B114" s="957" t="s">
        <v>134</v>
      </c>
      <c r="C114" s="14"/>
      <c r="D114" s="1559" t="s">
        <v>1687</v>
      </c>
      <c r="E114" s="1559"/>
      <c r="F114" s="1559"/>
      <c r="G114" s="2"/>
    </row>
    <row r="115" spans="1:7" ht="14.25">
      <c r="A115" s="413"/>
      <c r="B115" s="413"/>
      <c r="C115" s="14"/>
      <c r="D115" s="1559"/>
      <c r="E115" s="1559"/>
      <c r="F115" s="1559"/>
      <c r="G115" s="2"/>
    </row>
    <row r="116" spans="1:7" ht="14.25">
      <c r="A116" s="413"/>
      <c r="B116" s="413"/>
      <c r="C116" s="14"/>
      <c r="D116" s="1559"/>
      <c r="E116" s="1559"/>
      <c r="F116" s="1559"/>
      <c r="G116" s="2"/>
    </row>
    <row r="117" spans="1:7" ht="14.25">
      <c r="A117" s="413"/>
      <c r="B117" s="413"/>
      <c r="C117" s="14"/>
      <c r="D117" s="1559"/>
      <c r="E117" s="1559"/>
      <c r="F117" s="1559"/>
      <c r="G117" s="2"/>
    </row>
    <row r="118" spans="1:7" ht="14.25">
      <c r="A118" s="413"/>
      <c r="B118" s="413"/>
      <c r="C118" s="14"/>
      <c r="D118" s="1559"/>
      <c r="E118" s="1559"/>
      <c r="F118" s="1559"/>
      <c r="G118" s="2"/>
    </row>
    <row r="119" spans="1:7" ht="14.25">
      <c r="A119" s="413"/>
      <c r="B119" s="413"/>
      <c r="C119" s="14"/>
      <c r="D119" s="1559"/>
      <c r="E119" s="1559"/>
      <c r="F119" s="1559"/>
      <c r="G119" s="2"/>
    </row>
    <row r="120" spans="1:7" ht="14.25">
      <c r="A120" s="413"/>
      <c r="B120" s="413"/>
      <c r="C120" s="14"/>
      <c r="D120" s="1559"/>
      <c r="E120" s="1559"/>
      <c r="F120" s="1559"/>
      <c r="G120" s="2"/>
    </row>
    <row r="121" spans="1:7" ht="14.25">
      <c r="A121" s="413"/>
      <c r="B121" s="413"/>
      <c r="C121" s="14"/>
      <c r="D121" s="1559"/>
      <c r="E121" s="1559"/>
      <c r="F121" s="1559"/>
      <c r="G121" s="2"/>
    </row>
    <row r="122" spans="1:7" ht="12.75" customHeight="1">
      <c r="A122" s="413"/>
      <c r="B122" s="924" t="s">
        <v>1498</v>
      </c>
      <c r="C122" s="14"/>
      <c r="D122" s="1559" t="s">
        <v>1688</v>
      </c>
      <c r="E122" s="1559"/>
      <c r="F122" s="1559"/>
    </row>
    <row r="123" spans="1:7" ht="12.75">
      <c r="A123" s="140"/>
      <c r="B123" s="140"/>
      <c r="C123" s="14"/>
      <c r="D123" s="1559"/>
      <c r="E123" s="1559"/>
      <c r="F123" s="1559"/>
    </row>
    <row r="124" spans="1:7" ht="12.75">
      <c r="A124" s="140"/>
      <c r="B124" s="140"/>
      <c r="C124" s="14"/>
      <c r="D124" s="1559"/>
      <c r="E124" s="1559"/>
      <c r="F124" s="1559"/>
    </row>
    <row r="125" spans="1:7" ht="12.75">
      <c r="A125" s="140"/>
      <c r="B125" s="140"/>
      <c r="C125" s="14"/>
      <c r="D125" s="1559"/>
      <c r="E125" s="1559"/>
      <c r="F125" s="1559"/>
    </row>
    <row r="126" spans="1:7" ht="26.85" customHeight="1">
      <c r="A126" s="140"/>
      <c r="B126" s="140"/>
      <c r="C126" s="14"/>
      <c r="D126" s="1559"/>
      <c r="E126" s="1559"/>
      <c r="F126" s="1559"/>
    </row>
    <row r="127" spans="1:7" ht="12.75">
      <c r="A127" s="140"/>
      <c r="B127" s="140"/>
      <c r="C127" s="14"/>
      <c r="D127" s="282"/>
      <c r="E127" s="282"/>
      <c r="F127" s="282"/>
    </row>
    <row r="128" spans="1:7" ht="14.25">
      <c r="A128" s="413"/>
      <c r="B128" s="924" t="s">
        <v>1498</v>
      </c>
      <c r="C128" s="14"/>
      <c r="D128" s="1602" t="s">
        <v>1689</v>
      </c>
      <c r="E128" s="1602"/>
      <c r="F128" s="1602"/>
    </row>
    <row r="129" spans="1:7" s="497" customFormat="1" ht="13.9" customHeight="1">
      <c r="A129" s="487"/>
      <c r="B129" s="487"/>
      <c r="C129" s="488"/>
      <c r="D129" s="1602"/>
      <c r="E129" s="1602"/>
      <c r="F129" s="1602"/>
      <c r="G129" s="558"/>
    </row>
    <row r="130" spans="1:7" ht="13.9" customHeight="1">
      <c r="A130" s="140"/>
      <c r="B130" s="140"/>
      <c r="C130" s="14"/>
      <c r="D130" s="1602"/>
      <c r="E130" s="1602"/>
      <c r="F130" s="1602"/>
    </row>
    <row r="131" spans="1:7" ht="13.9" customHeight="1">
      <c r="A131" s="140"/>
      <c r="B131" s="140"/>
      <c r="C131" s="14"/>
      <c r="D131" s="1602"/>
      <c r="E131" s="1602"/>
      <c r="F131" s="1602"/>
    </row>
    <row r="132" spans="1:7" ht="13.9" customHeight="1">
      <c r="A132" s="140"/>
      <c r="B132" s="140"/>
      <c r="C132" s="14"/>
      <c r="D132" s="1602"/>
      <c r="E132" s="1602"/>
      <c r="F132" s="1602"/>
    </row>
    <row r="133" spans="1:7" ht="13.9" customHeight="1">
      <c r="A133" s="140"/>
      <c r="B133" s="140"/>
      <c r="C133" s="14"/>
      <c r="D133" s="1602"/>
      <c r="E133" s="1602"/>
      <c r="F133" s="1602"/>
    </row>
    <row r="134" spans="1:7" ht="13.9" customHeight="1">
      <c r="A134" s="958"/>
      <c r="B134" s="958"/>
      <c r="C134" s="14"/>
      <c r="D134" s="1602"/>
      <c r="E134" s="1602"/>
      <c r="F134" s="1602"/>
      <c r="G134" s="2"/>
    </row>
    <row r="135" spans="1:7" ht="13.9" customHeight="1">
      <c r="A135" s="958"/>
      <c r="B135" s="958"/>
      <c r="C135" s="14"/>
      <c r="D135" s="1602"/>
      <c r="E135" s="1602"/>
      <c r="F135" s="1602"/>
      <c r="G135" s="2"/>
    </row>
    <row r="136" spans="1:7" ht="13.9" customHeight="1">
      <c r="A136" s="958"/>
      <c r="B136" s="958"/>
      <c r="C136" s="14"/>
      <c r="D136" s="1602"/>
      <c r="E136" s="1602"/>
      <c r="F136" s="1602"/>
      <c r="G136" s="2"/>
    </row>
    <row r="137" spans="1:7" ht="13.9" customHeight="1">
      <c r="A137" s="958"/>
      <c r="B137" s="958"/>
      <c r="C137" s="14"/>
      <c r="D137" s="1602"/>
      <c r="E137" s="1602"/>
      <c r="F137" s="1602"/>
      <c r="G137" s="2"/>
    </row>
    <row r="138" spans="1:7" ht="17.25" customHeight="1">
      <c r="A138" s="958"/>
      <c r="B138" s="958"/>
      <c r="C138" s="14"/>
      <c r="D138" s="1602"/>
      <c r="E138" s="1602"/>
      <c r="F138" s="1602"/>
      <c r="G138" s="2"/>
    </row>
    <row r="139" spans="1:7" ht="25.5" hidden="1" customHeight="1">
      <c r="A139" s="958"/>
      <c r="B139" s="958"/>
      <c r="C139" s="14"/>
      <c r="D139" s="1602"/>
      <c r="E139" s="1602"/>
      <c r="F139" s="1602"/>
      <c r="G139" s="2"/>
    </row>
    <row r="140" spans="1:7" ht="13.9" customHeight="1">
      <c r="A140" s="958"/>
      <c r="B140" s="958"/>
      <c r="C140" s="14"/>
      <c r="D140" s="282"/>
      <c r="E140" s="282"/>
      <c r="F140" s="282"/>
      <c r="G140" s="2"/>
    </row>
    <row r="141" spans="1:7" ht="13.9" customHeight="1">
      <c r="A141" s="140"/>
      <c r="B141" s="924" t="s">
        <v>134</v>
      </c>
      <c r="C141" s="14"/>
      <c r="D141" s="1593" t="s">
        <v>1894</v>
      </c>
      <c r="E141" s="1559"/>
      <c r="F141" s="1559"/>
      <c r="G141" s="2"/>
    </row>
    <row r="142" spans="1:7" ht="13.9" customHeight="1">
      <c r="A142" s="140"/>
      <c r="B142" s="140"/>
      <c r="C142" s="14"/>
      <c r="D142" s="1559"/>
      <c r="E142" s="1559"/>
      <c r="F142" s="1559"/>
      <c r="G142" s="2"/>
    </row>
    <row r="143" spans="1:7" ht="13.9" customHeight="1">
      <c r="A143" s="140"/>
      <c r="B143" s="140"/>
      <c r="C143" s="14"/>
      <c r="D143" s="1559"/>
      <c r="E143" s="1559"/>
      <c r="F143" s="1559"/>
      <c r="G143" s="2"/>
    </row>
    <row r="144" spans="1:7" ht="13.9" customHeight="1">
      <c r="A144" s="150"/>
      <c r="B144" s="150"/>
      <c r="D144" s="1559"/>
      <c r="E144" s="1559"/>
      <c r="F144" s="1559"/>
      <c r="G144" s="2"/>
    </row>
    <row r="145" spans="1:7" ht="13.9" customHeight="1">
      <c r="A145" s="140"/>
      <c r="B145" s="140"/>
      <c r="C145" s="14"/>
      <c r="D145" s="1559"/>
      <c r="E145" s="1559"/>
      <c r="F145" s="1559"/>
      <c r="G145" s="2"/>
    </row>
    <row r="146" spans="1:7" ht="13.9" customHeight="1">
      <c r="A146" s="33"/>
      <c r="B146" s="33"/>
      <c r="C146" s="14"/>
      <c r="D146" s="1559"/>
      <c r="E146" s="1559"/>
      <c r="F146" s="1559"/>
      <c r="G146" s="2"/>
    </row>
    <row r="147" spans="1:7" ht="13.9" customHeight="1">
      <c r="A147" s="33"/>
      <c r="B147" s="33"/>
      <c r="C147" s="14"/>
      <c r="D147" s="1559"/>
      <c r="E147" s="1559"/>
      <c r="F147" s="1559"/>
      <c r="G147" s="2"/>
    </row>
    <row r="148" spans="1:7" ht="13.9" customHeight="1">
      <c r="A148" s="959"/>
      <c r="B148" s="959"/>
      <c r="C148" s="14"/>
      <c r="D148" s="1559"/>
      <c r="E148" s="1559"/>
      <c r="F148" s="1559"/>
      <c r="G148" s="2"/>
    </row>
    <row r="149" spans="1:7" ht="13.9" customHeight="1">
      <c r="A149" s="959"/>
      <c r="B149" s="959"/>
      <c r="C149" s="14"/>
      <c r="D149" s="1559"/>
      <c r="E149" s="1559"/>
      <c r="F149" s="1559"/>
      <c r="G149" s="2"/>
    </row>
    <row r="150" spans="1:7" ht="13.9" customHeight="1">
      <c r="A150" s="959"/>
      <c r="B150" s="959"/>
      <c r="C150" s="14"/>
      <c r="D150" s="1559"/>
      <c r="E150" s="1559"/>
      <c r="F150" s="1559"/>
      <c r="G150" s="2"/>
    </row>
    <row r="151" spans="1:7" ht="13.9" customHeight="1">
      <c r="A151" s="1063"/>
      <c r="B151" s="1063"/>
      <c r="C151" s="14"/>
      <c r="D151" s="1559"/>
      <c r="E151" s="1559"/>
      <c r="F151" s="1559"/>
      <c r="G151" s="2"/>
    </row>
    <row r="152" spans="1:7" ht="13.9" customHeight="1">
      <c r="A152" s="1063"/>
      <c r="B152" s="1063"/>
      <c r="C152" s="14"/>
      <c r="D152" s="1559"/>
      <c r="E152" s="1559"/>
      <c r="F152" s="1559"/>
      <c r="G152" s="2"/>
    </row>
    <row r="153" spans="1:7" ht="13.9" customHeight="1">
      <c r="A153" s="959"/>
      <c r="B153" s="959"/>
      <c r="C153" s="14"/>
      <c r="D153" s="1559"/>
      <c r="E153" s="1559"/>
      <c r="F153" s="1559"/>
      <c r="G153" s="2"/>
    </row>
    <row r="154" spans="1:7" ht="13.9" customHeight="1">
      <c r="A154" s="959"/>
      <c r="B154" s="959"/>
      <c r="C154" s="14"/>
      <c r="D154" s="1559"/>
      <c r="E154" s="1559"/>
      <c r="F154" s="1559"/>
      <c r="G154" s="2"/>
    </row>
    <row r="155" spans="1:7" ht="13.9" customHeight="1">
      <c r="A155" s="959"/>
      <c r="B155" s="959"/>
      <c r="C155" s="14"/>
      <c r="D155" s="1559"/>
      <c r="E155" s="1559"/>
      <c r="F155" s="1559"/>
      <c r="G155" s="2"/>
    </row>
    <row r="156" spans="1:7" ht="13.9" customHeight="1">
      <c r="A156" s="959"/>
      <c r="B156" s="959"/>
      <c r="C156" s="14"/>
      <c r="D156" s="1559"/>
      <c r="E156" s="1559"/>
      <c r="F156" s="1559"/>
      <c r="G156" s="2"/>
    </row>
    <row r="157" spans="1:7" ht="13.9" customHeight="1">
      <c r="A157" s="959"/>
      <c r="B157" s="959"/>
      <c r="C157" s="14"/>
      <c r="D157" s="1559"/>
      <c r="E157" s="1559"/>
      <c r="F157" s="1559"/>
      <c r="G157" s="2"/>
    </row>
    <row r="158" spans="1:7" ht="13.9" customHeight="1">
      <c r="A158" s="959"/>
      <c r="B158" s="959"/>
      <c r="C158" s="14"/>
      <c r="D158" s="1559"/>
      <c r="E158" s="1559"/>
      <c r="F158" s="1559"/>
      <c r="G158" s="2"/>
    </row>
    <row r="159" spans="1:7" ht="13.9" customHeight="1">
      <c r="A159" s="1068"/>
      <c r="B159" s="1068"/>
      <c r="C159" s="14"/>
      <c r="D159" s="1632" t="s">
        <v>1895</v>
      </c>
      <c r="E159" s="1632"/>
      <c r="F159" s="1632"/>
      <c r="G159" s="2"/>
    </row>
    <row r="160" spans="1:7" ht="13.9" customHeight="1">
      <c r="A160" s="959"/>
      <c r="B160" s="959"/>
      <c r="C160" s="14"/>
      <c r="D160" s="955"/>
      <c r="E160" s="282"/>
      <c r="F160" s="282"/>
      <c r="G160" s="2"/>
    </row>
    <row r="161" spans="1:7" ht="13.9" customHeight="1">
      <c r="A161" s="413"/>
      <c r="B161" s="924" t="s">
        <v>134</v>
      </c>
      <c r="C161" s="14"/>
      <c r="D161" s="1634" t="s">
        <v>1925</v>
      </c>
      <c r="E161" s="1635"/>
      <c r="F161" s="1635"/>
      <c r="G161" s="2"/>
    </row>
    <row r="162" spans="1:7" ht="13.9" customHeight="1">
      <c r="A162" s="413"/>
      <c r="B162" s="1079"/>
      <c r="C162" s="14"/>
      <c r="D162" s="1635"/>
      <c r="E162" s="1635"/>
      <c r="F162" s="1635"/>
      <c r="G162" s="2"/>
    </row>
    <row r="163" spans="1:7" ht="13.9" customHeight="1">
      <c r="A163" s="33"/>
      <c r="B163" s="33"/>
      <c r="C163" s="14"/>
      <c r="D163" s="1635"/>
      <c r="E163" s="1635"/>
      <c r="F163" s="1635"/>
      <c r="G163" s="2"/>
    </row>
    <row r="164" spans="1:7" ht="13.9" customHeight="1">
      <c r="A164" s="33"/>
      <c r="B164" s="33"/>
      <c r="C164" s="14"/>
      <c r="D164" s="287"/>
      <c r="E164" s="282"/>
      <c r="F164" s="282"/>
      <c r="G164" s="2"/>
    </row>
    <row r="165" spans="1:7" ht="13.9" customHeight="1">
      <c r="A165" s="413"/>
      <c r="B165" s="924" t="s">
        <v>1498</v>
      </c>
      <c r="C165" s="14"/>
      <c r="D165" s="1636" t="s">
        <v>1690</v>
      </c>
      <c r="E165" s="1636"/>
      <c r="F165" s="1636"/>
      <c r="G165" s="2"/>
    </row>
    <row r="166" spans="1:7" ht="13.9" customHeight="1">
      <c r="A166" s="33"/>
      <c r="B166" s="33"/>
      <c r="C166" s="14"/>
      <c r="D166" s="1636"/>
      <c r="E166" s="1636"/>
      <c r="F166" s="1636"/>
    </row>
    <row r="167" spans="1:7" ht="13.9" customHeight="1">
      <c r="A167" s="33"/>
      <c r="B167" s="33"/>
      <c r="C167" s="14"/>
      <c r="D167" s="1636"/>
      <c r="E167" s="1636"/>
      <c r="F167" s="1636"/>
    </row>
    <row r="168" spans="1:7" ht="13.9" customHeight="1">
      <c r="A168" s="33"/>
      <c r="B168" s="33"/>
      <c r="C168" s="14"/>
      <c r="D168" s="1636"/>
      <c r="E168" s="1636"/>
      <c r="F168" s="1636"/>
    </row>
    <row r="169" spans="1:7" ht="13.9" customHeight="1">
      <c r="A169" s="33"/>
      <c r="B169" s="33"/>
      <c r="C169" s="14"/>
      <c r="D169" s="287"/>
      <c r="E169" s="282"/>
      <c r="F169" s="282"/>
    </row>
    <row r="170" spans="1:7" ht="13.9" customHeight="1">
      <c r="A170" s="574"/>
      <c r="B170" s="924" t="s">
        <v>134</v>
      </c>
      <c r="C170" s="573"/>
      <c r="D170" s="1628" t="s">
        <v>1691</v>
      </c>
      <c r="E170" s="1628"/>
      <c r="F170" s="1628"/>
      <c r="G170" s="692"/>
    </row>
    <row r="171" spans="1:7" ht="13.9" customHeight="1">
      <c r="A171" s="574"/>
      <c r="B171" s="574"/>
      <c r="C171" s="573"/>
      <c r="D171" s="1628"/>
      <c r="E171" s="1628"/>
      <c r="F171" s="1628"/>
      <c r="G171" s="692"/>
    </row>
    <row r="172" spans="1:7" ht="13.9" customHeight="1">
      <c r="A172" s="574"/>
      <c r="B172" s="574"/>
      <c r="C172" s="573"/>
      <c r="D172" s="1628"/>
      <c r="E172" s="1628"/>
      <c r="F172" s="1628"/>
      <c r="G172" s="692"/>
    </row>
    <row r="173" spans="1:7" ht="12.75">
      <c r="A173" s="574"/>
      <c r="B173" s="574"/>
      <c r="C173" s="573"/>
      <c r="D173" s="576"/>
      <c r="E173" s="564"/>
      <c r="F173" s="564"/>
      <c r="G173" s="692"/>
    </row>
    <row r="174" spans="1:7" ht="12.75">
      <c r="A174" s="1567" t="s">
        <v>1505</v>
      </c>
      <c r="B174" s="1567"/>
      <c r="C174" s="1567"/>
      <c r="D174" s="1567"/>
      <c r="E174" s="1567"/>
      <c r="F174" s="1567"/>
      <c r="G174" s="1567"/>
    </row>
    <row r="175" spans="1:7" ht="12.75">
      <c r="A175" s="140"/>
      <c r="B175" s="140"/>
      <c r="C175" s="14"/>
      <c r="D175" s="287"/>
      <c r="E175" s="282"/>
      <c r="F175" s="282"/>
    </row>
    <row r="176" spans="1:7" ht="12.75">
      <c r="A176" s="140"/>
      <c r="B176" s="140"/>
      <c r="C176" s="900"/>
      <c r="D176" s="1623" t="s">
        <v>1504</v>
      </c>
      <c r="E176" s="1623"/>
      <c r="F176" s="1623"/>
    </row>
    <row r="177" spans="1:7" ht="12.75">
      <c r="A177" s="414"/>
      <c r="B177" s="414"/>
      <c r="C177" s="298"/>
      <c r="D177" s="1629" t="s">
        <v>1539</v>
      </c>
      <c r="E177" s="1629"/>
      <c r="F177" s="1629"/>
    </row>
    <row r="178" spans="1:7" ht="12.75">
      <c r="A178" s="415"/>
      <c r="B178" s="415"/>
      <c r="C178" s="299"/>
      <c r="D178" s="282"/>
      <c r="E178" s="282"/>
      <c r="F178" s="282"/>
    </row>
    <row r="179" spans="1:7" ht="14.25">
      <c r="A179" s="413"/>
      <c r="B179" s="924" t="s">
        <v>1498</v>
      </c>
      <c r="C179" s="302"/>
      <c r="D179" s="1630" t="s">
        <v>1897</v>
      </c>
      <c r="E179" s="1614"/>
      <c r="F179" s="1614"/>
      <c r="G179" s="288"/>
    </row>
    <row r="180" spans="1:7" ht="14.25">
      <c r="A180" s="413"/>
      <c r="B180" s="417"/>
      <c r="C180" s="302"/>
      <c r="D180" s="1241"/>
      <c r="E180" s="1240"/>
      <c r="F180" s="1240"/>
      <c r="G180" s="288"/>
    </row>
    <row r="181" spans="1:7" ht="14.25">
      <c r="A181" s="413"/>
      <c r="B181" s="924" t="s">
        <v>134</v>
      </c>
      <c r="C181" s="302"/>
      <c r="D181" s="1614" t="s">
        <v>1692</v>
      </c>
      <c r="E181" s="1614"/>
      <c r="F181" s="1614"/>
      <c r="G181" s="288"/>
    </row>
    <row r="182" spans="1:7" ht="14.25">
      <c r="A182" s="413"/>
      <c r="B182" s="417"/>
      <c r="C182" s="302"/>
      <c r="D182" s="1240"/>
      <c r="E182" s="1240"/>
      <c r="F182" s="1240"/>
      <c r="G182" s="288"/>
    </row>
    <row r="183" spans="1:7" ht="14.25">
      <c r="A183" s="413"/>
      <c r="B183" s="1242" t="s">
        <v>134</v>
      </c>
      <c r="C183" s="302"/>
      <c r="D183" s="1633" t="s">
        <v>1980</v>
      </c>
      <c r="E183" s="1633"/>
      <c r="F183" s="1633"/>
      <c r="G183" s="288"/>
    </row>
    <row r="184" spans="1:7" ht="13.7" customHeight="1">
      <c r="A184" s="413"/>
      <c r="B184" s="417"/>
      <c r="C184" s="302"/>
      <c r="D184" s="1244" t="s">
        <v>982</v>
      </c>
      <c r="E184" s="1528" t="s">
        <v>1982</v>
      </c>
      <c r="F184" s="1528"/>
      <c r="G184" s="288"/>
    </row>
    <row r="185" spans="1:7" ht="14.25">
      <c r="A185" s="413"/>
      <c r="B185" s="417"/>
      <c r="C185" s="302"/>
      <c r="D185" s="1243"/>
      <c r="E185" s="1528"/>
      <c r="F185" s="1528"/>
      <c r="G185" s="288"/>
    </row>
    <row r="186" spans="1:7" ht="14.25">
      <c r="A186" s="413"/>
      <c r="B186" s="417"/>
      <c r="C186" s="302"/>
      <c r="D186" s="1243"/>
      <c r="E186" s="1528"/>
      <c r="F186" s="1528"/>
      <c r="G186" s="288"/>
    </row>
    <row r="187" spans="1:7" ht="14.25">
      <c r="A187" s="413"/>
      <c r="B187" s="417"/>
      <c r="C187" s="302"/>
      <c r="D187" s="2"/>
      <c r="E187" s="1528"/>
      <c r="F187" s="1528"/>
      <c r="G187" s="288"/>
    </row>
    <row r="188" spans="1:7" ht="13.7" customHeight="1">
      <c r="A188" s="413"/>
      <c r="B188" s="417"/>
      <c r="C188" s="302"/>
      <c r="D188" s="1243" t="s">
        <v>983</v>
      </c>
      <c r="E188" s="1593" t="s">
        <v>1981</v>
      </c>
      <c r="F188" s="1593"/>
      <c r="G188" s="288"/>
    </row>
    <row r="189" spans="1:7" ht="13.7" customHeight="1">
      <c r="A189" s="413"/>
      <c r="B189" s="417"/>
      <c r="C189" s="302"/>
      <c r="D189" s="1243"/>
      <c r="E189" s="1593"/>
      <c r="F189" s="1593"/>
      <c r="G189" s="288"/>
    </row>
    <row r="190" spans="1:7" ht="13.7" customHeight="1">
      <c r="A190" s="413"/>
      <c r="B190" s="417"/>
      <c r="C190" s="302"/>
      <c r="D190" s="1243"/>
      <c r="E190" s="1593"/>
      <c r="F190" s="1593"/>
      <c r="G190" s="288"/>
    </row>
    <row r="191" spans="1:7" ht="13.7" customHeight="1">
      <c r="A191" s="413"/>
      <c r="B191" s="417"/>
      <c r="C191" s="302"/>
      <c r="D191" s="1243"/>
      <c r="E191" s="1593"/>
      <c r="F191" s="1593"/>
      <c r="G191" s="288"/>
    </row>
    <row r="192" spans="1:7" ht="13.7" customHeight="1">
      <c r="A192" s="413"/>
      <c r="B192" s="417"/>
      <c r="C192" s="302"/>
      <c r="D192" s="1243"/>
      <c r="E192" s="1593"/>
      <c r="F192" s="1593"/>
      <c r="G192" s="288"/>
    </row>
    <row r="193" spans="1:7" ht="14.25">
      <c r="A193" s="413"/>
      <c r="B193" s="417"/>
      <c r="C193" s="302"/>
      <c r="D193" s="2"/>
      <c r="E193" s="1593"/>
      <c r="F193" s="1593"/>
      <c r="G193" s="288"/>
    </row>
    <row r="194" spans="1:7" ht="14.25">
      <c r="A194" s="413"/>
      <c r="B194" s="417"/>
      <c r="C194" s="302"/>
      <c r="D194" s="2"/>
      <c r="E194" s="1593"/>
      <c r="F194" s="1593"/>
      <c r="G194" s="288"/>
    </row>
    <row r="195" spans="1:7" ht="12.75">
      <c r="A195" s="417"/>
      <c r="B195" s="417"/>
      <c r="C195" s="302"/>
      <c r="D195" s="282"/>
      <c r="E195" s="283"/>
      <c r="F195" s="283"/>
      <c r="G195" s="288"/>
    </row>
    <row r="196" spans="1:7" ht="14.25">
      <c r="A196" s="413"/>
      <c r="B196" s="924" t="s">
        <v>134</v>
      </c>
      <c r="C196" s="302"/>
      <c r="D196" s="1535" t="s">
        <v>1693</v>
      </c>
      <c r="E196" s="1535"/>
      <c r="F196" s="1535"/>
      <c r="G196" s="288"/>
    </row>
    <row r="197" spans="1:7" ht="14.25">
      <c r="A197" s="413"/>
      <c r="B197" s="413"/>
      <c r="C197" s="302"/>
      <c r="D197" s="1535"/>
      <c r="E197" s="1535"/>
      <c r="F197" s="1535"/>
      <c r="G197" s="288"/>
    </row>
    <row r="198" spans="1:7" ht="14.25">
      <c r="A198" s="413"/>
      <c r="B198" s="413"/>
      <c r="C198" s="302"/>
      <c r="D198" s="1535"/>
      <c r="E198" s="1535"/>
      <c r="F198" s="1535"/>
      <c r="G198" s="288"/>
    </row>
    <row r="199" spans="1:7" ht="14.25">
      <c r="A199" s="413"/>
      <c r="B199" s="413"/>
      <c r="C199" s="302"/>
      <c r="D199" s="1535"/>
      <c r="E199" s="1535"/>
      <c r="F199" s="1535"/>
      <c r="G199" s="288"/>
    </row>
    <row r="200" spans="1:7" ht="12.75">
      <c r="A200" s="417"/>
      <c r="B200" s="417"/>
      <c r="C200" s="302"/>
      <c r="D200" s="1632" t="s">
        <v>2333</v>
      </c>
      <c r="E200" s="1632"/>
      <c r="F200" s="1632"/>
      <c r="G200" s="288"/>
    </row>
    <row r="201" spans="1:7" ht="12.75">
      <c r="A201" s="417"/>
      <c r="B201" s="417"/>
      <c r="C201" s="302"/>
      <c r="D201" s="961"/>
      <c r="E201" s="961"/>
      <c r="F201" s="961"/>
      <c r="G201" s="288"/>
    </row>
    <row r="202" spans="1:7" ht="14.25">
      <c r="A202" s="413"/>
      <c r="B202" s="924" t="s">
        <v>134</v>
      </c>
      <c r="C202" s="302"/>
      <c r="D202" s="1631" t="s">
        <v>1694</v>
      </c>
      <c r="E202" s="1631"/>
      <c r="F202" s="1631"/>
      <c r="G202" s="288"/>
    </row>
    <row r="203" spans="1:7" ht="12.75">
      <c r="A203" s="417"/>
      <c r="B203" s="417"/>
      <c r="C203" s="302"/>
      <c r="D203" s="283"/>
      <c r="E203" s="283"/>
      <c r="F203" s="283"/>
      <c r="G203" s="288"/>
    </row>
    <row r="204" spans="1:7" ht="12.75">
      <c r="A204" s="1567" t="s">
        <v>1507</v>
      </c>
      <c r="B204" s="1567"/>
      <c r="C204" s="1567"/>
      <c r="D204" s="1567"/>
      <c r="E204" s="1567"/>
      <c r="F204" s="1567"/>
      <c r="G204" s="1567"/>
    </row>
    <row r="205" spans="1:7" ht="12.75">
      <c r="A205" s="417"/>
      <c r="B205" s="417"/>
      <c r="C205" s="302"/>
      <c r="D205" s="282"/>
      <c r="E205" s="283"/>
      <c r="F205" s="283"/>
      <c r="G205" s="288"/>
    </row>
    <row r="206" spans="1:7" ht="12.75">
      <c r="A206" s="140"/>
      <c r="B206" s="140"/>
      <c r="C206" s="901"/>
      <c r="D206" s="1583" t="s">
        <v>1506</v>
      </c>
      <c r="E206" s="1583"/>
      <c r="F206" s="1583"/>
      <c r="G206" s="288"/>
    </row>
    <row r="207" spans="1:7" ht="12.75">
      <c r="A207" s="902"/>
      <c r="B207" s="902"/>
      <c r="C207" s="901"/>
      <c r="D207" s="1583" t="s">
        <v>758</v>
      </c>
      <c r="E207" s="1583"/>
      <c r="F207" s="1583"/>
      <c r="G207" s="288"/>
    </row>
    <row r="208" spans="1:7" ht="12.75">
      <c r="A208" s="414"/>
      <c r="B208" s="414"/>
      <c r="C208" s="298"/>
      <c r="D208" s="1614" t="s">
        <v>1540</v>
      </c>
      <c r="E208" s="1614"/>
      <c r="F208" s="1614"/>
      <c r="G208" s="288"/>
    </row>
    <row r="209" spans="1:7" ht="12.75">
      <c r="A209" s="414"/>
      <c r="B209" s="414"/>
      <c r="C209" s="298"/>
      <c r="D209" s="283"/>
      <c r="E209" s="283"/>
      <c r="F209" s="283"/>
      <c r="G209" s="288"/>
    </row>
    <row r="210" spans="1:7" ht="12.75">
      <c r="A210" s="414"/>
      <c r="B210" s="414"/>
      <c r="C210" s="298"/>
      <c r="D210" s="1590" t="s">
        <v>1550</v>
      </c>
      <c r="E210" s="1590"/>
      <c r="F210" s="1590"/>
      <c r="G210" s="288"/>
    </row>
    <row r="211" spans="1:7" ht="12.75">
      <c r="A211" s="414"/>
      <c r="B211" s="414"/>
      <c r="C211" s="298"/>
      <c r="D211" s="1590"/>
      <c r="E211" s="1590"/>
      <c r="F211" s="1590"/>
      <c r="G211" s="288"/>
    </row>
    <row r="212" spans="1:7" ht="12.75">
      <c r="A212" s="414"/>
      <c r="B212" s="414"/>
      <c r="C212" s="298"/>
      <c r="D212" s="1590"/>
      <c r="E212" s="1590"/>
      <c r="F212" s="1590"/>
      <c r="G212" s="288"/>
    </row>
    <row r="213" spans="1:7" ht="12.75">
      <c r="A213" s="414"/>
      <c r="B213" s="414"/>
      <c r="C213" s="298"/>
      <c r="D213" s="1590"/>
      <c r="E213" s="1590"/>
      <c r="F213" s="1590"/>
      <c r="G213" s="288"/>
    </row>
    <row r="214" spans="1:7" ht="12.75">
      <c r="A214" s="414"/>
      <c r="B214" s="414"/>
      <c r="C214" s="298"/>
      <c r="D214" s="288"/>
      <c r="E214" s="283"/>
      <c r="F214" s="283"/>
      <c r="G214" s="288"/>
    </row>
    <row r="215" spans="1:7" ht="12.75">
      <c r="A215" s="414"/>
      <c r="B215" s="414"/>
      <c r="C215" s="298"/>
      <c r="D215" s="1589" t="s">
        <v>1984</v>
      </c>
      <c r="E215" s="1590"/>
      <c r="F215" s="1590"/>
      <c r="G215" s="288"/>
    </row>
    <row r="216" spans="1:7" ht="12.75">
      <c r="A216" s="414"/>
      <c r="B216" s="414"/>
      <c r="C216" s="298"/>
      <c r="D216" s="1590"/>
      <c r="E216" s="1590"/>
      <c r="F216" s="1590"/>
      <c r="G216" s="288"/>
    </row>
    <row r="217" spans="1:7" ht="12.75">
      <c r="A217" s="414"/>
      <c r="B217" s="414"/>
      <c r="C217" s="298"/>
      <c r="D217" s="1590"/>
      <c r="E217" s="1590"/>
      <c r="F217" s="1590"/>
      <c r="G217" s="288"/>
    </row>
    <row r="218" spans="1:7" ht="12.75">
      <c r="A218" s="414"/>
      <c r="B218" s="414"/>
      <c r="C218" s="298"/>
      <c r="D218" s="1590"/>
      <c r="E218" s="1590"/>
      <c r="F218" s="1590"/>
      <c r="G218" s="288"/>
    </row>
    <row r="219" spans="1:7" ht="12.75">
      <c r="A219" s="414"/>
      <c r="B219" s="414"/>
      <c r="C219" s="298"/>
      <c r="D219" s="1590"/>
      <c r="E219" s="1590"/>
      <c r="F219" s="1590"/>
      <c r="G219" s="288"/>
    </row>
    <row r="220" spans="1:7" ht="12.75">
      <c r="A220" s="414"/>
      <c r="B220" s="414"/>
      <c r="C220" s="298"/>
      <c r="D220" s="1590"/>
      <c r="E220" s="1590"/>
      <c r="F220" s="1590"/>
      <c r="G220" s="288"/>
    </row>
    <row r="221" spans="1:7" ht="12.75">
      <c r="A221" s="415"/>
      <c r="B221" s="415"/>
      <c r="C221" s="299"/>
      <c r="D221" s="282"/>
      <c r="E221" s="283"/>
      <c r="F221" s="283"/>
      <c r="G221" s="288"/>
    </row>
    <row r="222" spans="1:7" ht="14.45" customHeight="1">
      <c r="A222" s="413"/>
      <c r="B222" s="924" t="s">
        <v>134</v>
      </c>
      <c r="C222" s="299"/>
      <c r="D222" s="1561" t="s">
        <v>320</v>
      </c>
      <c r="E222" s="1561"/>
      <c r="F222" s="1561"/>
      <c r="G222" s="288"/>
    </row>
    <row r="223" spans="1:7" ht="14.25">
      <c r="A223" s="413"/>
      <c r="B223" s="14"/>
      <c r="C223" s="299"/>
      <c r="D223" s="1566" t="s">
        <v>1198</v>
      </c>
      <c r="E223" s="1566"/>
      <c r="F223" s="1566"/>
      <c r="G223" s="288"/>
    </row>
    <row r="224" spans="1:7" ht="14.25">
      <c r="A224" s="413"/>
      <c r="B224" s="413"/>
      <c r="C224" s="299"/>
      <c r="D224" s="930" t="s">
        <v>1557</v>
      </c>
      <c r="E224" s="1578" t="s">
        <v>2301</v>
      </c>
      <c r="F224" s="1578"/>
      <c r="G224" s="288"/>
    </row>
    <row r="225" spans="1:7" ht="12.75">
      <c r="A225" s="417"/>
      <c r="B225" s="417"/>
      <c r="C225" s="302"/>
      <c r="D225" s="1565" t="s">
        <v>1533</v>
      </c>
      <c r="E225" s="1566"/>
      <c r="F225" s="1566"/>
      <c r="G225" s="288"/>
    </row>
    <row r="226" spans="1:7" ht="12.75">
      <c r="A226" s="417"/>
      <c r="B226" s="417"/>
      <c r="C226" s="302"/>
      <c r="D226" s="283"/>
      <c r="E226" s="283"/>
      <c r="F226" s="283"/>
      <c r="G226" s="288"/>
    </row>
    <row r="227" spans="1:7" ht="14.25">
      <c r="A227" s="413"/>
      <c r="B227" s="924" t="s">
        <v>134</v>
      </c>
      <c r="C227" s="302"/>
      <c r="D227" s="1566" t="s">
        <v>321</v>
      </c>
      <c r="E227" s="1566"/>
      <c r="F227" s="1566"/>
      <c r="G227" s="288"/>
    </row>
    <row r="228" spans="1:7" ht="14.25">
      <c r="A228" s="413"/>
      <c r="B228" s="14"/>
      <c r="C228" s="302"/>
      <c r="D228" s="1561" t="s">
        <v>1198</v>
      </c>
      <c r="E228" s="1561"/>
      <c r="F228" s="1561"/>
      <c r="G228" s="288"/>
    </row>
    <row r="229" spans="1:7" ht="14.25">
      <c r="A229" s="413"/>
      <c r="B229" s="413"/>
      <c r="C229" s="302"/>
      <c r="D229" s="300" t="s">
        <v>1558</v>
      </c>
      <c r="E229" s="1578" t="s">
        <v>2302</v>
      </c>
      <c r="F229" s="1578"/>
      <c r="G229" s="288"/>
    </row>
    <row r="230" spans="1:7" ht="12.75">
      <c r="A230" s="417"/>
      <c r="B230" s="417"/>
      <c r="C230" s="302"/>
      <c r="D230" s="1566" t="s">
        <v>1534</v>
      </c>
      <c r="E230" s="1566"/>
      <c r="F230" s="1566"/>
      <c r="G230" s="288"/>
    </row>
    <row r="231" spans="1:7" ht="12.75">
      <c r="A231" s="417"/>
      <c r="B231" s="417"/>
      <c r="C231" s="302"/>
      <c r="D231" s="283"/>
      <c r="E231" s="283"/>
      <c r="F231" s="283"/>
      <c r="G231" s="288"/>
    </row>
    <row r="232" spans="1:7" ht="14.25">
      <c r="A232" s="413"/>
      <c r="B232" s="924" t="s">
        <v>1498</v>
      </c>
      <c r="C232" s="302"/>
      <c r="D232" s="1566" t="s">
        <v>702</v>
      </c>
      <c r="E232" s="1566"/>
      <c r="F232" s="1566"/>
      <c r="G232" s="288"/>
    </row>
    <row r="233" spans="1:7" ht="14.25">
      <c r="A233" s="413"/>
      <c r="B233" s="14"/>
      <c r="C233" s="302"/>
      <c r="D233" s="287" t="s">
        <v>1198</v>
      </c>
      <c r="E233" s="283"/>
      <c r="F233" s="283"/>
      <c r="G233" s="288"/>
    </row>
    <row r="234" spans="1:7" ht="14.25">
      <c r="A234" s="413"/>
      <c r="B234" s="413"/>
      <c r="C234" s="302"/>
      <c r="D234" s="300" t="s">
        <v>1557</v>
      </c>
      <c r="E234" s="1578" t="s">
        <v>2303</v>
      </c>
      <c r="F234" s="1578"/>
      <c r="G234" s="288"/>
    </row>
    <row r="235" spans="1:7" ht="14.25">
      <c r="A235" s="413"/>
      <c r="B235" s="413"/>
      <c r="C235" s="302"/>
      <c r="D235" s="1559" t="s">
        <v>1560</v>
      </c>
      <c r="E235" s="1559"/>
      <c r="F235" s="1559"/>
      <c r="G235" s="288"/>
    </row>
    <row r="236" spans="1:7" ht="12.75">
      <c r="A236" s="417"/>
      <c r="B236" s="417"/>
      <c r="C236" s="302"/>
      <c r="D236" s="1559"/>
      <c r="E236" s="1559"/>
      <c r="F236" s="1559"/>
      <c r="G236" s="288"/>
    </row>
    <row r="237" spans="1:7" ht="12.75">
      <c r="A237" s="417"/>
      <c r="B237" s="417"/>
      <c r="C237" s="302"/>
      <c r="D237" s="1559"/>
      <c r="E237" s="1559"/>
      <c r="F237" s="1559"/>
      <c r="G237" s="288"/>
    </row>
    <row r="238" spans="1:7" ht="12.75">
      <c r="A238" s="417"/>
      <c r="B238" s="417"/>
      <c r="C238" s="302"/>
      <c r="D238" s="1559"/>
      <c r="E238" s="1559"/>
      <c r="F238" s="1559"/>
      <c r="G238" s="288"/>
    </row>
    <row r="239" spans="1:7" ht="12.75">
      <c r="A239" s="417"/>
      <c r="B239" s="417"/>
      <c r="C239" s="302"/>
      <c r="D239" s="1559"/>
      <c r="E239" s="1559"/>
      <c r="F239" s="1559"/>
      <c r="G239" s="288"/>
    </row>
    <row r="240" spans="1:7" ht="12.75">
      <c r="A240" s="417"/>
      <c r="B240" s="417"/>
      <c r="C240" s="302"/>
      <c r="D240" s="1559" t="s">
        <v>1535</v>
      </c>
      <c r="E240" s="1559"/>
      <c r="F240" s="1559"/>
      <c r="G240" s="288"/>
    </row>
    <row r="241" spans="1:7" ht="12.75">
      <c r="A241" s="417"/>
      <c r="B241" s="417"/>
      <c r="C241" s="302"/>
      <c r="D241" s="287"/>
      <c r="E241" s="283"/>
      <c r="F241" s="283"/>
      <c r="G241" s="288"/>
    </row>
    <row r="242" spans="1:7" ht="14.25">
      <c r="A242" s="413"/>
      <c r="B242" s="924" t="s">
        <v>134</v>
      </c>
      <c r="C242" s="302"/>
      <c r="D242" s="1566" t="s">
        <v>703</v>
      </c>
      <c r="E242" s="1566"/>
      <c r="F242" s="1566"/>
      <c r="G242" s="288"/>
    </row>
    <row r="243" spans="1:7" ht="14.25">
      <c r="A243" s="413"/>
      <c r="B243" s="14"/>
      <c r="C243" s="302"/>
      <c r="D243" s="1566" t="s">
        <v>1198</v>
      </c>
      <c r="E243" s="1566"/>
      <c r="F243" s="1566"/>
      <c r="G243" s="288"/>
    </row>
    <row r="244" spans="1:7" ht="14.25">
      <c r="A244" s="413"/>
      <c r="B244" s="413"/>
      <c r="C244" s="302"/>
      <c r="D244" s="300" t="s">
        <v>1557</v>
      </c>
      <c r="E244" s="1578" t="s">
        <v>2304</v>
      </c>
      <c r="F244" s="1578"/>
      <c r="G244" s="288"/>
    </row>
    <row r="245" spans="1:7" ht="12.75">
      <c r="A245" s="417"/>
      <c r="B245" s="417"/>
      <c r="C245" s="302"/>
      <c r="D245" s="1565" t="s">
        <v>2133</v>
      </c>
      <c r="E245" s="1566"/>
      <c r="F245" s="1566"/>
      <c r="G245" s="288"/>
    </row>
    <row r="246" spans="1:7" ht="12.75">
      <c r="A246" s="417"/>
      <c r="B246" s="417"/>
      <c r="C246" s="302"/>
      <c r="D246" s="1325"/>
      <c r="E246" s="1325"/>
      <c r="F246" s="1325"/>
      <c r="G246" s="288"/>
    </row>
    <row r="247" spans="1:7" ht="14.25">
      <c r="A247" s="413"/>
      <c r="B247" s="1327" t="s">
        <v>134</v>
      </c>
      <c r="C247" s="302"/>
      <c r="D247" s="1565" t="s">
        <v>2132</v>
      </c>
      <c r="E247" s="1566"/>
      <c r="F247" s="1566"/>
      <c r="G247" s="288"/>
    </row>
    <row r="248" spans="1:7" ht="14.25">
      <c r="A248" s="413"/>
      <c r="B248" s="14"/>
      <c r="C248" s="302"/>
      <c r="D248" s="1566" t="s">
        <v>1198</v>
      </c>
      <c r="E248" s="1566"/>
      <c r="F248" s="1566"/>
      <c r="G248" s="288"/>
    </row>
    <row r="249" spans="1:7" ht="14.25">
      <c r="A249" s="413"/>
      <c r="B249" s="413"/>
      <c r="C249" s="302"/>
      <c r="D249" s="1326" t="s">
        <v>1557</v>
      </c>
      <c r="E249" s="1578" t="s">
        <v>2305</v>
      </c>
      <c r="F249" s="1578"/>
      <c r="G249" s="288"/>
    </row>
    <row r="250" spans="1:7" ht="12.75">
      <c r="A250" s="417"/>
      <c r="B250" s="417"/>
      <c r="C250" s="302"/>
      <c r="D250" s="1565" t="s">
        <v>2134</v>
      </c>
      <c r="E250" s="1566"/>
      <c r="F250" s="1566"/>
      <c r="G250" s="288"/>
    </row>
    <row r="251" spans="1:7" ht="12.75">
      <c r="A251" s="417"/>
      <c r="B251" s="417"/>
      <c r="C251" s="302"/>
      <c r="D251" s="403"/>
      <c r="E251" s="288"/>
      <c r="F251" s="288"/>
      <c r="G251" s="288"/>
    </row>
    <row r="252" spans="1:7" ht="14.25">
      <c r="A252" s="413"/>
      <c r="B252" s="924" t="s">
        <v>134</v>
      </c>
      <c r="D252" s="934" t="s">
        <v>1584</v>
      </c>
      <c r="E252" s="934"/>
      <c r="F252" s="934"/>
    </row>
    <row r="253" spans="1:7" ht="14.25">
      <c r="A253" s="413"/>
      <c r="B253" s="2"/>
      <c r="D253" s="1593" t="s">
        <v>1919</v>
      </c>
      <c r="E253" s="1559"/>
      <c r="F253" s="1559"/>
    </row>
    <row r="254" spans="1:7" ht="14.25">
      <c r="A254" s="413"/>
      <c r="B254" s="417"/>
      <c r="D254" s="1559"/>
      <c r="E254" s="1559"/>
      <c r="F254" s="1559"/>
    </row>
    <row r="255" spans="1:7" ht="14.25">
      <c r="A255" s="413"/>
      <c r="B255" s="417"/>
      <c r="D255" s="1559"/>
      <c r="E255" s="1559"/>
      <c r="F255" s="1559"/>
    </row>
    <row r="256" spans="1:7" ht="14.25">
      <c r="A256" s="413"/>
      <c r="B256" s="417"/>
      <c r="D256" s="933"/>
      <c r="E256" s="933"/>
      <c r="F256" s="933"/>
    </row>
    <row r="257" spans="1:7" ht="14.25">
      <c r="A257" s="413"/>
      <c r="B257" s="924" t="s">
        <v>134</v>
      </c>
      <c r="D257" s="1615" t="s">
        <v>1105</v>
      </c>
      <c r="E257" s="1615"/>
      <c r="F257" s="1615"/>
    </row>
    <row r="258" spans="1:7" ht="14.25">
      <c r="A258" s="413"/>
      <c r="B258" s="417"/>
      <c r="D258" s="934"/>
      <c r="E258" s="934"/>
      <c r="F258" s="934"/>
    </row>
    <row r="259" spans="1:7" ht="12.75">
      <c r="A259" s="1567" t="s">
        <v>1509</v>
      </c>
      <c r="B259" s="1567"/>
      <c r="C259" s="1567"/>
      <c r="D259" s="1567"/>
      <c r="E259" s="1567"/>
      <c r="F259" s="1567"/>
      <c r="G259" s="1567"/>
    </row>
    <row r="260" spans="1:7" ht="12.75">
      <c r="A260" s="140"/>
      <c r="B260" s="140"/>
      <c r="C260" s="14"/>
      <c r="D260" s="287"/>
      <c r="E260" s="282"/>
      <c r="F260" s="282"/>
    </row>
    <row r="261" spans="1:7" ht="12.75">
      <c r="A261" s="140"/>
      <c r="B261" s="140"/>
      <c r="C261" s="900"/>
      <c r="D261" s="1568" t="s">
        <v>1508</v>
      </c>
      <c r="E261" s="1568"/>
      <c r="F261" s="1568"/>
    </row>
    <row r="262" spans="1:7" ht="12.75">
      <c r="A262" s="414"/>
      <c r="B262" s="414"/>
      <c r="C262" s="298"/>
      <c r="D262" s="1561" t="s">
        <v>1541</v>
      </c>
      <c r="E262" s="1561"/>
      <c r="F262" s="1561"/>
    </row>
    <row r="263" spans="1:7" ht="12.75">
      <c r="A263" s="33"/>
      <c r="B263" s="33"/>
      <c r="C263" s="320"/>
      <c r="D263" s="6"/>
      <c r="E263" s="282"/>
      <c r="F263" s="282"/>
    </row>
    <row r="264" spans="1:7" ht="12.75">
      <c r="A264" s="33"/>
      <c r="B264" s="14"/>
      <c r="C264" s="320"/>
      <c r="D264" s="1568" t="s">
        <v>230</v>
      </c>
      <c r="E264" s="1568"/>
      <c r="F264" s="1568"/>
      <c r="G264" s="2"/>
    </row>
    <row r="265" spans="1:7" ht="14.45" customHeight="1">
      <c r="A265" s="413"/>
      <c r="B265" s="1343" t="s">
        <v>1498</v>
      </c>
      <c r="C265" s="1437"/>
      <c r="D265" s="1585" t="s">
        <v>2226</v>
      </c>
      <c r="E265" s="1585"/>
      <c r="F265" s="1585"/>
      <c r="G265" s="2"/>
    </row>
    <row r="266" spans="1:7" ht="14.25">
      <c r="A266" s="413"/>
      <c r="B266" s="1438"/>
      <c r="C266" s="1437"/>
      <c r="D266" s="1585"/>
      <c r="E266" s="1585"/>
      <c r="F266" s="1585"/>
      <c r="G266" s="2"/>
    </row>
    <row r="267" spans="1:7" ht="14.25">
      <c r="A267" s="413"/>
      <c r="B267" s="1438"/>
      <c r="C267" s="1437"/>
      <c r="D267" s="1585"/>
      <c r="E267" s="1585"/>
      <c r="F267" s="1585"/>
      <c r="G267" s="2"/>
    </row>
    <row r="268" spans="1:7" ht="14.45" customHeight="1">
      <c r="A268" s="413"/>
      <c r="B268" s="1438"/>
      <c r="C268" s="1437"/>
      <c r="D268" s="1585"/>
      <c r="E268" s="1585"/>
      <c r="F268" s="1585"/>
      <c r="G268" s="2"/>
    </row>
    <row r="269" spans="1:7" ht="14.25">
      <c r="A269" s="413"/>
      <c r="B269" s="1438"/>
      <c r="C269" s="1437"/>
      <c r="D269" s="1439"/>
      <c r="E269" s="1439"/>
      <c r="F269" s="1439"/>
      <c r="G269" s="2"/>
    </row>
    <row r="270" spans="1:7" ht="14.25">
      <c r="A270" s="413"/>
      <c r="B270" s="1343" t="s">
        <v>1498</v>
      </c>
      <c r="C270" s="1437"/>
      <c r="D270" s="1585" t="s">
        <v>2227</v>
      </c>
      <c r="E270" s="1585"/>
      <c r="F270" s="1585"/>
      <c r="G270" s="2"/>
    </row>
    <row r="271" spans="1:7" ht="14.25">
      <c r="A271" s="413"/>
      <c r="B271" s="1438"/>
      <c r="C271" s="1437"/>
      <c r="D271" s="1585"/>
      <c r="E271" s="1585"/>
      <c r="F271" s="1585"/>
      <c r="G271" s="2"/>
    </row>
    <row r="272" spans="1:7" ht="14.25">
      <c r="A272" s="413"/>
      <c r="B272" s="1438"/>
      <c r="C272" s="1437"/>
      <c r="D272" s="1585"/>
      <c r="E272" s="1585"/>
      <c r="F272" s="1585"/>
      <c r="G272" s="2"/>
    </row>
    <row r="273" spans="1:7" ht="14.25">
      <c r="A273" s="413"/>
      <c r="B273" s="1438"/>
      <c r="C273" s="1437"/>
      <c r="D273" s="1585"/>
      <c r="E273" s="1585"/>
      <c r="F273" s="1585"/>
      <c r="G273" s="2"/>
    </row>
    <row r="274" spans="1:7" ht="14.25">
      <c r="A274" s="413"/>
      <c r="B274" s="1438"/>
      <c r="C274" s="1437"/>
      <c r="D274" s="1585"/>
      <c r="E274" s="1585"/>
      <c r="F274" s="1585"/>
      <c r="G274" s="2"/>
    </row>
    <row r="275" spans="1:7" ht="14.25">
      <c r="A275" s="413"/>
      <c r="B275" s="1438"/>
      <c r="C275" s="1437"/>
      <c r="D275" s="1439"/>
      <c r="E275" s="1439"/>
      <c r="F275" s="1439"/>
      <c r="G275" s="2"/>
    </row>
    <row r="276" spans="1:7" ht="14.25">
      <c r="A276" s="413"/>
      <c r="B276" s="1438"/>
      <c r="C276" s="1437"/>
      <c r="D276" s="1585" t="s">
        <v>1703</v>
      </c>
      <c r="E276" s="1585"/>
      <c r="F276" s="1585"/>
      <c r="G276" s="2"/>
    </row>
    <row r="277" spans="1:7" ht="14.25">
      <c r="A277" s="413"/>
      <c r="B277" s="1438"/>
      <c r="C277" s="1437"/>
      <c r="D277" s="1585"/>
      <c r="E277" s="1585"/>
      <c r="F277" s="1585"/>
      <c r="G277" s="2"/>
    </row>
    <row r="278" spans="1:7" ht="14.25">
      <c r="A278" s="413"/>
      <c r="B278" s="1438"/>
      <c r="C278" s="1437"/>
      <c r="D278" s="1585"/>
      <c r="E278" s="1585"/>
      <c r="F278" s="1585"/>
      <c r="G278" s="2"/>
    </row>
    <row r="279" spans="1:7" ht="14.25">
      <c r="A279" s="413"/>
      <c r="B279" s="1438"/>
      <c r="C279" s="1437"/>
      <c r="D279" s="1585"/>
      <c r="E279" s="1585"/>
      <c r="F279" s="1585"/>
      <c r="G279" s="2"/>
    </row>
    <row r="280" spans="1:7" ht="14.25">
      <c r="A280" s="413"/>
      <c r="B280" s="1438"/>
      <c r="C280" s="1437"/>
      <c r="D280" s="1585"/>
      <c r="E280" s="1585"/>
      <c r="F280" s="1585"/>
      <c r="G280" s="2"/>
    </row>
    <row r="281" spans="1:7" ht="14.25">
      <c r="A281" s="413"/>
      <c r="B281" s="413"/>
      <c r="C281" s="14"/>
      <c r="D281" s="954"/>
      <c r="E281" s="954"/>
      <c r="F281" s="954"/>
      <c r="G281" s="2"/>
    </row>
    <row r="282" spans="1:7" s="747" customFormat="1" ht="14.45" customHeight="1">
      <c r="A282" s="1313"/>
      <c r="B282" s="1312" t="s">
        <v>134</v>
      </c>
      <c r="C282" s="1314"/>
      <c r="D282" s="1579" t="s">
        <v>2127</v>
      </c>
      <c r="E282" s="1579"/>
      <c r="F282" s="1579"/>
      <c r="G282" s="1315"/>
    </row>
    <row r="283" spans="1:7" s="747" customFormat="1" ht="14.25">
      <c r="A283" s="1313"/>
      <c r="B283" s="1314"/>
      <c r="C283" s="1314"/>
      <c r="D283" s="1579"/>
      <c r="E283" s="1579"/>
      <c r="F283" s="1579"/>
      <c r="G283" s="1315"/>
    </row>
    <row r="284" spans="1:7" s="747" customFormat="1" ht="14.25">
      <c r="A284" s="1313"/>
      <c r="B284" s="1314"/>
      <c r="C284" s="1314"/>
      <c r="D284" s="1579"/>
      <c r="E284" s="1579"/>
      <c r="F284" s="1579"/>
      <c r="G284" s="1315"/>
    </row>
    <row r="285" spans="1:7" s="747" customFormat="1" ht="12.75">
      <c r="A285" s="1314"/>
      <c r="B285" s="1314"/>
      <c r="C285" s="1314"/>
      <c r="D285" s="1502"/>
      <c r="E285" s="1503" t="s">
        <v>2306</v>
      </c>
      <c r="F285" s="1502"/>
      <c r="G285" s="1315"/>
    </row>
    <row r="286" spans="1:7" ht="14.25">
      <c r="A286" s="413"/>
      <c r="B286" s="413"/>
      <c r="C286" s="14"/>
      <c r="D286" s="287"/>
      <c r="E286" s="2"/>
      <c r="F286" s="2"/>
      <c r="G286" s="2"/>
    </row>
    <row r="287" spans="1:7" ht="14.25">
      <c r="A287" s="413"/>
      <c r="B287" s="924" t="s">
        <v>1498</v>
      </c>
      <c r="C287" s="14"/>
      <c r="D287" s="1561" t="s">
        <v>1199</v>
      </c>
      <c r="E287" s="1561"/>
      <c r="F287" s="1561"/>
      <c r="G287" s="2"/>
    </row>
    <row r="288" spans="1:7" ht="14.25">
      <c r="A288" s="413"/>
      <c r="B288" s="413"/>
      <c r="C288" s="14"/>
      <c r="D288" s="1561" t="s">
        <v>1704</v>
      </c>
      <c r="E288" s="1561"/>
      <c r="F288" s="1561"/>
      <c r="G288" s="2"/>
    </row>
    <row r="289" spans="1:7" ht="14.25">
      <c r="A289" s="413"/>
      <c r="B289" s="413"/>
      <c r="C289" s="14"/>
      <c r="D289" s="963" t="s">
        <v>1129</v>
      </c>
      <c r="E289" s="1503" t="s">
        <v>2307</v>
      </c>
      <c r="F289" s="963"/>
    </row>
    <row r="290" spans="1:7" ht="12.75">
      <c r="A290" s="140"/>
      <c r="B290" s="140"/>
      <c r="C290" s="14"/>
      <c r="D290" s="321"/>
      <c r="E290" s="282"/>
      <c r="F290" s="282"/>
    </row>
    <row r="291" spans="1:7" ht="14.25">
      <c r="A291" s="413"/>
      <c r="B291" s="924" t="s">
        <v>1498</v>
      </c>
      <c r="C291" s="14"/>
      <c r="D291" s="1559" t="s">
        <v>1705</v>
      </c>
      <c r="E291" s="1559"/>
      <c r="F291" s="1559"/>
    </row>
    <row r="292" spans="1:7" ht="14.25">
      <c r="A292" s="413"/>
      <c r="B292" s="413"/>
      <c r="C292" s="14"/>
      <c r="D292" s="1559"/>
      <c r="E292" s="1559"/>
      <c r="F292" s="1559"/>
    </row>
    <row r="293" spans="1:7" ht="12.75">
      <c r="A293" s="140"/>
      <c r="B293" s="140"/>
      <c r="C293" s="14"/>
      <c r="D293" s="321"/>
      <c r="E293" s="282"/>
      <c r="F293" s="282"/>
    </row>
    <row r="294" spans="1:7" ht="12.75">
      <c r="A294" s="1567" t="s">
        <v>1511</v>
      </c>
      <c r="B294" s="1567"/>
      <c r="C294" s="1567"/>
      <c r="D294" s="1567"/>
      <c r="E294" s="1567"/>
      <c r="F294" s="1567"/>
      <c r="G294" s="1567"/>
    </row>
    <row r="295" spans="1:7" ht="12.75">
      <c r="A295" s="140"/>
      <c r="B295" s="140"/>
      <c r="C295" s="14"/>
      <c r="D295" s="321"/>
      <c r="E295" s="282"/>
      <c r="F295" s="282"/>
    </row>
    <row r="296" spans="1:7" ht="12.75">
      <c r="A296" s="140"/>
      <c r="B296" s="140"/>
      <c r="C296" s="900"/>
      <c r="D296" s="1568" t="s">
        <v>1510</v>
      </c>
      <c r="E296" s="1568"/>
      <c r="F296" s="1568"/>
    </row>
    <row r="297" spans="1:7" ht="12.75">
      <c r="A297" s="414"/>
      <c r="B297" s="414"/>
      <c r="C297" s="298"/>
      <c r="D297" s="287"/>
      <c r="E297" s="282"/>
      <c r="F297" s="282"/>
    </row>
    <row r="298" spans="1:7" ht="12.75">
      <c r="A298" s="415"/>
      <c r="B298" s="415"/>
      <c r="C298" s="299"/>
      <c r="D298" s="1568" t="s">
        <v>232</v>
      </c>
      <c r="E298" s="1568"/>
      <c r="F298" s="1568"/>
    </row>
    <row r="299" spans="1:7" ht="14.45" customHeight="1">
      <c r="A299" s="413"/>
      <c r="B299" s="924" t="s">
        <v>134</v>
      </c>
      <c r="C299" s="14"/>
      <c r="D299" s="1593" t="s">
        <v>2075</v>
      </c>
      <c r="E299" s="1559"/>
      <c r="F299" s="1559"/>
    </row>
    <row r="300" spans="1:7" ht="12.75">
      <c r="A300" s="140"/>
      <c r="B300" s="140"/>
      <c r="C300" s="14"/>
      <c r="D300" s="1559"/>
      <c r="E300" s="1559"/>
      <c r="F300" s="1559"/>
    </row>
    <row r="301" spans="1:7" ht="12.75">
      <c r="A301" s="140"/>
      <c r="B301" s="140"/>
      <c r="C301" s="14"/>
      <c r="D301" s="1559"/>
      <c r="E301" s="1559"/>
      <c r="F301" s="1559"/>
    </row>
    <row r="302" spans="1:7" ht="12.75">
      <c r="A302" s="1002"/>
      <c r="B302" s="1002"/>
      <c r="C302" s="14"/>
      <c r="D302" s="1311"/>
      <c r="E302" s="1311"/>
      <c r="F302" s="1311"/>
    </row>
    <row r="303" spans="1:7" s="747" customFormat="1" ht="14.45" customHeight="1">
      <c r="A303" s="1313"/>
      <c r="B303" s="1312" t="s">
        <v>134</v>
      </c>
      <c r="C303" s="1314"/>
      <c r="D303" s="1579" t="s">
        <v>2128</v>
      </c>
      <c r="E303" s="1579"/>
      <c r="F303" s="1579"/>
      <c r="G303" s="1315"/>
    </row>
    <row r="304" spans="1:7" s="747" customFormat="1" ht="12.75">
      <c r="A304" s="1314"/>
      <c r="B304" s="1314"/>
      <c r="C304" s="1314"/>
      <c r="D304" s="1579"/>
      <c r="E304" s="1579"/>
      <c r="F304" s="1579"/>
      <c r="G304" s="1315"/>
    </row>
    <row r="305" spans="1:7" s="747" customFormat="1" ht="12.75">
      <c r="A305" s="1314"/>
      <c r="B305" s="1314"/>
      <c r="C305" s="1314"/>
      <c r="D305" s="1579"/>
      <c r="E305" s="1579"/>
      <c r="F305" s="1579"/>
      <c r="G305" s="1315"/>
    </row>
    <row r="306" spans="1:7" s="747" customFormat="1" ht="12.75">
      <c r="A306" s="1314"/>
      <c r="B306" s="1314"/>
      <c r="C306" s="1314"/>
      <c r="E306" s="1504" t="s">
        <v>2308</v>
      </c>
      <c r="F306" s="1504"/>
      <c r="G306" s="1315"/>
    </row>
    <row r="307" spans="1:7" ht="12.75">
      <c r="A307" s="140"/>
      <c r="B307" s="140"/>
      <c r="C307" s="14"/>
      <c r="D307" s="332"/>
      <c r="E307" s="282"/>
      <c r="F307" s="282"/>
    </row>
    <row r="308" spans="1:7" ht="12.75">
      <c r="A308" s="1567" t="s">
        <v>1512</v>
      </c>
      <c r="B308" s="1567"/>
      <c r="C308" s="1567"/>
      <c r="D308" s="1567"/>
      <c r="E308" s="1567"/>
      <c r="F308" s="1567"/>
      <c r="G308" s="1567"/>
    </row>
    <row r="309" spans="1:7" ht="12.75">
      <c r="A309" s="140"/>
      <c r="B309" s="140"/>
      <c r="C309" s="14"/>
      <c r="D309" s="332"/>
      <c r="E309" s="282"/>
      <c r="F309" s="282"/>
    </row>
    <row r="310" spans="1:7" ht="12.75">
      <c r="A310" s="140"/>
      <c r="B310" s="140"/>
      <c r="C310" s="298"/>
      <c r="D310" s="1570" t="s">
        <v>1706</v>
      </c>
      <c r="E310" s="1570"/>
      <c r="F310" s="1570"/>
    </row>
    <row r="311" spans="1:7" ht="12.75">
      <c r="A311" s="140"/>
      <c r="B311" s="140"/>
      <c r="C311" s="298"/>
      <c r="D311" s="1570"/>
      <c r="E311" s="1570"/>
      <c r="F311" s="1570"/>
    </row>
    <row r="312" spans="1:7" ht="12.75">
      <c r="A312" s="415"/>
      <c r="B312" s="415"/>
      <c r="C312" s="299"/>
      <c r="D312" s="6"/>
      <c r="E312" s="282"/>
      <c r="F312" s="282"/>
    </row>
    <row r="313" spans="1:7" ht="12.75">
      <c r="A313" s="140"/>
      <c r="B313" s="140"/>
      <c r="C313" s="299"/>
      <c r="D313" s="1568" t="s">
        <v>177</v>
      </c>
      <c r="E313" s="1568"/>
      <c r="F313" s="1568"/>
    </row>
    <row r="314" spans="1:7" ht="14.25">
      <c r="A314" s="413"/>
      <c r="B314" s="413"/>
      <c r="C314" s="14"/>
      <c r="D314" s="1587" t="s">
        <v>1707</v>
      </c>
      <c r="E314" s="1587"/>
      <c r="F314" s="1587"/>
    </row>
    <row r="315" spans="1:7" ht="12" customHeight="1">
      <c r="A315" s="140"/>
      <c r="B315" s="140"/>
      <c r="C315" s="14"/>
      <c r="D315" s="282"/>
      <c r="E315" s="282"/>
      <c r="F315" s="282"/>
    </row>
    <row r="316" spans="1:7" ht="14.45" customHeight="1">
      <c r="A316" s="413"/>
      <c r="B316" s="924" t="s">
        <v>134</v>
      </c>
      <c r="C316" s="14"/>
      <c r="D316" s="1559" t="s">
        <v>1708</v>
      </c>
      <c r="E316" s="1559"/>
      <c r="F316" s="1559"/>
    </row>
    <row r="317" spans="1:7" ht="14.25">
      <c r="A317" s="413"/>
      <c r="B317" s="413"/>
      <c r="C317" s="14"/>
      <c r="D317" s="1559"/>
      <c r="E317" s="1559"/>
      <c r="F317" s="1559"/>
    </row>
    <row r="318" spans="1:7" ht="12.75">
      <c r="A318" s="140"/>
      <c r="B318" s="140"/>
      <c r="C318" s="14"/>
      <c r="D318" s="282"/>
      <c r="E318" s="282"/>
      <c r="F318" s="282"/>
    </row>
    <row r="319" spans="1:7" ht="14.45" customHeight="1">
      <c r="A319" s="413"/>
      <c r="B319" s="924" t="s">
        <v>134</v>
      </c>
      <c r="C319" s="14"/>
      <c r="D319" s="1557" t="s">
        <v>1709</v>
      </c>
      <c r="E319" s="1557"/>
      <c r="F319" s="1557"/>
    </row>
    <row r="320" spans="1:7" ht="14.25">
      <c r="A320" s="413"/>
      <c r="B320" s="413"/>
      <c r="C320" s="14"/>
      <c r="D320" s="1557"/>
      <c r="E320" s="1557"/>
      <c r="F320" s="1557"/>
    </row>
    <row r="321" spans="1:7" ht="14.25">
      <c r="A321" s="413"/>
      <c r="B321" s="413"/>
      <c r="C321" s="14"/>
      <c r="D321" s="1557"/>
      <c r="E321" s="1557"/>
      <c r="F321" s="1557"/>
    </row>
    <row r="322" spans="1:7" ht="12.75">
      <c r="A322" s="140"/>
      <c r="B322" s="140"/>
      <c r="C322" s="14"/>
      <c r="D322" s="143"/>
      <c r="E322"/>
      <c r="F322"/>
      <c r="G322"/>
    </row>
    <row r="323" spans="1:7" ht="14.25">
      <c r="A323" s="413"/>
      <c r="B323" s="924" t="s">
        <v>134</v>
      </c>
      <c r="C323" s="14"/>
      <c r="D323" s="1559" t="s">
        <v>1710</v>
      </c>
      <c r="E323" s="1559"/>
      <c r="F323" s="1559"/>
    </row>
    <row r="324" spans="1:7" ht="14.25">
      <c r="A324" s="413"/>
      <c r="B324" s="413"/>
      <c r="C324" s="14"/>
      <c r="D324" s="1559"/>
      <c r="E324" s="1559"/>
      <c r="F324" s="1559"/>
    </row>
    <row r="325" spans="1:7" ht="12.75">
      <c r="A325" s="33"/>
      <c r="B325" s="33"/>
      <c r="C325" s="14"/>
      <c r="D325" s="287"/>
      <c r="E325" s="282"/>
      <c r="F325" s="282"/>
    </row>
    <row r="326" spans="1:7" ht="12.75">
      <c r="A326" s="1567" t="s">
        <v>1499</v>
      </c>
      <c r="B326" s="1567"/>
      <c r="C326" s="1567"/>
      <c r="D326" s="1567"/>
      <c r="E326" s="1567"/>
      <c r="F326" s="1567"/>
      <c r="G326" s="1567"/>
    </row>
    <row r="327" spans="1:7" ht="12.75">
      <c r="A327" s="33"/>
      <c r="B327" s="33"/>
      <c r="C327" s="14"/>
      <c r="D327" s="287"/>
      <c r="E327" s="282"/>
      <c r="F327" s="282"/>
      <c r="G327" s="2"/>
    </row>
    <row r="328" spans="1:7" ht="12.75">
      <c r="A328" s="140"/>
      <c r="B328" s="140"/>
      <c r="C328" s="320"/>
      <c r="D328" s="1568" t="s">
        <v>178</v>
      </c>
      <c r="E328" s="1568"/>
      <c r="F328" s="1568"/>
      <c r="G328" s="2"/>
    </row>
    <row r="329" spans="1:7" ht="12.75">
      <c r="A329" s="140"/>
      <c r="B329" s="140"/>
      <c r="C329" s="320"/>
      <c r="D329" s="1561" t="s">
        <v>1542</v>
      </c>
      <c r="E329" s="1561"/>
      <c r="F329" s="1561"/>
      <c r="G329" s="2"/>
    </row>
    <row r="330" spans="1:7" ht="12.75">
      <c r="A330" s="140"/>
      <c r="B330" s="140"/>
      <c r="C330" s="320"/>
      <c r="D330" s="290"/>
      <c r="E330" s="282"/>
      <c r="F330" s="282"/>
      <c r="G330" s="2"/>
    </row>
    <row r="331" spans="1:7" ht="12.75">
      <c r="A331" s="140"/>
      <c r="B331" s="924" t="s">
        <v>134</v>
      </c>
      <c r="C331" s="14"/>
      <c r="D331" s="1561" t="s">
        <v>1711</v>
      </c>
      <c r="E331" s="1561"/>
      <c r="F331" s="1561"/>
      <c r="G331" s="2"/>
    </row>
    <row r="332" spans="1:7" ht="14.25">
      <c r="A332" s="552"/>
      <c r="B332" s="552"/>
      <c r="D332" s="680"/>
      <c r="G332" s="2"/>
    </row>
    <row r="333" spans="1:7" ht="14.25">
      <c r="A333" s="413"/>
      <c r="B333" s="924" t="s">
        <v>134</v>
      </c>
      <c r="C333" s="14"/>
      <c r="D333" s="1561" t="s">
        <v>1712</v>
      </c>
      <c r="E333" s="1561"/>
      <c r="F333" s="1561"/>
      <c r="G333" s="2"/>
    </row>
    <row r="334" spans="1:7" ht="12.75">
      <c r="A334" s="140"/>
      <c r="B334" s="140"/>
      <c r="C334" s="14"/>
      <c r="D334" s="282"/>
      <c r="E334" s="282"/>
      <c r="F334" s="282"/>
      <c r="G334" s="2"/>
    </row>
    <row r="335" spans="1:7" ht="14.45" customHeight="1">
      <c r="A335" s="413"/>
      <c r="B335" s="924" t="s">
        <v>134</v>
      </c>
      <c r="C335" s="14"/>
      <c r="D335" s="1557" t="s">
        <v>1718</v>
      </c>
      <c r="E335" s="1557"/>
      <c r="F335" s="1557"/>
      <c r="G335" s="2"/>
    </row>
    <row r="336" spans="1:7" ht="14.25">
      <c r="A336" s="413"/>
      <c r="B336" s="413"/>
      <c r="C336" s="14"/>
      <c r="D336" s="1557"/>
      <c r="E336" s="1557"/>
      <c r="F336" s="1557"/>
      <c r="G336" s="2"/>
    </row>
    <row r="337" spans="1:8" ht="14.25">
      <c r="A337" s="413"/>
      <c r="B337" s="413"/>
      <c r="C337" s="14"/>
      <c r="D337" s="1557"/>
      <c r="E337" s="1557"/>
      <c r="F337" s="1557"/>
      <c r="G337" s="2"/>
    </row>
    <row r="338" spans="1:8" ht="14.25">
      <c r="A338" s="413"/>
      <c r="B338" s="413"/>
      <c r="C338" s="14"/>
      <c r="D338" s="1557"/>
      <c r="E338" s="1557"/>
      <c r="F338" s="1557"/>
      <c r="G338" s="2"/>
    </row>
    <row r="339" spans="1:8" ht="14.25">
      <c r="A339" s="413"/>
      <c r="B339" s="413"/>
      <c r="C339" s="14"/>
      <c r="D339" s="1557"/>
      <c r="E339" s="1557"/>
      <c r="F339" s="1557"/>
      <c r="G339" s="2"/>
    </row>
    <row r="340" spans="1:8" ht="14.25">
      <c r="A340" s="413"/>
      <c r="B340" s="413"/>
      <c r="C340" s="14"/>
      <c r="D340" s="1557"/>
      <c r="E340" s="1557"/>
      <c r="F340" s="1557"/>
      <c r="G340" s="2"/>
    </row>
    <row r="341" spans="1:8" ht="14.25">
      <c r="A341" s="413"/>
      <c r="B341" s="413"/>
      <c r="C341" s="14"/>
      <c r="D341" s="1557"/>
      <c r="E341" s="1557"/>
      <c r="F341" s="1557"/>
      <c r="G341" s="2"/>
    </row>
    <row r="342" spans="1:8" ht="14.25">
      <c r="A342" s="413"/>
      <c r="B342" s="413"/>
      <c r="C342" s="14"/>
      <c r="D342" s="1557"/>
      <c r="E342" s="1557"/>
      <c r="F342" s="1557"/>
      <c r="G342" s="2"/>
    </row>
    <row r="343" spans="1:8" ht="14.25">
      <c r="A343" s="413"/>
      <c r="B343" s="413"/>
      <c r="C343" s="14"/>
      <c r="D343" s="1557"/>
      <c r="E343" s="1557"/>
      <c r="F343" s="1557"/>
    </row>
    <row r="344" spans="1:8" ht="14.25">
      <c r="A344" s="413"/>
      <c r="B344" s="413"/>
      <c r="C344" s="14"/>
      <c r="D344" s="1557"/>
      <c r="E344" s="1557"/>
      <c r="F344" s="1557"/>
    </row>
    <row r="345" spans="1:8" ht="14.25">
      <c r="A345" s="413"/>
      <c r="B345" s="413"/>
      <c r="C345" s="14"/>
      <c r="D345" s="1557"/>
      <c r="E345" s="1557"/>
      <c r="F345" s="1557"/>
    </row>
    <row r="346" spans="1:8" ht="14.25">
      <c r="A346" s="413"/>
      <c r="B346" s="413"/>
      <c r="C346" s="14"/>
      <c r="D346" s="1557"/>
      <c r="E346" s="1557"/>
      <c r="F346" s="1557"/>
    </row>
    <row r="347" spans="1:8" ht="14.25">
      <c r="A347" s="413"/>
      <c r="B347" s="413"/>
      <c r="C347" s="14"/>
      <c r="D347" s="1557"/>
      <c r="E347" s="1557"/>
      <c r="F347" s="1557"/>
    </row>
    <row r="348" spans="1:8" ht="14.25">
      <c r="A348" s="413"/>
      <c r="B348" s="413"/>
      <c r="C348" s="14"/>
      <c r="D348" s="1557"/>
      <c r="E348" s="1557"/>
      <c r="F348" s="1557"/>
    </row>
    <row r="349" spans="1:8" ht="14.25">
      <c r="A349" s="413"/>
      <c r="B349" s="413"/>
      <c r="C349" s="14"/>
      <c r="D349" s="1557"/>
      <c r="E349" s="1557"/>
      <c r="F349" s="1557"/>
    </row>
    <row r="350" spans="1:8" ht="12.75">
      <c r="A350" s="140"/>
      <c r="B350" s="140"/>
      <c r="C350" s="14"/>
      <c r="D350" s="282"/>
      <c r="E350" s="282"/>
      <c r="F350" s="282"/>
    </row>
    <row r="351" spans="1:8" s="50" customFormat="1" ht="14.45" customHeight="1">
      <c r="A351" s="413"/>
      <c r="B351" s="924" t="s">
        <v>134</v>
      </c>
      <c r="C351" s="140"/>
      <c r="D351" s="1557" t="s">
        <v>1713</v>
      </c>
      <c r="E351" s="1557"/>
      <c r="F351" s="1557"/>
      <c r="G351" s="8"/>
      <c r="H351" s="16"/>
    </row>
    <row r="352" spans="1:8" s="50" customFormat="1" ht="12.75">
      <c r="A352" s="140"/>
      <c r="B352" s="140"/>
      <c r="C352" s="140"/>
      <c r="D352" s="1557"/>
      <c r="E352" s="1557"/>
      <c r="F352" s="1557"/>
      <c r="G352" s="8"/>
      <c r="H352" s="16"/>
    </row>
    <row r="353" spans="1:8" s="50" customFormat="1" ht="12.75">
      <c r="A353" s="140"/>
      <c r="B353" s="140"/>
      <c r="C353" s="140"/>
      <c r="D353" s="1557"/>
      <c r="E353" s="1557"/>
      <c r="F353" s="1557"/>
      <c r="G353" s="8"/>
      <c r="H353" s="16"/>
    </row>
    <row r="354" spans="1:8" s="50" customFormat="1" ht="12.75">
      <c r="A354" s="140"/>
      <c r="B354" s="140"/>
      <c r="C354" s="140"/>
      <c r="D354" s="1557"/>
      <c r="E354" s="1557"/>
      <c r="F354" s="1557"/>
      <c r="G354" s="8"/>
      <c r="H354" s="16"/>
    </row>
    <row r="355" spans="1:8" s="50" customFormat="1" ht="12.75">
      <c r="A355" s="140"/>
      <c r="B355" s="140"/>
      <c r="C355" s="140"/>
      <c r="D355" s="1557"/>
      <c r="E355" s="1557"/>
      <c r="F355" s="1557"/>
      <c r="G355" s="8"/>
      <c r="H355" s="16"/>
    </row>
    <row r="356" spans="1:8" s="50" customFormat="1" ht="12.75">
      <c r="A356" s="140"/>
      <c r="B356" s="140"/>
      <c r="C356" s="140"/>
      <c r="D356" s="1557"/>
      <c r="E356" s="1557"/>
      <c r="F356" s="1557"/>
      <c r="G356" s="8"/>
      <c r="H356" s="16"/>
    </row>
    <row r="357" spans="1:8" s="50" customFormat="1" ht="12.75">
      <c r="A357" s="140"/>
      <c r="B357" s="140"/>
      <c r="C357" s="140"/>
      <c r="D357" s="1557"/>
      <c r="E357" s="1557"/>
      <c r="F357" s="1557"/>
      <c r="G357" s="8"/>
      <c r="H357" s="16"/>
    </row>
    <row r="358" spans="1:8" s="50" customFormat="1" ht="12.75">
      <c r="A358" s="140"/>
      <c r="B358" s="140"/>
      <c r="C358" s="140"/>
      <c r="D358" s="1557"/>
      <c r="E358" s="1557"/>
      <c r="F358" s="1557"/>
      <c r="G358" s="8"/>
      <c r="H358" s="16"/>
    </row>
    <row r="359" spans="1:8" s="50" customFormat="1" ht="12.75">
      <c r="A359" s="140"/>
      <c r="B359" s="140"/>
      <c r="C359" s="140"/>
      <c r="D359" s="1557"/>
      <c r="E359" s="1557"/>
      <c r="F359" s="1557"/>
      <c r="G359" s="8"/>
      <c r="H359" s="16"/>
    </row>
    <row r="360" spans="1:8" ht="12.75">
      <c r="A360" s="150"/>
      <c r="B360" s="150"/>
      <c r="E360" s="403"/>
      <c r="F360" s="403"/>
    </row>
    <row r="361" spans="1:8" ht="14.25" customHeight="1">
      <c r="A361" s="413"/>
      <c r="B361" s="924" t="s">
        <v>134</v>
      </c>
      <c r="C361" s="14"/>
      <c r="D361" s="1555" t="s">
        <v>2309</v>
      </c>
      <c r="E361" s="1555"/>
      <c r="F361" s="1555"/>
    </row>
    <row r="362" spans="1:8" ht="12.75">
      <c r="A362" s="140"/>
      <c r="B362" s="140"/>
      <c r="C362" s="14"/>
      <c r="D362" s="1555"/>
      <c r="E362" s="1555"/>
      <c r="F362" s="1555"/>
    </row>
    <row r="363" spans="1:8" ht="12.75">
      <c r="A363" s="140"/>
      <c r="B363" s="140"/>
      <c r="C363" s="14"/>
      <c r="D363" s="1555"/>
      <c r="E363" s="1555"/>
      <c r="F363" s="1555"/>
    </row>
    <row r="364" spans="1:8" ht="12.75">
      <c r="A364" s="140"/>
      <c r="B364" s="140"/>
      <c r="C364" s="14"/>
      <c r="D364" s="1555"/>
      <c r="E364" s="1555"/>
      <c r="F364" s="1555"/>
    </row>
    <row r="365" spans="1:8" ht="12.75">
      <c r="A365" s="960"/>
      <c r="B365" s="960"/>
      <c r="C365" s="14"/>
      <c r="D365" s="1555"/>
      <c r="E365" s="1555"/>
      <c r="F365" s="1555"/>
    </row>
    <row r="366" spans="1:8" ht="12.75">
      <c r="A366" s="140"/>
      <c r="B366" s="140"/>
      <c r="C366" s="14"/>
      <c r="D366" s="954"/>
      <c r="E366" s="930" t="s">
        <v>2310</v>
      </c>
      <c r="F366" s="954"/>
    </row>
    <row r="367" spans="1:8" ht="13.5" thickBot="1">
      <c r="A367" s="140"/>
      <c r="B367" s="140"/>
      <c r="C367" s="14"/>
      <c r="D367" s="1245"/>
      <c r="E367" s="785"/>
      <c r="F367" s="785"/>
      <c r="G367" s="288"/>
    </row>
    <row r="368" spans="1:8" ht="14.25" thickTop="1" thickBot="1">
      <c r="A368" s="140"/>
      <c r="B368" s="140"/>
      <c r="C368" s="140"/>
      <c r="D368" s="1586" t="s">
        <v>1368</v>
      </c>
      <c r="E368" s="1586"/>
      <c r="F368" s="1586"/>
      <c r="G368" s="71"/>
    </row>
    <row r="369" spans="1:7" ht="13.5" thickTop="1">
      <c r="A369" s="140"/>
      <c r="B369" s="140"/>
      <c r="C369" s="140"/>
      <c r="D369" s="1588" t="s">
        <v>1714</v>
      </c>
      <c r="E369" s="1588"/>
      <c r="F369" s="1588"/>
      <c r="G369" s="8"/>
    </row>
    <row r="370" spans="1:7" ht="12.75">
      <c r="A370" s="140"/>
      <c r="B370" s="140"/>
      <c r="C370" s="140"/>
      <c r="D370" s="287"/>
      <c r="E370" s="8"/>
      <c r="F370" s="8"/>
      <c r="G370" s="8"/>
    </row>
    <row r="371" spans="1:7" ht="14.25">
      <c r="A371" s="413"/>
      <c r="B371" s="924" t="s">
        <v>134</v>
      </c>
      <c r="C371" s="579"/>
      <c r="D371" s="1584" t="s">
        <v>1719</v>
      </c>
      <c r="E371" s="1584"/>
      <c r="F371" s="1584"/>
      <c r="G371" s="8"/>
    </row>
    <row r="372" spans="1:7" ht="14.25">
      <c r="A372" s="413"/>
      <c r="B372" s="413"/>
      <c r="C372" s="579"/>
      <c r="D372" s="644"/>
      <c r="E372" s="8"/>
      <c r="F372" s="8"/>
      <c r="G372" s="8"/>
    </row>
    <row r="373" spans="1:7" ht="14.25">
      <c r="A373" s="413"/>
      <c r="B373" s="924" t="s">
        <v>134</v>
      </c>
      <c r="C373" s="579"/>
      <c r="D373" s="1581" t="s">
        <v>1721</v>
      </c>
      <c r="E373" s="1582"/>
      <c r="F373" s="1582"/>
      <c r="G373" s="8"/>
    </row>
    <row r="374" spans="1:7" ht="14.25">
      <c r="A374" s="413"/>
      <c r="B374" s="413"/>
      <c r="C374" s="579"/>
      <c r="D374" s="1582"/>
      <c r="E374" s="1582"/>
      <c r="F374" s="1582"/>
      <c r="G374" s="8"/>
    </row>
    <row r="375" spans="1:7" ht="14.25">
      <c r="A375" s="413"/>
      <c r="B375" s="413"/>
      <c r="C375" s="579"/>
      <c r="D375" s="1582"/>
      <c r="E375" s="1582"/>
      <c r="F375" s="1582"/>
      <c r="G375" s="8"/>
    </row>
    <row r="376" spans="1:7" ht="14.25">
      <c r="A376" s="413"/>
      <c r="B376" s="413"/>
      <c r="C376" s="579"/>
      <c r="D376" s="1582"/>
      <c r="E376" s="1582"/>
      <c r="F376" s="1582"/>
      <c r="G376" s="8"/>
    </row>
    <row r="377" spans="1:7" ht="14.25">
      <c r="A377" s="413"/>
      <c r="B377" s="413"/>
      <c r="C377" s="579"/>
      <c r="D377" s="1582"/>
      <c r="E377" s="1582"/>
      <c r="F377" s="1582"/>
      <c r="G377" s="8"/>
    </row>
    <row r="378" spans="1:7" ht="14.25">
      <c r="A378" s="413"/>
      <c r="B378" s="413"/>
      <c r="C378" s="579"/>
      <c r="D378" s="1582"/>
      <c r="E378" s="1582"/>
      <c r="F378" s="1582"/>
      <c r="G378" s="8"/>
    </row>
    <row r="379" spans="1:7" ht="14.25">
      <c r="A379" s="413"/>
      <c r="B379" s="413"/>
      <c r="C379" s="579"/>
      <c r="D379" s="1582"/>
      <c r="E379" s="1582"/>
      <c r="F379" s="1582"/>
      <c r="G379" s="8"/>
    </row>
    <row r="380" spans="1:7" ht="14.25">
      <c r="A380" s="413"/>
      <c r="B380" s="413"/>
      <c r="C380" s="579"/>
      <c r="D380" s="1582"/>
      <c r="E380" s="1582"/>
      <c r="F380" s="1582"/>
      <c r="G380" s="8"/>
    </row>
    <row r="381" spans="1:7" ht="14.25">
      <c r="A381" s="413"/>
      <c r="B381" s="413"/>
      <c r="C381" s="579"/>
      <c r="D381" s="1582"/>
      <c r="E381" s="1582"/>
      <c r="F381" s="1582"/>
      <c r="G381" s="8"/>
    </row>
    <row r="382" spans="1:7" ht="14.25">
      <c r="A382" s="413"/>
      <c r="B382" s="413"/>
      <c r="C382" s="579"/>
      <c r="D382" s="1582"/>
      <c r="E382" s="1582"/>
      <c r="F382" s="1582"/>
      <c r="G382" s="8"/>
    </row>
    <row r="383" spans="1:7" ht="14.25">
      <c r="A383" s="413"/>
      <c r="B383" s="413"/>
      <c r="C383" s="579"/>
      <c r="D383" s="965"/>
      <c r="E383" s="965"/>
      <c r="F383" s="965"/>
      <c r="G383" s="8"/>
    </row>
    <row r="384" spans="1:7" ht="14.25">
      <c r="A384" s="413"/>
      <c r="B384" s="924" t="s">
        <v>134</v>
      </c>
      <c r="C384" s="579"/>
      <c r="D384" s="1580" t="s">
        <v>1715</v>
      </c>
      <c r="E384" s="1580"/>
      <c r="F384" s="1580"/>
      <c r="G384" s="8"/>
    </row>
    <row r="385" spans="1:7" ht="12.75">
      <c r="A385" s="579"/>
      <c r="B385" s="579"/>
      <c r="C385" s="579"/>
      <c r="D385" s="1580"/>
      <c r="E385" s="1580"/>
      <c r="F385" s="1580"/>
      <c r="G385" s="8"/>
    </row>
    <row r="386" spans="1:7" ht="12.75">
      <c r="A386" s="579"/>
      <c r="B386" s="579"/>
      <c r="C386" s="579"/>
      <c r="D386" s="1580"/>
      <c r="E386" s="1580"/>
      <c r="F386" s="1580"/>
      <c r="G386" s="8"/>
    </row>
    <row r="387" spans="1:7" ht="12.75">
      <c r="A387" s="579"/>
      <c r="B387" s="579"/>
      <c r="C387" s="579"/>
      <c r="D387" s="1580"/>
      <c r="E387" s="1580"/>
      <c r="F387" s="1580"/>
      <c r="G387" s="8"/>
    </row>
    <row r="388" spans="1:7" ht="12.75">
      <c r="A388" s="579"/>
      <c r="B388" s="579"/>
      <c r="C388" s="579"/>
      <c r="D388" s="969"/>
      <c r="E388" s="969"/>
      <c r="F388" s="969"/>
      <c r="G388" s="8"/>
    </row>
    <row r="389" spans="1:7" ht="12.75">
      <c r="A389" s="579"/>
      <c r="B389" s="579"/>
      <c r="C389" s="579"/>
      <c r="D389" s="1580" t="s">
        <v>1716</v>
      </c>
      <c r="E389" s="1580"/>
      <c r="F389" s="1580"/>
      <c r="G389" s="8"/>
    </row>
    <row r="390" spans="1:7" ht="12.75">
      <c r="A390" s="579"/>
      <c r="B390" s="579"/>
      <c r="C390" s="579"/>
      <c r="D390" s="1580"/>
      <c r="E390" s="1580"/>
      <c r="F390" s="1580"/>
      <c r="G390" s="8"/>
    </row>
    <row r="391" spans="1:7" ht="12.75">
      <c r="A391" s="579"/>
      <c r="B391" s="579"/>
      <c r="C391" s="579"/>
      <c r="D391" s="1580"/>
      <c r="E391" s="1580"/>
      <c r="F391" s="1580"/>
      <c r="G391" s="8"/>
    </row>
    <row r="392" spans="1:7" ht="12.75">
      <c r="A392" s="579"/>
      <c r="B392" s="579"/>
      <c r="C392" s="579"/>
      <c r="D392" s="1580"/>
      <c r="E392" s="1580"/>
      <c r="F392" s="1580"/>
      <c r="G392" s="8"/>
    </row>
    <row r="393" spans="1:7" ht="12.75">
      <c r="A393" s="579"/>
      <c r="B393" s="579"/>
      <c r="C393" s="579"/>
      <c r="D393" s="1580"/>
      <c r="E393" s="1580"/>
      <c r="F393" s="1580"/>
      <c r="G393" s="8"/>
    </row>
    <row r="394" spans="1:7" ht="12.75">
      <c r="A394" s="579"/>
      <c r="B394" s="579"/>
      <c r="C394" s="579"/>
      <c r="D394" s="1580"/>
      <c r="E394" s="1580"/>
      <c r="F394" s="1580"/>
      <c r="G394" s="8"/>
    </row>
    <row r="395" spans="1:7" ht="12.75">
      <c r="A395" s="579"/>
      <c r="B395" s="579"/>
      <c r="C395" s="579"/>
      <c r="D395" s="1580"/>
      <c r="E395" s="1580"/>
      <c r="F395" s="1580"/>
      <c r="G395" s="8"/>
    </row>
    <row r="396" spans="1:7" ht="12.75">
      <c r="A396" s="579"/>
      <c r="B396" s="579"/>
      <c r="C396" s="579"/>
      <c r="D396" s="1580"/>
      <c r="E396" s="1580"/>
      <c r="F396" s="1580"/>
      <c r="G396" s="8"/>
    </row>
    <row r="397" spans="1:7" ht="12.75">
      <c r="A397" s="579"/>
      <c r="B397" s="579"/>
      <c r="C397" s="579"/>
      <c r="D397" s="1580"/>
      <c r="E397" s="1580"/>
      <c r="F397" s="1580"/>
      <c r="G397" s="8"/>
    </row>
    <row r="398" spans="1:7" ht="13.7" customHeight="1">
      <c r="A398" s="579"/>
      <c r="B398" s="579"/>
      <c r="C398" s="579"/>
      <c r="D398" s="1558" t="s">
        <v>1720</v>
      </c>
      <c r="E398" s="1558"/>
      <c r="F398" s="1558"/>
      <c r="G398" s="8"/>
    </row>
    <row r="399" spans="1:7" ht="13.7" customHeight="1">
      <c r="A399" s="579"/>
      <c r="B399" s="579"/>
      <c r="C399" s="579"/>
      <c r="D399" s="1558"/>
      <c r="E399" s="1558"/>
      <c r="F399" s="1558"/>
      <c r="G399" s="8"/>
    </row>
    <row r="400" spans="1:7" ht="13.7" customHeight="1">
      <c r="A400" s="579"/>
      <c r="B400" s="579"/>
      <c r="C400" s="579"/>
      <c r="D400" s="1558"/>
      <c r="E400" s="1558"/>
      <c r="F400" s="1558"/>
      <c r="G400" s="8"/>
    </row>
    <row r="401" spans="1:7" ht="13.7" customHeight="1">
      <c r="A401" s="579"/>
      <c r="B401" s="579"/>
      <c r="C401" s="579"/>
      <c r="D401" s="1558"/>
      <c r="E401" s="1558"/>
      <c r="F401" s="1558"/>
      <c r="G401" s="8"/>
    </row>
    <row r="402" spans="1:7" ht="13.7" customHeight="1">
      <c r="A402" s="579"/>
      <c r="B402" s="579"/>
      <c r="C402" s="579"/>
      <c r="D402" s="1558"/>
      <c r="E402" s="1558"/>
      <c r="F402" s="1558"/>
      <c r="G402" s="8"/>
    </row>
    <row r="403" spans="1:7" ht="13.7" customHeight="1">
      <c r="A403" s="579"/>
      <c r="B403" s="579"/>
      <c r="C403" s="579"/>
      <c r="D403" s="1558"/>
      <c r="E403" s="1558"/>
      <c r="F403" s="1558"/>
      <c r="G403" s="8"/>
    </row>
    <row r="404" spans="1:7" ht="13.7" customHeight="1">
      <c r="A404" s="579"/>
      <c r="B404" s="579"/>
      <c r="C404" s="579"/>
      <c r="D404" s="1558"/>
      <c r="E404" s="1558"/>
      <c r="F404" s="1558"/>
      <c r="G404" s="8"/>
    </row>
    <row r="405" spans="1:7" ht="13.7" customHeight="1">
      <c r="A405" s="579"/>
      <c r="B405" s="579"/>
      <c r="C405" s="579"/>
      <c r="D405" s="1558"/>
      <c r="E405" s="1558"/>
      <c r="F405" s="1558"/>
      <c r="G405" s="8"/>
    </row>
    <row r="406" spans="1:7" ht="13.7" customHeight="1">
      <c r="A406" s="579"/>
      <c r="B406" s="579"/>
      <c r="C406" s="579"/>
      <c r="D406" s="1558"/>
      <c r="E406" s="1558"/>
      <c r="F406" s="1558"/>
      <c r="G406" s="8"/>
    </row>
    <row r="407" spans="1:7" ht="13.7" customHeight="1">
      <c r="A407" s="579"/>
      <c r="B407" s="579"/>
      <c r="C407" s="579"/>
      <c r="D407" s="1558"/>
      <c r="E407" s="1558"/>
      <c r="F407" s="1558"/>
      <c r="G407" s="8"/>
    </row>
    <row r="408" spans="1:7" ht="13.7" customHeight="1">
      <c r="A408" s="579"/>
      <c r="B408" s="579"/>
      <c r="C408" s="579"/>
      <c r="D408" s="1558"/>
      <c r="E408" s="1558"/>
      <c r="F408" s="1558"/>
      <c r="G408" s="8"/>
    </row>
    <row r="409" spans="1:7" ht="13.7" customHeight="1">
      <c r="A409" s="579"/>
      <c r="B409" s="579"/>
      <c r="C409" s="579"/>
      <c r="D409" s="1558"/>
      <c r="E409" s="1558"/>
      <c r="F409" s="1558"/>
      <c r="G409" s="8"/>
    </row>
    <row r="410" spans="1:7" ht="13.7" customHeight="1">
      <c r="A410" s="579"/>
      <c r="B410" s="579"/>
      <c r="C410" s="579"/>
      <c r="D410" s="1558"/>
      <c r="E410" s="1558"/>
      <c r="F410" s="1558"/>
      <c r="G410" s="8"/>
    </row>
    <row r="411" spans="1:7" ht="13.7" customHeight="1">
      <c r="A411" s="579"/>
      <c r="B411" s="579"/>
      <c r="C411" s="579"/>
      <c r="D411" s="1558"/>
      <c r="E411" s="1558"/>
      <c r="F411" s="1558"/>
      <c r="G411" s="8"/>
    </row>
    <row r="412" spans="1:7" ht="13.7" customHeight="1">
      <c r="A412" s="579"/>
      <c r="B412" s="579"/>
      <c r="C412" s="579"/>
      <c r="D412" s="1558"/>
      <c r="E412" s="1558"/>
      <c r="F412" s="1558"/>
      <c r="G412" s="8"/>
    </row>
    <row r="413" spans="1:7" ht="13.7" customHeight="1">
      <c r="A413" s="579"/>
      <c r="B413" s="579"/>
      <c r="C413" s="579"/>
      <c r="D413" s="1558"/>
      <c r="E413" s="1558"/>
      <c r="F413" s="1558"/>
      <c r="G413" s="8"/>
    </row>
    <row r="414" spans="1:7" ht="13.7" customHeight="1">
      <c r="A414" s="579"/>
      <c r="B414" s="579"/>
      <c r="C414" s="579"/>
      <c r="D414" s="1558"/>
      <c r="E414" s="1558"/>
      <c r="F414" s="1558"/>
      <c r="G414" s="8"/>
    </row>
    <row r="415" spans="1:7" ht="13.7" customHeight="1">
      <c r="A415" s="579"/>
      <c r="B415" s="579"/>
      <c r="C415" s="579"/>
      <c r="D415" s="1558"/>
      <c r="E415" s="1558"/>
      <c r="F415" s="1558"/>
      <c r="G415" s="8"/>
    </row>
    <row r="416" spans="1:7" ht="12.75">
      <c r="A416" s="579"/>
      <c r="B416" s="579"/>
      <c r="C416" s="579"/>
      <c r="D416" s="782"/>
      <c r="E416" s="8"/>
      <c r="F416" s="8"/>
      <c r="G416" s="8"/>
    </row>
    <row r="417" spans="1:7" ht="13.7" customHeight="1">
      <c r="A417" s="579"/>
      <c r="B417" s="924" t="s">
        <v>134</v>
      </c>
      <c r="C417" s="579"/>
      <c r="D417" s="1558" t="s">
        <v>1717</v>
      </c>
      <c r="E417" s="1558"/>
      <c r="F417" s="1558"/>
      <c r="G417" s="8"/>
    </row>
    <row r="418" spans="1:7" ht="12.75">
      <c r="A418" s="579"/>
      <c r="B418" s="579"/>
      <c r="C418" s="579"/>
      <c r="D418" s="1558"/>
      <c r="E418" s="1558"/>
      <c r="F418" s="1558"/>
      <c r="G418" s="8"/>
    </row>
    <row r="419" spans="1:7" ht="12.75">
      <c r="A419" s="579"/>
      <c r="B419" s="579"/>
      <c r="C419" s="579"/>
      <c r="D419" s="1300"/>
      <c r="E419" s="1300"/>
      <c r="F419" s="1300"/>
      <c r="G419" s="8"/>
    </row>
    <row r="420" spans="1:7" ht="12.75">
      <c r="A420" s="579"/>
      <c r="B420" s="1302" t="s">
        <v>134</v>
      </c>
      <c r="C420" s="579"/>
      <c r="D420" s="1563" t="s">
        <v>2072</v>
      </c>
      <c r="E420" s="1563"/>
      <c r="F420" s="1563"/>
      <c r="G420" s="8"/>
    </row>
    <row r="421" spans="1:7" ht="12.75">
      <c r="A421" s="579"/>
      <c r="B421" s="579"/>
      <c r="C421" s="579"/>
      <c r="D421" s="1563"/>
      <c r="E421" s="1563"/>
      <c r="F421" s="1563"/>
      <c r="G421" s="8"/>
    </row>
    <row r="422" spans="1:7" ht="12.75">
      <c r="A422" s="579"/>
      <c r="B422" s="579"/>
      <c r="C422" s="579"/>
      <c r="D422" s="1563"/>
      <c r="E422" s="1563"/>
      <c r="F422" s="1563"/>
      <c r="G422" s="8"/>
    </row>
    <row r="423" spans="1:7" ht="12.75">
      <c r="A423" s="579"/>
      <c r="B423" s="579"/>
      <c r="C423" s="579"/>
      <c r="D423" s="1563"/>
      <c r="E423" s="1563"/>
      <c r="F423" s="1563"/>
      <c r="G423" s="8"/>
    </row>
    <row r="424" spans="1:7" ht="12.75">
      <c r="A424" s="579"/>
      <c r="B424" s="579"/>
      <c r="C424" s="579"/>
      <c r="D424" s="1563"/>
      <c r="E424" s="1563"/>
      <c r="F424" s="1563"/>
      <c r="G424" s="8"/>
    </row>
    <row r="425" spans="1:7" ht="12.75">
      <c r="A425" s="579"/>
      <c r="B425" s="579"/>
      <c r="C425" s="579"/>
      <c r="D425" s="1563"/>
      <c r="E425" s="1563"/>
      <c r="F425" s="1563"/>
      <c r="G425" s="8"/>
    </row>
    <row r="426" spans="1:7" ht="14.45" customHeight="1">
      <c r="A426" s="413"/>
      <c r="B426" s="924" t="s">
        <v>134</v>
      </c>
      <c r="C426" s="579"/>
      <c r="D426" s="1563" t="s">
        <v>2050</v>
      </c>
      <c r="E426" s="1563"/>
      <c r="F426" s="1563"/>
      <c r="G426" s="8"/>
    </row>
    <row r="427" spans="1:7" ht="14.25">
      <c r="A427" s="783"/>
      <c r="B427" s="783"/>
      <c r="C427" s="579"/>
      <c r="D427" s="1563"/>
      <c r="E427" s="1563"/>
      <c r="F427" s="1563"/>
      <c r="G427" s="8"/>
    </row>
    <row r="428" spans="1:7" ht="14.25">
      <c r="A428" s="783"/>
      <c r="B428" s="783"/>
      <c r="C428" s="579"/>
      <c r="D428" s="1563"/>
      <c r="E428" s="1563"/>
      <c r="F428" s="1563"/>
      <c r="G428" s="8"/>
    </row>
    <row r="429" spans="1:7" ht="14.25">
      <c r="A429" s="783"/>
      <c r="B429" s="783"/>
      <c r="C429" s="579"/>
      <c r="D429" s="1563"/>
      <c r="E429" s="1563"/>
      <c r="F429" s="1563"/>
      <c r="G429" s="8"/>
    </row>
    <row r="430" spans="1:7" ht="14.25" customHeight="1">
      <c r="A430" s="783"/>
      <c r="B430" s="783"/>
      <c r="C430" s="579"/>
      <c r="D430" s="1564" t="s">
        <v>2068</v>
      </c>
      <c r="E430" s="1564"/>
      <c r="F430" s="1564"/>
      <c r="G430" s="8"/>
    </row>
    <row r="431" spans="1:7" ht="12.75">
      <c r="A431" s="140"/>
      <c r="B431" s="140"/>
      <c r="C431" s="140"/>
      <c r="D431" s="143"/>
      <c r="E431" s="8"/>
      <c r="F431" s="8"/>
      <c r="G431" s="8"/>
    </row>
    <row r="432" spans="1:7" ht="14.45" customHeight="1">
      <c r="A432" s="413"/>
      <c r="B432" s="924" t="s">
        <v>134</v>
      </c>
      <c r="C432" s="355"/>
      <c r="D432" s="1559" t="s">
        <v>1722</v>
      </c>
      <c r="E432" s="1559"/>
      <c r="F432" s="1559"/>
      <c r="G432" s="8"/>
    </row>
    <row r="433" spans="1:7" ht="14.25">
      <c r="A433" s="413"/>
      <c r="B433" s="413"/>
      <c r="C433" s="140"/>
      <c r="D433" s="1559"/>
      <c r="E433" s="1559"/>
      <c r="F433" s="1559"/>
      <c r="G433" s="8"/>
    </row>
    <row r="434" spans="1:7" ht="14.25">
      <c r="A434" s="413"/>
      <c r="B434" s="413"/>
      <c r="C434" s="966"/>
      <c r="D434" s="1559"/>
      <c r="E434" s="1559"/>
      <c r="F434" s="1559"/>
      <c r="G434" s="8"/>
    </row>
    <row r="435" spans="1:7" ht="14.25">
      <c r="A435" s="413"/>
      <c r="B435" s="413"/>
      <c r="C435" s="966"/>
      <c r="D435" s="1559"/>
      <c r="E435" s="1559"/>
      <c r="F435" s="1559"/>
      <c r="G435" s="8"/>
    </row>
    <row r="436" spans="1:7" ht="14.25">
      <c r="A436" s="413"/>
      <c r="B436" s="413"/>
      <c r="C436" s="966"/>
      <c r="D436" s="1559"/>
      <c r="E436" s="1559"/>
      <c r="F436" s="1559"/>
      <c r="G436" s="8"/>
    </row>
    <row r="437" spans="1:7" ht="14.25">
      <c r="A437" s="413"/>
      <c r="B437" s="413"/>
      <c r="C437" s="966"/>
      <c r="D437" s="1559"/>
      <c r="E437" s="1559"/>
      <c r="F437" s="1559"/>
      <c r="G437" s="8"/>
    </row>
    <row r="438" spans="1:7" ht="14.25">
      <c r="A438" s="413"/>
      <c r="B438" s="413"/>
      <c r="C438" s="966"/>
      <c r="D438" s="1559"/>
      <c r="E438" s="1559"/>
      <c r="F438" s="1559"/>
      <c r="G438" s="8"/>
    </row>
    <row r="439" spans="1:7" ht="14.25">
      <c r="A439" s="413"/>
      <c r="B439" s="413"/>
      <c r="C439" s="966"/>
      <c r="D439" s="1559"/>
      <c r="E439" s="1559"/>
      <c r="F439" s="1559"/>
      <c r="G439" s="8"/>
    </row>
    <row r="440" spans="1:7" ht="14.25">
      <c r="A440" s="413"/>
      <c r="B440" s="413"/>
      <c r="C440" s="966"/>
      <c r="D440" s="1559"/>
      <c r="E440" s="1559"/>
      <c r="F440" s="1559"/>
      <c r="G440" s="8"/>
    </row>
    <row r="441" spans="1:7" ht="14.25">
      <c r="A441" s="413"/>
      <c r="B441" s="413"/>
      <c r="C441" s="966"/>
      <c r="D441" s="1559"/>
      <c r="E441" s="1559"/>
      <c r="F441" s="1559"/>
      <c r="G441" s="8"/>
    </row>
    <row r="442" spans="1:7" ht="14.25">
      <c r="A442" s="413"/>
      <c r="B442" s="413"/>
      <c r="C442" s="966"/>
      <c r="D442" s="1559"/>
      <c r="E442" s="1559"/>
      <c r="F442" s="1559"/>
      <c r="G442" s="8"/>
    </row>
    <row r="443" spans="1:7" ht="14.25">
      <c r="A443" s="413"/>
      <c r="B443" s="413"/>
      <c r="C443" s="966"/>
      <c r="D443" s="1559"/>
      <c r="E443" s="1559"/>
      <c r="F443" s="1559"/>
      <c r="G443" s="8"/>
    </row>
    <row r="444" spans="1:7" ht="14.25">
      <c r="A444" s="413"/>
      <c r="B444" s="413"/>
      <c r="C444" s="966"/>
      <c r="D444" s="1559"/>
      <c r="E444" s="1559"/>
      <c r="F444" s="1559"/>
      <c r="G444" s="8"/>
    </row>
    <row r="445" spans="1:7" ht="14.25">
      <c r="A445" s="413"/>
      <c r="B445" s="413"/>
      <c r="C445" s="966"/>
      <c r="D445" s="1559"/>
      <c r="E445" s="1559"/>
      <c r="F445" s="1559"/>
      <c r="G445" s="8"/>
    </row>
    <row r="446" spans="1:7" ht="14.25">
      <c r="A446" s="413"/>
      <c r="B446" s="413"/>
      <c r="C446" s="966"/>
      <c r="D446" s="1559"/>
      <c r="E446" s="1559"/>
      <c r="F446" s="1559"/>
      <c r="G446" s="8"/>
    </row>
    <row r="447" spans="1:7" ht="14.25">
      <c r="A447" s="413"/>
      <c r="B447" s="413"/>
      <c r="C447" s="966"/>
      <c r="D447" s="1559"/>
      <c r="E447" s="1559"/>
      <c r="F447" s="1559"/>
      <c r="G447" s="8"/>
    </row>
    <row r="448" spans="1:7" ht="14.25">
      <c r="A448" s="413"/>
      <c r="B448" s="413"/>
      <c r="C448" s="966"/>
      <c r="D448" s="1559"/>
      <c r="E448" s="1559"/>
      <c r="F448" s="1559"/>
      <c r="G448" s="8"/>
    </row>
    <row r="449" spans="1:7" ht="14.25">
      <c r="A449" s="413"/>
      <c r="B449" s="413"/>
      <c r="C449" s="966"/>
      <c r="D449" s="1559"/>
      <c r="E449" s="1559"/>
      <c r="F449" s="1559"/>
      <c r="G449" s="8"/>
    </row>
    <row r="450" spans="1:7" ht="14.25">
      <c r="A450" s="413"/>
      <c r="B450" s="413"/>
      <c r="C450" s="966"/>
      <c r="D450" s="1559"/>
      <c r="E450" s="1559"/>
      <c r="F450" s="1559"/>
      <c r="G450" s="8"/>
    </row>
    <row r="451" spans="1:7" ht="14.25">
      <c r="A451" s="413"/>
      <c r="B451" s="413"/>
      <c r="C451" s="966"/>
      <c r="D451" s="1559"/>
      <c r="E451" s="1559"/>
      <c r="F451" s="1559"/>
      <c r="G451" s="8"/>
    </row>
    <row r="452" spans="1:7" ht="14.25">
      <c r="A452" s="413"/>
      <c r="B452" s="413"/>
      <c r="C452" s="966"/>
      <c r="D452" s="1559"/>
      <c r="E452" s="1559"/>
      <c r="F452" s="1559"/>
      <c r="G452" s="8"/>
    </row>
    <row r="453" spans="1:7" ht="14.25">
      <c r="A453" s="413"/>
      <c r="B453" s="413"/>
      <c r="C453" s="966"/>
      <c r="D453" s="1559"/>
      <c r="E453" s="1559"/>
      <c r="F453" s="1559"/>
      <c r="G453" s="8"/>
    </row>
    <row r="454" spans="1:7" ht="14.25">
      <c r="A454" s="413"/>
      <c r="B454" s="413"/>
      <c r="C454" s="966"/>
      <c r="D454" s="1559"/>
      <c r="E454" s="1559"/>
      <c r="F454" s="1559"/>
      <c r="G454" s="8"/>
    </row>
    <row r="455" spans="1:7" ht="14.25">
      <c r="A455" s="413"/>
      <c r="B455" s="413"/>
      <c r="C455" s="966"/>
      <c r="D455" s="1559"/>
      <c r="E455" s="1559"/>
      <c r="F455" s="1559"/>
      <c r="G455" s="8"/>
    </row>
    <row r="456" spans="1:7" ht="14.25">
      <c r="A456" s="413"/>
      <c r="B456" s="413"/>
      <c r="C456" s="966"/>
      <c r="D456" s="1559"/>
      <c r="E456" s="1559"/>
      <c r="F456" s="1559"/>
      <c r="G456" s="8"/>
    </row>
    <row r="457" spans="1:7" ht="14.25">
      <c r="A457" s="413"/>
      <c r="B457" s="413"/>
      <c r="C457" s="966"/>
      <c r="D457" s="1559"/>
      <c r="E457" s="1559"/>
      <c r="F457" s="1559"/>
      <c r="G457" s="8"/>
    </row>
    <row r="458" spans="1:7" ht="14.25">
      <c r="A458" s="413"/>
      <c r="B458" s="413"/>
      <c r="C458" s="966"/>
      <c r="D458" s="1559"/>
      <c r="E458" s="1559"/>
      <c r="F458" s="1559"/>
      <c r="G458" s="8"/>
    </row>
    <row r="459" spans="1:7" ht="14.25">
      <c r="A459" s="413"/>
      <c r="B459" s="413"/>
      <c r="C459" s="966"/>
      <c r="D459" s="1559"/>
      <c r="E459" s="1559"/>
      <c r="F459" s="1559"/>
      <c r="G459" s="8"/>
    </row>
    <row r="460" spans="1:7" ht="14.25">
      <c r="A460" s="413"/>
      <c r="B460" s="413"/>
      <c r="C460" s="966"/>
      <c r="D460" s="1559"/>
      <c r="E460" s="1559"/>
      <c r="F460" s="1559"/>
      <c r="G460" s="8"/>
    </row>
    <row r="461" spans="1:7" ht="14.25">
      <c r="A461" s="413"/>
      <c r="B461" s="413"/>
      <c r="C461" s="966"/>
      <c r="D461" s="1559"/>
      <c r="E461" s="1559"/>
      <c r="F461" s="1559"/>
      <c r="G461" s="8"/>
    </row>
    <row r="462" spans="1:7" ht="12.75" hidden="1">
      <c r="A462" s="140"/>
      <c r="B462" s="140"/>
      <c r="C462" s="140"/>
      <c r="D462" s="1559"/>
      <c r="E462" s="1559"/>
      <c r="F462" s="1559"/>
      <c r="G462" s="8"/>
    </row>
    <row r="463" spans="1:7" ht="12.75" hidden="1">
      <c r="A463" s="140"/>
      <c r="B463" s="140"/>
      <c r="C463" s="140"/>
      <c r="D463" s="143"/>
      <c r="E463" s="40"/>
      <c r="F463" s="40"/>
      <c r="G463" s="40"/>
    </row>
    <row r="464" spans="1:7" ht="14.25">
      <c r="A464" s="413"/>
      <c r="B464" s="924" t="s">
        <v>134</v>
      </c>
      <c r="C464" s="355"/>
      <c r="D464" s="1560" t="s">
        <v>2312</v>
      </c>
      <c r="E464" s="1561"/>
      <c r="F464" s="1561"/>
      <c r="G464" s="8"/>
    </row>
    <row r="465" spans="1:7" ht="12.75">
      <c r="A465" s="140"/>
      <c r="B465" s="140"/>
      <c r="C465" s="140"/>
      <c r="D465" s="2"/>
      <c r="E465" s="1505" t="s">
        <v>2311</v>
      </c>
      <c r="F465" s="1505"/>
      <c r="G465" s="8"/>
    </row>
    <row r="466" spans="1:7" ht="13.7" customHeight="1">
      <c r="A466" s="140"/>
      <c r="B466" s="140"/>
      <c r="C466" s="140"/>
      <c r="D466" s="1562" t="s">
        <v>2047</v>
      </c>
      <c r="E466" s="1557"/>
      <c r="F466" s="1557"/>
      <c r="G466" s="8"/>
    </row>
    <row r="467" spans="1:7" ht="13.7" customHeight="1">
      <c r="A467" s="966"/>
      <c r="B467" s="966"/>
      <c r="C467" s="966"/>
      <c r="D467" s="1557"/>
      <c r="E467" s="1557"/>
      <c r="F467" s="1557"/>
      <c r="G467" s="8"/>
    </row>
    <row r="468" spans="1:7" ht="12.75">
      <c r="A468" s="140"/>
      <c r="B468" s="140"/>
      <c r="C468" s="140"/>
      <c r="D468" s="143"/>
      <c r="E468" s="8"/>
      <c r="F468" s="8"/>
      <c r="G468" s="8"/>
    </row>
    <row r="469" spans="1:7" ht="14.45" customHeight="1">
      <c r="A469" s="413"/>
      <c r="B469" s="924" t="s">
        <v>134</v>
      </c>
      <c r="C469" s="355"/>
      <c r="D469" s="1559" t="s">
        <v>1723</v>
      </c>
      <c r="E469" s="1559"/>
      <c r="F469" s="1559"/>
      <c r="G469" s="8"/>
    </row>
    <row r="470" spans="1:7" ht="12.75">
      <c r="A470" s="140"/>
      <c r="B470" s="140"/>
      <c r="C470" s="140"/>
      <c r="D470" s="1559"/>
      <c r="E470" s="1559"/>
      <c r="F470" s="1559"/>
      <c r="G470" s="8"/>
    </row>
    <row r="471" spans="1:7" ht="12.75">
      <c r="A471" s="140"/>
      <c r="B471" s="140"/>
      <c r="C471" s="140"/>
      <c r="D471" s="1559"/>
      <c r="E471" s="1559"/>
      <c r="F471" s="1559"/>
      <c r="G471" s="8"/>
    </row>
    <row r="472" spans="1:7" ht="12.75">
      <c r="A472" s="966"/>
      <c r="B472" s="966"/>
      <c r="C472" s="966"/>
      <c r="D472" s="964"/>
      <c r="E472" s="964"/>
      <c r="F472" s="964"/>
      <c r="G472" s="8"/>
    </row>
    <row r="473" spans="1:7" ht="14.25">
      <c r="A473" s="140"/>
      <c r="B473" s="924" t="s">
        <v>134</v>
      </c>
      <c r="C473" s="413"/>
      <c r="D473" s="1562" t="s">
        <v>1881</v>
      </c>
      <c r="E473" s="1557"/>
      <c r="F473" s="1557"/>
      <c r="G473" s="8"/>
    </row>
    <row r="474" spans="1:7" ht="12.75">
      <c r="A474" s="140"/>
      <c r="B474" s="140"/>
      <c r="C474" s="140"/>
      <c r="D474" s="1557"/>
      <c r="E474" s="1557"/>
      <c r="F474" s="1557"/>
      <c r="G474" s="8"/>
    </row>
    <row r="475" spans="1:7" ht="12.75">
      <c r="A475" s="140"/>
      <c r="B475" s="140"/>
      <c r="C475" s="140"/>
      <c r="D475" s="143"/>
      <c r="E475" s="679"/>
      <c r="F475" s="8"/>
      <c r="G475" s="8"/>
    </row>
    <row r="476" spans="1:7" ht="14.25">
      <c r="A476" s="140"/>
      <c r="B476" s="924" t="s">
        <v>134</v>
      </c>
      <c r="C476" s="413"/>
      <c r="D476" s="1557" t="s">
        <v>1724</v>
      </c>
      <c r="E476" s="1557"/>
      <c r="F476" s="1557"/>
      <c r="G476" s="8"/>
    </row>
    <row r="477" spans="1:7" ht="12.75">
      <c r="A477" s="140"/>
      <c r="B477" s="140"/>
      <c r="C477" s="140"/>
      <c r="D477" s="1557"/>
      <c r="E477" s="1557"/>
      <c r="F477" s="1557"/>
      <c r="G477" s="8"/>
    </row>
    <row r="478" spans="1:7" ht="12.75">
      <c r="A478" s="140"/>
      <c r="B478" s="140"/>
      <c r="C478" s="140"/>
      <c r="D478" s="1557"/>
      <c r="E478" s="1557"/>
      <c r="F478" s="1557"/>
      <c r="G478" s="8"/>
    </row>
    <row r="479" spans="1:7" ht="12.75">
      <c r="A479" s="966"/>
      <c r="B479" s="966"/>
      <c r="C479" s="966"/>
      <c r="D479" s="1557"/>
      <c r="E479" s="1557"/>
      <c r="F479" s="1557"/>
      <c r="G479" s="8"/>
    </row>
    <row r="480" spans="1:7" ht="12.75">
      <c r="A480" s="966"/>
      <c r="B480" s="924" t="s">
        <v>134</v>
      </c>
      <c r="C480" s="966"/>
      <c r="D480" s="1557"/>
      <c r="E480" s="1557"/>
      <c r="F480" s="1557"/>
      <c r="G480" s="8"/>
    </row>
    <row r="481" spans="1:7" ht="12.75">
      <c r="A481" s="966"/>
      <c r="B481" s="966"/>
      <c r="C481" s="966"/>
      <c r="D481" s="1557"/>
      <c r="E481" s="1557"/>
      <c r="F481" s="1557"/>
      <c r="G481" s="8"/>
    </row>
    <row r="482" spans="1:7" ht="12.75">
      <c r="A482" s="966"/>
      <c r="B482" s="966"/>
      <c r="C482" s="966"/>
      <c r="D482" s="1557"/>
      <c r="E482" s="1557"/>
      <c r="F482" s="1557"/>
      <c r="G482" s="8"/>
    </row>
    <row r="483" spans="1:7" ht="12.75">
      <c r="A483" s="966"/>
      <c r="B483" s="924" t="s">
        <v>134</v>
      </c>
      <c r="C483" s="966"/>
      <c r="D483" s="1557"/>
      <c r="E483" s="1557"/>
      <c r="F483" s="1557"/>
      <c r="G483" s="8"/>
    </row>
    <row r="484" spans="1:7" ht="12.75">
      <c r="A484" s="966"/>
      <c r="B484" s="966"/>
      <c r="C484" s="966"/>
      <c r="D484" s="1557"/>
      <c r="E484" s="1557"/>
      <c r="F484" s="1557"/>
      <c r="G484" s="8"/>
    </row>
    <row r="485" spans="1:7" ht="12.75">
      <c r="A485" s="966"/>
      <c r="B485" s="966"/>
      <c r="C485" s="966"/>
      <c r="D485" s="1557"/>
      <c r="E485" s="1557"/>
      <c r="F485" s="1557"/>
      <c r="G485" s="8"/>
    </row>
    <row r="486" spans="1:7" ht="12.75">
      <c r="A486" s="966"/>
      <c r="B486" s="966"/>
      <c r="C486" s="966"/>
      <c r="D486" s="1557"/>
      <c r="E486" s="1557"/>
      <c r="F486" s="1557"/>
      <c r="G486" s="8"/>
    </row>
    <row r="487" spans="1:7" ht="12.75">
      <c r="A487" s="966"/>
      <c r="B487" s="924" t="s">
        <v>134</v>
      </c>
      <c r="C487" s="966"/>
      <c r="D487" s="1557"/>
      <c r="E487" s="1557"/>
      <c r="F487" s="1557"/>
      <c r="G487" s="8"/>
    </row>
    <row r="488" spans="1:7" ht="12.75">
      <c r="A488" s="966"/>
      <c r="B488" s="966"/>
      <c r="C488" s="966"/>
      <c r="D488" s="1557"/>
      <c r="E488" s="1557"/>
      <c r="F488" s="1557"/>
      <c r="G488" s="8"/>
    </row>
    <row r="489" spans="1:7" ht="12.75">
      <c r="A489" s="966"/>
      <c r="B489" s="924" t="s">
        <v>134</v>
      </c>
      <c r="C489" s="966"/>
      <c r="D489" s="1557"/>
      <c r="E489" s="1557"/>
      <c r="F489" s="1557"/>
      <c r="G489" s="8"/>
    </row>
    <row r="490" spans="1:7" ht="12.75">
      <c r="A490" s="966"/>
      <c r="B490" s="14"/>
      <c r="C490" s="966"/>
      <c r="D490" s="1557"/>
      <c r="E490" s="1557"/>
      <c r="F490" s="1557"/>
      <c r="G490" s="8"/>
    </row>
    <row r="491" spans="1:7" ht="13.7" customHeight="1">
      <c r="A491" s="140"/>
      <c r="B491" s="967" t="s">
        <v>134</v>
      </c>
      <c r="C491" s="140"/>
      <c r="D491" s="1557" t="s">
        <v>1725</v>
      </c>
      <c r="E491" s="1557"/>
      <c r="F491" s="1557"/>
      <c r="G491" s="8"/>
    </row>
    <row r="492" spans="1:7" ht="12.75">
      <c r="A492" s="140"/>
      <c r="B492" s="140"/>
      <c r="C492" s="140"/>
      <c r="D492" s="1557"/>
      <c r="E492" s="1557"/>
      <c r="F492" s="1557"/>
      <c r="G492" s="8"/>
    </row>
    <row r="493" spans="1:7" ht="12.75">
      <c r="A493" s="140"/>
      <c r="B493" s="140"/>
      <c r="C493" s="140"/>
      <c r="D493" s="1557"/>
      <c r="E493" s="1557"/>
      <c r="F493" s="1557"/>
      <c r="G493" s="8"/>
    </row>
    <row r="494" spans="1:7" ht="12.75">
      <c r="A494" s="140"/>
      <c r="B494" s="140"/>
      <c r="C494" s="140"/>
      <c r="D494" s="1557"/>
      <c r="E494" s="1557"/>
      <c r="F494" s="1557"/>
      <c r="G494" s="8"/>
    </row>
    <row r="495" spans="1:7" ht="12.75">
      <c r="A495" s="140"/>
      <c r="B495" s="140"/>
      <c r="C495" s="140"/>
      <c r="D495" s="1557"/>
      <c r="E495" s="1557"/>
      <c r="F495" s="1557"/>
      <c r="G495" s="8"/>
    </row>
    <row r="496" spans="1:7" ht="12.75">
      <c r="A496" s="140"/>
      <c r="B496" s="140"/>
      <c r="C496" s="140"/>
      <c r="D496" s="143"/>
      <c r="E496" s="8"/>
      <c r="F496" s="8"/>
      <c r="G496" s="8"/>
    </row>
    <row r="497" spans="1:7" ht="12.75">
      <c r="A497" s="140"/>
      <c r="B497" s="924" t="s">
        <v>134</v>
      </c>
      <c r="C497" s="140"/>
      <c r="D497" s="1572" t="s">
        <v>1543</v>
      </c>
      <c r="E497" s="1572"/>
      <c r="F497" s="1572"/>
      <c r="G497" s="8"/>
    </row>
    <row r="498" spans="1:7" ht="12.75">
      <c r="A498" s="143"/>
      <c r="B498" s="143"/>
      <c r="C498" s="14"/>
      <c r="D498" s="282"/>
      <c r="E498" s="282"/>
      <c r="F498" s="282"/>
    </row>
    <row r="499" spans="1:7" ht="12.75">
      <c r="A499" s="1567" t="s">
        <v>1500</v>
      </c>
      <c r="B499" s="1567"/>
      <c r="C499" s="1567"/>
      <c r="D499" s="1567"/>
      <c r="E499" s="1567"/>
      <c r="F499" s="1567"/>
      <c r="G499" s="1567"/>
    </row>
    <row r="500" spans="1:7" ht="12.75">
      <c r="A500" s="143"/>
      <c r="B500" s="143"/>
      <c r="C500" s="14"/>
      <c r="D500" s="282"/>
      <c r="E500" s="282"/>
      <c r="F500" s="282"/>
    </row>
    <row r="501" spans="1:7" ht="12.75">
      <c r="A501" s="140"/>
      <c r="B501" s="140"/>
      <c r="C501" s="14"/>
      <c r="D501" s="1573" t="s">
        <v>1207</v>
      </c>
      <c r="E501" s="1573"/>
      <c r="F501" s="1573"/>
    </row>
    <row r="502" spans="1:7" ht="12.75">
      <c r="D502" s="1574" t="s">
        <v>1536</v>
      </c>
      <c r="E502" s="1574"/>
      <c r="F502" s="1574"/>
    </row>
    <row r="503" spans="1:7" ht="14.25">
      <c r="A503" s="413"/>
      <c r="B503" s="413"/>
      <c r="C503" s="14"/>
      <c r="D503" s="645"/>
      <c r="E503" s="282"/>
      <c r="F503" s="282"/>
    </row>
    <row r="504" spans="1:7" ht="14.25">
      <c r="A504" s="413"/>
      <c r="B504" s="924" t="s">
        <v>134</v>
      </c>
      <c r="C504" s="14"/>
      <c r="D504" s="1575" t="s">
        <v>1726</v>
      </c>
      <c r="E504" s="1575"/>
      <c r="F504" s="1575"/>
    </row>
    <row r="505" spans="1:7" ht="14.25">
      <c r="A505" s="413"/>
      <c r="B505" s="413"/>
      <c r="C505" s="14"/>
      <c r="D505" s="1575"/>
      <c r="E505" s="1575"/>
      <c r="F505" s="1575"/>
    </row>
    <row r="506" spans="1:7" ht="14.25">
      <c r="A506" s="413"/>
      <c r="B506" s="413"/>
      <c r="C506" s="14"/>
      <c r="D506" s="287"/>
      <c r="E506" s="282"/>
      <c r="F506" s="282"/>
    </row>
    <row r="507" spans="1:7" ht="14.25">
      <c r="A507" s="552"/>
      <c r="B507" s="924" t="s">
        <v>134</v>
      </c>
      <c r="D507" s="1576" t="s">
        <v>2069</v>
      </c>
      <c r="E507" s="1577"/>
      <c r="F507" s="1577"/>
    </row>
    <row r="508" spans="1:7" ht="14.25">
      <c r="A508" s="552"/>
      <c r="B508" s="552"/>
      <c r="D508" s="1577"/>
      <c r="E508" s="1577"/>
      <c r="F508" s="1577"/>
    </row>
    <row r="509" spans="1:7" ht="14.25">
      <c r="A509" s="552"/>
      <c r="B509" s="552"/>
      <c r="D509" s="1577"/>
      <c r="E509" s="1577"/>
      <c r="F509" s="1577"/>
      <c r="G509" s="2"/>
    </row>
    <row r="510" spans="1:7" ht="14.25">
      <c r="A510" s="552"/>
      <c r="B510" s="552"/>
      <c r="D510" s="1577"/>
      <c r="E510" s="1577"/>
      <c r="F510" s="1577"/>
      <c r="G510" s="2"/>
    </row>
    <row r="511" spans="1:7" ht="12.75">
      <c r="A511" s="150"/>
      <c r="B511" s="150"/>
      <c r="G511" s="2"/>
    </row>
    <row r="512" spans="1:7" ht="14.25">
      <c r="A512" s="413"/>
      <c r="B512" s="924" t="s">
        <v>134</v>
      </c>
      <c r="C512" s="14"/>
      <c r="D512" s="1561" t="s">
        <v>1728</v>
      </c>
      <c r="E512" s="1561"/>
      <c r="F512" s="1561"/>
      <c r="G512" s="2"/>
    </row>
    <row r="513" spans="1:7" ht="12.75">
      <c r="A513" s="140"/>
      <c r="B513" s="140"/>
      <c r="C513" s="14"/>
      <c r="D513" s="287"/>
      <c r="E513" s="282"/>
      <c r="F513" s="282"/>
      <c r="G513" s="2"/>
    </row>
    <row r="514" spans="1:7" ht="14.25">
      <c r="A514" s="413"/>
      <c r="B514" s="924" t="s">
        <v>134</v>
      </c>
      <c r="C514" s="14"/>
      <c r="D514" s="1559" t="s">
        <v>1729</v>
      </c>
      <c r="E514" s="1559"/>
      <c r="F514" s="1559"/>
      <c r="G514" s="2"/>
    </row>
    <row r="515" spans="1:7" ht="12.75">
      <c r="A515" s="140"/>
      <c r="B515" s="140"/>
      <c r="C515" s="14"/>
      <c r="D515" s="1559"/>
      <c r="E515" s="1559"/>
      <c r="F515" s="1559"/>
      <c r="G515" s="2"/>
    </row>
    <row r="516" spans="1:7" ht="12.75">
      <c r="A516" s="140"/>
      <c r="B516" s="140"/>
      <c r="C516" s="14"/>
      <c r="D516" s="680"/>
      <c r="E516" s="282"/>
      <c r="F516" s="282"/>
      <c r="G516" s="2"/>
    </row>
    <row r="517" spans="1:7" ht="14.25">
      <c r="A517" s="413"/>
      <c r="B517" s="924" t="s">
        <v>134</v>
      </c>
      <c r="C517" s="14"/>
      <c r="D517" s="1561" t="s">
        <v>1727</v>
      </c>
      <c r="E517" s="1561"/>
      <c r="F517" s="1561"/>
    </row>
    <row r="518" spans="1:7" ht="14.25">
      <c r="A518" s="413"/>
      <c r="B518" s="413"/>
      <c r="C518" s="14"/>
      <c r="D518" s="287"/>
      <c r="E518" s="282"/>
      <c r="F518" s="282"/>
    </row>
    <row r="519" spans="1:7" ht="12.75">
      <c r="A519" s="1567" t="s">
        <v>1501</v>
      </c>
      <c r="B519" s="1567"/>
      <c r="C519" s="1567"/>
      <c r="D519" s="1567"/>
      <c r="E519" s="1567"/>
      <c r="F519" s="1567"/>
      <c r="G519" s="1567"/>
    </row>
    <row r="520" spans="1:7" ht="12" customHeight="1">
      <c r="A520" s="413"/>
      <c r="B520" s="413"/>
      <c r="C520" s="14"/>
      <c r="D520" s="287"/>
      <c r="E520" s="282"/>
      <c r="F520" s="282"/>
    </row>
    <row r="521" spans="1:7" ht="12.75">
      <c r="A521" s="150"/>
      <c r="B521" s="924" t="s">
        <v>1498</v>
      </c>
      <c r="C521" s="406"/>
      <c r="D521" s="1616" t="s">
        <v>1663</v>
      </c>
      <c r="E521" s="1616"/>
      <c r="F521" s="1616"/>
    </row>
    <row r="522" spans="1:7" ht="12.75">
      <c r="A522" s="150"/>
      <c r="C522" s="406"/>
      <c r="D522" s="1616"/>
      <c r="E522" s="1616"/>
      <c r="F522" s="1616"/>
    </row>
    <row r="523" spans="1:7" ht="12.75">
      <c r="A523" s="555"/>
      <c r="B523" s="555"/>
      <c r="C523" s="553"/>
      <c r="D523" s="1616"/>
      <c r="E523" s="1616"/>
      <c r="F523" s="1616"/>
    </row>
    <row r="524" spans="1:7" ht="12.75">
      <c r="A524" s="555"/>
      <c r="B524" s="555"/>
      <c r="C524" s="553"/>
      <c r="D524" s="1616"/>
      <c r="E524" s="1616"/>
      <c r="F524" s="1616"/>
    </row>
    <row r="525" spans="1:7" ht="12.75">
      <c r="A525" s="555"/>
      <c r="B525" s="555"/>
      <c r="C525" s="553"/>
    </row>
    <row r="526" spans="1:7" ht="14.25">
      <c r="A526" s="413"/>
      <c r="B526" s="924" t="s">
        <v>134</v>
      </c>
      <c r="C526" s="322"/>
      <c r="D526" s="1592" t="s">
        <v>1677</v>
      </c>
      <c r="E526" s="1592"/>
      <c r="F526" s="1592"/>
      <c r="G526" s="2"/>
    </row>
    <row r="527" spans="1:7" ht="12.75">
      <c r="A527" s="355"/>
      <c r="B527" s="355"/>
      <c r="C527" s="322"/>
      <c r="D527" s="1592"/>
      <c r="E527" s="1592"/>
      <c r="F527" s="1592"/>
      <c r="G527" s="2"/>
    </row>
    <row r="528" spans="1:7" ht="12.75">
      <c r="A528" s="555"/>
      <c r="B528" s="555"/>
      <c r="C528" s="553"/>
      <c r="D528" s="403"/>
      <c r="G528" s="2"/>
    </row>
    <row r="529" spans="1:7" ht="12.75">
      <c r="A529" s="555"/>
      <c r="B529" s="924" t="s">
        <v>134</v>
      </c>
      <c r="C529" s="553"/>
      <c r="D529" s="1506" t="s">
        <v>2313</v>
      </c>
      <c r="E529" s="1507"/>
      <c r="G529" s="2"/>
    </row>
    <row r="530" spans="1:7" ht="12.75">
      <c r="A530" s="555"/>
      <c r="B530" s="555"/>
      <c r="C530" s="553"/>
      <c r="D530" s="1507"/>
      <c r="E530" s="930" t="s">
        <v>2314</v>
      </c>
      <c r="G530" s="2"/>
    </row>
    <row r="531" spans="1:7" ht="14.25">
      <c r="A531" s="552"/>
      <c r="B531" s="2"/>
      <c r="D531" s="1617" t="s">
        <v>1655</v>
      </c>
      <c r="E531" s="1617"/>
      <c r="F531" s="1617"/>
      <c r="G531" s="2"/>
    </row>
    <row r="532" spans="1:7" ht="14.25">
      <c r="A532" s="552"/>
      <c r="B532" s="552"/>
      <c r="D532" s="1617"/>
      <c r="E532" s="1617"/>
      <c r="F532" s="1617"/>
      <c r="G532" s="2"/>
    </row>
    <row r="533" spans="1:7" ht="12.75">
      <c r="A533" s="150"/>
      <c r="B533" s="150"/>
      <c r="D533" s="1617"/>
      <c r="E533" s="1617"/>
      <c r="F533" s="1617"/>
    </row>
    <row r="534" spans="1:7" ht="12" customHeight="1">
      <c r="A534" s="679"/>
      <c r="B534" s="679"/>
      <c r="C534" s="405"/>
      <c r="E534" s="403"/>
    </row>
    <row r="535" spans="1:7" ht="12.75">
      <c r="A535" s="1567" t="s">
        <v>1513</v>
      </c>
      <c r="B535" s="1567"/>
      <c r="C535" s="1567"/>
      <c r="D535" s="1567"/>
      <c r="E535" s="1567"/>
      <c r="F535" s="1567"/>
      <c r="G535" s="1567"/>
    </row>
    <row r="536" spans="1:7" ht="12" customHeight="1">
      <c r="A536" s="143"/>
      <c r="B536" s="143"/>
      <c r="C536" s="322"/>
      <c r="D536" s="282"/>
      <c r="E536" s="287"/>
      <c r="F536" s="282"/>
    </row>
    <row r="537" spans="1:7" ht="12.75">
      <c r="A537" s="140"/>
      <c r="B537" s="140"/>
      <c r="C537" s="322"/>
      <c r="D537" s="1568" t="s">
        <v>1544</v>
      </c>
      <c r="E537" s="1568"/>
      <c r="F537" s="1568"/>
    </row>
    <row r="538" spans="1:7" ht="12.75">
      <c r="A538" s="140"/>
      <c r="B538" s="140"/>
      <c r="C538" s="14"/>
      <c r="D538" s="282"/>
      <c r="E538" s="282"/>
      <c r="F538" s="282"/>
    </row>
    <row r="539" spans="1:7" ht="12.75">
      <c r="A539" s="140"/>
      <c r="B539" s="924" t="s">
        <v>134</v>
      </c>
      <c r="C539" s="14"/>
      <c r="D539" s="1559" t="s">
        <v>1695</v>
      </c>
      <c r="E539" s="1559"/>
      <c r="F539" s="1559"/>
    </row>
    <row r="540" spans="1:7" ht="12.75">
      <c r="A540" s="140"/>
      <c r="B540" s="140"/>
      <c r="C540" s="14"/>
      <c r="D540" s="1559"/>
      <c r="E540" s="1559"/>
      <c r="F540" s="1559"/>
    </row>
    <row r="541" spans="1:7" ht="12" customHeight="1">
      <c r="A541" s="355"/>
      <c r="B541" s="355"/>
      <c r="C541" s="322"/>
      <c r="D541" s="287"/>
      <c r="E541" s="282"/>
      <c r="F541" s="282"/>
    </row>
    <row r="542" spans="1:7" ht="14.25">
      <c r="A542" s="413"/>
      <c r="B542" s="924" t="s">
        <v>134</v>
      </c>
      <c r="C542" s="322"/>
      <c r="D542" s="1559" t="s">
        <v>1696</v>
      </c>
      <c r="E542" s="1559"/>
      <c r="F542" s="1559"/>
    </row>
    <row r="543" spans="1:7" ht="12.75">
      <c r="A543" s="355"/>
      <c r="B543" s="355"/>
      <c r="C543" s="322"/>
      <c r="D543" s="1559"/>
      <c r="E543" s="1559"/>
      <c r="F543" s="1559"/>
    </row>
    <row r="544" spans="1:7" ht="12" customHeight="1">
      <c r="A544" s="355"/>
      <c r="B544" s="355"/>
      <c r="C544" s="322"/>
      <c r="D544" s="287"/>
      <c r="E544" s="282"/>
      <c r="F544" s="282"/>
    </row>
    <row r="545" spans="1:7" ht="12.75">
      <c r="A545" s="1608" t="s">
        <v>1553</v>
      </c>
      <c r="B545" s="1608"/>
      <c r="C545" s="1608"/>
      <c r="D545" s="1608"/>
      <c r="E545" s="1608"/>
      <c r="F545" s="1608"/>
      <c r="G545" s="1608"/>
    </row>
    <row r="546" spans="1:7" ht="12" customHeight="1">
      <c r="A546" s="143"/>
      <c r="B546" s="143"/>
      <c r="C546" s="322"/>
      <c r="D546" s="287"/>
      <c r="E546" s="282"/>
      <c r="F546" s="282"/>
    </row>
    <row r="547" spans="1:7" ht="12.75">
      <c r="A547" s="140"/>
      <c r="B547" s="140"/>
      <c r="C547" s="322"/>
      <c r="D547" s="1568" t="s">
        <v>179</v>
      </c>
      <c r="E547" s="1568"/>
      <c r="F547" s="1568"/>
    </row>
    <row r="548" spans="1:7" ht="12.75">
      <c r="A548" s="140"/>
      <c r="B548" s="140"/>
      <c r="C548" s="322"/>
      <c r="D548" s="1561" t="s">
        <v>1673</v>
      </c>
      <c r="E548" s="1561"/>
      <c r="F548" s="1561"/>
    </row>
    <row r="549" spans="1:7" ht="12.75">
      <c r="A549" s="140"/>
      <c r="B549" s="140"/>
      <c r="C549" s="322"/>
      <c r="D549" s="287"/>
      <c r="E549" s="287"/>
      <c r="F549" s="287"/>
    </row>
    <row r="550" spans="1:7" ht="14.25">
      <c r="A550" s="413"/>
      <c r="B550" s="924" t="s">
        <v>1498</v>
      </c>
      <c r="C550" s="322"/>
      <c r="D550" s="1561" t="s">
        <v>1200</v>
      </c>
      <c r="E550" s="1561"/>
      <c r="F550" s="1561"/>
    </row>
    <row r="551" spans="1:7" ht="12" customHeight="1">
      <c r="A551" s="355"/>
      <c r="B551" s="355"/>
      <c r="C551" s="322"/>
      <c r="D551" s="287"/>
      <c r="E551" s="2"/>
      <c r="F551" s="2"/>
      <c r="G551" s="2"/>
    </row>
    <row r="552" spans="1:7" ht="14.45" customHeight="1">
      <c r="A552" s="413"/>
      <c r="B552" s="924" t="s">
        <v>1498</v>
      </c>
      <c r="C552" s="322"/>
      <c r="D552" s="1559" t="s">
        <v>1672</v>
      </c>
      <c r="E552" s="1559"/>
      <c r="F552" s="1559"/>
      <c r="G552" s="2"/>
    </row>
    <row r="553" spans="1:7" ht="12.75">
      <c r="A553" s="355"/>
      <c r="B553" s="355"/>
      <c r="C553" s="322"/>
      <c r="D553" s="1559"/>
      <c r="E553" s="1559"/>
      <c r="F553" s="1559"/>
      <c r="G553" s="2"/>
    </row>
    <row r="554" spans="1:7" ht="12" customHeight="1">
      <c r="A554" s="355"/>
      <c r="B554" s="355"/>
      <c r="C554" s="322"/>
      <c r="D554" s="287"/>
      <c r="E554" s="2"/>
      <c r="F554" s="2"/>
      <c r="G554" s="2"/>
    </row>
    <row r="555" spans="1:7" ht="14.25">
      <c r="A555" s="413"/>
      <c r="B555" s="1514" t="s">
        <v>1498</v>
      </c>
      <c r="C555" s="322"/>
      <c r="D555" s="1559" t="s">
        <v>1674</v>
      </c>
      <c r="E555" s="1559"/>
      <c r="F555" s="1559"/>
      <c r="G555" s="2"/>
    </row>
    <row r="556" spans="1:7" ht="12.75">
      <c r="A556" s="355"/>
      <c r="B556" s="355"/>
      <c r="C556" s="322"/>
      <c r="D556" s="1559"/>
      <c r="E556" s="1559"/>
      <c r="F556" s="1559"/>
      <c r="G556" s="2"/>
    </row>
    <row r="557" spans="1:7" ht="12" customHeight="1">
      <c r="A557" s="355"/>
      <c r="B557" s="355"/>
      <c r="C557" s="322"/>
      <c r="D557" s="287"/>
      <c r="E557" s="2"/>
      <c r="F557" s="2"/>
      <c r="G557" s="2"/>
    </row>
    <row r="558" spans="1:7" ht="14.25">
      <c r="A558" s="413"/>
      <c r="B558" s="924" t="s">
        <v>1498</v>
      </c>
      <c r="C558" s="322"/>
      <c r="D558" s="1559" t="s">
        <v>1675</v>
      </c>
      <c r="E558" s="1559"/>
      <c r="F558" s="1559"/>
      <c r="G558" s="2"/>
    </row>
    <row r="559" spans="1:7" ht="12.75">
      <c r="A559" s="355"/>
      <c r="B559" s="355"/>
      <c r="C559" s="322"/>
      <c r="D559" s="1559"/>
      <c r="E559" s="1559"/>
      <c r="F559" s="1559"/>
      <c r="G559" s="2"/>
    </row>
    <row r="560" spans="1:7" ht="12" customHeight="1">
      <c r="A560" s="355"/>
      <c r="B560" s="355"/>
      <c r="C560" s="322"/>
      <c r="D560" s="287"/>
      <c r="E560" s="2"/>
      <c r="F560" s="2"/>
      <c r="G560" s="2"/>
    </row>
    <row r="561" spans="1:7" ht="14.45" customHeight="1">
      <c r="A561" s="413"/>
      <c r="B561" s="924" t="s">
        <v>1498</v>
      </c>
      <c r="C561" s="322"/>
      <c r="D561" s="1559" t="s">
        <v>1676</v>
      </c>
      <c r="E561" s="1559"/>
      <c r="F561" s="1559"/>
      <c r="G561" s="2"/>
    </row>
    <row r="562" spans="1:7" ht="12.75">
      <c r="A562" s="355"/>
      <c r="B562" s="355"/>
      <c r="C562" s="322"/>
      <c r="D562" s="1559"/>
      <c r="E562" s="1559"/>
      <c r="F562" s="1559"/>
      <c r="G562" s="2"/>
    </row>
    <row r="563" spans="1:7" ht="12.75">
      <c r="A563" s="355"/>
      <c r="B563" s="355"/>
      <c r="C563" s="322"/>
      <c r="D563" s="1559"/>
      <c r="E563" s="1559"/>
      <c r="F563" s="1559"/>
      <c r="G563" s="2"/>
    </row>
    <row r="564" spans="1:7" ht="12.75">
      <c r="A564" s="355"/>
      <c r="B564" s="355"/>
      <c r="C564" s="322"/>
      <c r="D564" s="287"/>
      <c r="E564" s="2"/>
      <c r="F564" s="2"/>
      <c r="G564" s="2"/>
    </row>
    <row r="565" spans="1:7" ht="14.25">
      <c r="A565" s="413"/>
      <c r="B565" s="924" t="s">
        <v>134</v>
      </c>
      <c r="C565" s="322"/>
      <c r="D565" s="1591" t="s">
        <v>1784</v>
      </c>
      <c r="E565" s="1592"/>
      <c r="F565" s="1592"/>
      <c r="G565" s="2"/>
    </row>
    <row r="566" spans="1:7" ht="12.75">
      <c r="A566" s="355"/>
      <c r="B566" s="355"/>
      <c r="C566" s="322"/>
      <c r="D566" s="1592"/>
      <c r="E566" s="1592"/>
      <c r="F566" s="1592"/>
      <c r="G566" s="2"/>
    </row>
    <row r="567" spans="1:7" ht="12.75">
      <c r="A567" s="355"/>
      <c r="B567" s="355"/>
      <c r="C567" s="322"/>
      <c r="D567" s="679"/>
      <c r="E567" s="282"/>
      <c r="F567" s="282"/>
      <c r="G567" s="2"/>
    </row>
    <row r="568" spans="1:7" ht="14.25">
      <c r="A568" s="413"/>
      <c r="B568" s="924" t="s">
        <v>1498</v>
      </c>
      <c r="C568" s="322"/>
      <c r="D568" s="1559" t="s">
        <v>1678</v>
      </c>
      <c r="E568" s="1559"/>
      <c r="F568" s="1559"/>
      <c r="G568" s="2"/>
    </row>
    <row r="569" spans="1:7" ht="12.75">
      <c r="A569" s="355"/>
      <c r="B569" s="355"/>
      <c r="C569" s="322"/>
      <c r="D569" s="1559"/>
      <c r="E569" s="1559"/>
      <c r="F569" s="1559"/>
      <c r="G569" s="2"/>
    </row>
    <row r="570" spans="1:7" ht="12" customHeight="1">
      <c r="A570" s="355"/>
      <c r="B570" s="355"/>
      <c r="C570" s="322"/>
      <c r="D570" s="287"/>
      <c r="E570" s="282"/>
      <c r="F570" s="282"/>
      <c r="G570" s="2"/>
    </row>
    <row r="571" spans="1:7" ht="14.25">
      <c r="A571" s="413"/>
      <c r="B571" s="924" t="s">
        <v>1498</v>
      </c>
      <c r="C571" s="322"/>
      <c r="D571" s="1561" t="s">
        <v>1679</v>
      </c>
      <c r="E571" s="1561"/>
      <c r="F571" s="1561"/>
      <c r="G571" s="2"/>
    </row>
    <row r="572" spans="1:7" ht="14.25">
      <c r="A572" s="413"/>
      <c r="B572" s="413"/>
      <c r="C572" s="322"/>
      <c r="D572" s="1613" t="s">
        <v>2315</v>
      </c>
      <c r="E572" s="1613"/>
      <c r="F572" s="1613"/>
      <c r="G572" s="2"/>
    </row>
    <row r="573" spans="1:7" ht="12.75">
      <c r="A573" s="410"/>
      <c r="B573" s="410"/>
      <c r="C573" s="405"/>
      <c r="D573" s="1508"/>
      <c r="E573" s="930" t="s">
        <v>2316</v>
      </c>
      <c r="F573" s="1509"/>
      <c r="G573" s="2"/>
    </row>
    <row r="574" spans="1:7" ht="15" customHeight="1">
      <c r="A574" s="410"/>
      <c r="B574" s="410"/>
      <c r="C574" s="405"/>
      <c r="D574" s="1569" t="s">
        <v>1917</v>
      </c>
      <c r="E574" s="1602"/>
      <c r="F574" s="1602"/>
      <c r="G574" s="2"/>
    </row>
    <row r="575" spans="1:7" ht="12.75">
      <c r="A575" s="410"/>
      <c r="B575" s="410"/>
      <c r="C575" s="405"/>
      <c r="D575" s="1602"/>
      <c r="E575" s="1602"/>
      <c r="F575" s="1602"/>
      <c r="G575" s="2"/>
    </row>
    <row r="576" spans="1:7" ht="12.75">
      <c r="A576" s="410"/>
      <c r="B576" s="410"/>
      <c r="C576" s="405"/>
      <c r="D576" s="1602"/>
      <c r="E576" s="1602"/>
      <c r="F576" s="1602"/>
      <c r="G576" s="2"/>
    </row>
    <row r="577" spans="1:7" ht="12.75">
      <c r="A577" s="410"/>
      <c r="B577" s="410"/>
      <c r="C577" s="405"/>
      <c r="D577" s="1602"/>
      <c r="E577" s="1602"/>
      <c r="F577" s="1602"/>
      <c r="G577" s="2"/>
    </row>
    <row r="578" spans="1:7" ht="12.75">
      <c r="A578" s="410"/>
      <c r="B578" s="410"/>
      <c r="C578" s="405"/>
      <c r="D578" s="1602"/>
      <c r="E578" s="1602"/>
      <c r="F578" s="1602"/>
      <c r="G578" s="2"/>
    </row>
    <row r="579" spans="1:7" ht="12.75">
      <c r="A579" s="410"/>
      <c r="B579" s="410"/>
      <c r="C579" s="405"/>
      <c r="D579" s="1602"/>
      <c r="E579" s="1602"/>
      <c r="F579" s="1602"/>
      <c r="G579" s="2"/>
    </row>
    <row r="580" spans="1:7" ht="12.75">
      <c r="A580" s="410"/>
      <c r="B580" s="410"/>
      <c r="C580" s="405"/>
      <c r="D580" s="1602"/>
      <c r="E580" s="1602"/>
      <c r="F580" s="1602"/>
      <c r="G580" s="2"/>
    </row>
    <row r="581" spans="1:7" ht="12.75">
      <c r="A581" s="410"/>
      <c r="B581" s="410"/>
      <c r="C581" s="405"/>
      <c r="D581" s="1602"/>
      <c r="E581" s="1602"/>
      <c r="F581" s="1602"/>
      <c r="G581" s="2"/>
    </row>
    <row r="582" spans="1:7" ht="12.75">
      <c r="A582" s="410"/>
      <c r="B582" s="410"/>
      <c r="C582" s="405"/>
      <c r="D582" s="1602"/>
      <c r="E582" s="1602"/>
      <c r="F582" s="1602"/>
      <c r="G582" s="2"/>
    </row>
    <row r="583" spans="1:7" ht="12.75">
      <c r="A583" s="410"/>
      <c r="B583" s="410"/>
      <c r="C583" s="405"/>
      <c r="D583" s="928"/>
      <c r="E583" s="928"/>
      <c r="F583" s="928"/>
      <c r="G583" s="2"/>
    </row>
    <row r="584" spans="1:7" ht="14.25">
      <c r="A584" s="552"/>
      <c r="B584" s="924" t="s">
        <v>1498</v>
      </c>
      <c r="C584" s="405"/>
      <c r="D584" s="1620" t="s">
        <v>1680</v>
      </c>
      <c r="E584" s="1620"/>
      <c r="F584" s="1620"/>
      <c r="G584" s="2"/>
    </row>
    <row r="585" spans="1:7" ht="13.7" customHeight="1">
      <c r="A585" s="140"/>
      <c r="B585" s="140"/>
      <c r="C585" s="322"/>
      <c r="D585" s="1559" t="s">
        <v>1681</v>
      </c>
      <c r="E585" s="1559"/>
      <c r="F585" s="1559"/>
      <c r="G585" s="2"/>
    </row>
    <row r="586" spans="1:7" ht="12.75">
      <c r="A586" s="355"/>
      <c r="B586" s="355"/>
      <c r="C586" s="322"/>
      <c r="D586" s="1559"/>
      <c r="E586" s="1559"/>
      <c r="F586" s="1559"/>
      <c r="G586" s="2"/>
    </row>
    <row r="587" spans="1:7" ht="12.75">
      <c r="A587" s="355"/>
      <c r="B587" s="355"/>
      <c r="C587" s="322"/>
      <c r="D587" s="1559"/>
      <c r="E587" s="1559"/>
      <c r="F587" s="1559"/>
      <c r="G587" s="2"/>
    </row>
    <row r="588" spans="1:7" ht="12.75">
      <c r="A588" s="355"/>
      <c r="B588" s="355"/>
      <c r="C588" s="322"/>
      <c r="D588" s="954"/>
      <c r="E588" s="954"/>
      <c r="F588" s="954"/>
      <c r="G588" s="2"/>
    </row>
    <row r="589" spans="1:7" ht="14.45" customHeight="1">
      <c r="A589" s="413"/>
      <c r="B589" s="924" t="s">
        <v>1498</v>
      </c>
      <c r="C589" s="322"/>
      <c r="D589" s="1559" t="s">
        <v>1682</v>
      </c>
      <c r="E589" s="1559"/>
      <c r="F589" s="1559"/>
      <c r="G589" s="2"/>
    </row>
    <row r="590" spans="1:7" ht="14.25">
      <c r="A590" s="413"/>
      <c r="B590" s="413"/>
      <c r="C590" s="322"/>
      <c r="D590" s="1559"/>
      <c r="E590" s="1559"/>
      <c r="F590" s="1559"/>
      <c r="G590" s="2"/>
    </row>
    <row r="591" spans="1:7" ht="14.25">
      <c r="A591" s="413"/>
      <c r="B591" s="413"/>
      <c r="C591" s="322"/>
      <c r="D591" s="1559"/>
      <c r="E591" s="1559"/>
      <c r="F591" s="1559"/>
    </row>
    <row r="592" spans="1:7" ht="12.75">
      <c r="A592" s="355"/>
      <c r="B592" s="355"/>
      <c r="C592" s="322"/>
      <c r="D592" s="1559"/>
      <c r="E592" s="1559"/>
      <c r="F592" s="1559"/>
    </row>
    <row r="593" spans="1:7" ht="12.75">
      <c r="A593" s="355"/>
      <c r="B593" s="355"/>
      <c r="C593" s="322"/>
      <c r="D593" s="287"/>
      <c r="E593" s="282"/>
      <c r="F593" s="282"/>
    </row>
    <row r="594" spans="1:7" ht="12.75">
      <c r="A594" s="415"/>
      <c r="B594" s="924" t="s">
        <v>134</v>
      </c>
      <c r="C594" s="299"/>
      <c r="D594" s="1565" t="s">
        <v>1985</v>
      </c>
      <c r="E594" s="1566"/>
      <c r="F594" s="1566"/>
      <c r="G594" s="288"/>
    </row>
    <row r="595" spans="1:7" ht="12.75">
      <c r="A595" s="415"/>
      <c r="B595" s="415"/>
      <c r="C595" s="299"/>
      <c r="D595" s="282"/>
      <c r="E595" s="282"/>
      <c r="F595" s="282"/>
      <c r="G595" s="288"/>
    </row>
    <row r="596" spans="1:7" ht="12.75">
      <c r="A596" s="355"/>
      <c r="B596" s="355"/>
      <c r="C596" s="322"/>
      <c r="D596" s="933"/>
      <c r="E596" s="933"/>
      <c r="F596" s="933"/>
    </row>
    <row r="597" spans="1:7" ht="12.75">
      <c r="A597" s="1567" t="s">
        <v>1515</v>
      </c>
      <c r="B597" s="1567"/>
      <c r="C597" s="1567"/>
      <c r="D597" s="1567"/>
      <c r="E597" s="1567"/>
      <c r="F597" s="1567"/>
      <c r="G597" s="1567"/>
    </row>
    <row r="598" spans="1:7" ht="12.75">
      <c r="A598" s="355"/>
      <c r="B598" s="355"/>
      <c r="C598" s="322"/>
      <c r="D598" s="282"/>
      <c r="E598" s="282"/>
      <c r="F598" s="282"/>
    </row>
    <row r="599" spans="1:7" ht="12.75">
      <c r="A599" s="140"/>
      <c r="B599" s="140"/>
      <c r="C599" s="298"/>
      <c r="D599" s="1570" t="s">
        <v>180</v>
      </c>
      <c r="E599" s="1570"/>
      <c r="F599" s="1570"/>
      <c r="G599" s="288"/>
    </row>
    <row r="600" spans="1:7" ht="12.75">
      <c r="A600" s="140"/>
      <c r="B600" s="140"/>
      <c r="C600" s="298"/>
      <c r="D600" s="1571" t="s">
        <v>1570</v>
      </c>
      <c r="E600" s="1571"/>
      <c r="F600" s="1571"/>
      <c r="G600" s="288"/>
    </row>
    <row r="601" spans="1:7" ht="12.75">
      <c r="A601" s="140"/>
      <c r="B601" s="140"/>
      <c r="C601" s="298"/>
      <c r="D601" s="575"/>
      <c r="E601" s="282"/>
      <c r="F601" s="282"/>
      <c r="G601" s="288"/>
    </row>
    <row r="602" spans="1:7" ht="14.25">
      <c r="A602" s="413"/>
      <c r="B602" s="924" t="s">
        <v>1498</v>
      </c>
      <c r="C602" s="14"/>
      <c r="D602" s="1571" t="s">
        <v>1201</v>
      </c>
      <c r="E602" s="1571"/>
      <c r="F602" s="1571"/>
      <c r="G602" s="288"/>
    </row>
    <row r="603" spans="1:7" ht="12.75">
      <c r="A603" s="33"/>
      <c r="B603" s="33"/>
      <c r="C603" s="14"/>
      <c r="D603" s="579"/>
      <c r="E603" s="282"/>
      <c r="F603" s="282"/>
      <c r="G603" s="288"/>
    </row>
    <row r="604" spans="1:7" ht="14.45" customHeight="1">
      <c r="A604" s="413"/>
      <c r="B604" s="924" t="s">
        <v>1498</v>
      </c>
      <c r="C604" s="14"/>
      <c r="D604" s="1577" t="s">
        <v>1572</v>
      </c>
      <c r="E604" s="1577"/>
      <c r="F604" s="1577"/>
      <c r="G604" s="288"/>
    </row>
    <row r="605" spans="1:7" ht="14.45" customHeight="1">
      <c r="A605" s="413"/>
      <c r="B605" s="413"/>
      <c r="C605" s="14"/>
      <c r="D605" s="1577"/>
      <c r="E605" s="1577"/>
      <c r="F605" s="1577"/>
      <c r="G605" s="288"/>
    </row>
    <row r="606" spans="1:7" ht="14.25">
      <c r="A606" s="413"/>
      <c r="B606" s="413"/>
      <c r="C606" s="14"/>
      <c r="D606" s="1577"/>
      <c r="E606" s="1577"/>
      <c r="F606" s="1577"/>
      <c r="G606" s="288"/>
    </row>
    <row r="607" spans="1:7" ht="14.25">
      <c r="A607" s="413"/>
      <c r="B607" s="413"/>
      <c r="C607" s="14"/>
      <c r="D607" s="932"/>
      <c r="E607" s="932"/>
      <c r="F607" s="932"/>
      <c r="G607" s="288"/>
    </row>
    <row r="608" spans="1:7" ht="14.25">
      <c r="A608" s="413"/>
      <c r="B608" s="924" t="s">
        <v>134</v>
      </c>
      <c r="C608" s="14"/>
      <c r="D608" s="1577" t="s">
        <v>1571</v>
      </c>
      <c r="E608" s="1577"/>
      <c r="F608" s="1577"/>
      <c r="G608" s="288"/>
    </row>
    <row r="609" spans="1:7" ht="14.25">
      <c r="A609" s="413"/>
      <c r="B609" s="413"/>
      <c r="C609" s="14"/>
      <c r="D609" s="1577"/>
      <c r="E609" s="1577"/>
      <c r="F609" s="1577"/>
      <c r="G609" s="288"/>
    </row>
    <row r="610" spans="1:7" ht="14.25">
      <c r="A610" s="413"/>
      <c r="B610" s="413"/>
      <c r="C610" s="14"/>
      <c r="D610" s="1577"/>
      <c r="E610" s="1577"/>
      <c r="F610" s="1577"/>
      <c r="G610" s="288"/>
    </row>
    <row r="611" spans="1:7" ht="14.25">
      <c r="A611" s="413"/>
      <c r="B611" s="413"/>
      <c r="C611" s="14"/>
      <c r="D611" s="1577"/>
      <c r="E611" s="1577"/>
      <c r="F611" s="1577"/>
      <c r="G611" s="288"/>
    </row>
    <row r="612" spans="1:7" ht="14.25">
      <c r="A612" s="413"/>
      <c r="B612" s="413"/>
      <c r="C612" s="14"/>
      <c r="D612" s="575"/>
      <c r="E612" s="282"/>
      <c r="F612" s="282"/>
      <c r="G612" s="288"/>
    </row>
    <row r="613" spans="1:7" ht="14.25">
      <c r="A613" s="552"/>
      <c r="B613" s="924" t="s">
        <v>1498</v>
      </c>
      <c r="D613" s="1577" t="s">
        <v>1573</v>
      </c>
      <c r="E613" s="1577"/>
      <c r="F613" s="1577"/>
      <c r="G613" s="288"/>
    </row>
    <row r="614" spans="1:7" ht="14.25">
      <c r="A614" s="552"/>
      <c r="B614" s="552"/>
      <c r="D614" s="1577"/>
      <c r="E614" s="1577"/>
      <c r="F614" s="1577"/>
      <c r="G614" s="288"/>
    </row>
    <row r="615" spans="1:7" ht="14.25">
      <c r="A615" s="413"/>
      <c r="B615" s="413"/>
      <c r="C615" s="14"/>
      <c r="D615" s="575"/>
      <c r="E615" s="282"/>
      <c r="F615" s="282"/>
      <c r="G615" s="288"/>
    </row>
    <row r="616" spans="1:7" ht="14.45" customHeight="1">
      <c r="A616" s="413"/>
      <c r="B616" s="924" t="s">
        <v>134</v>
      </c>
      <c r="C616" s="14"/>
      <c r="D616" s="1571" t="s">
        <v>1578</v>
      </c>
      <c r="E616" s="1571"/>
      <c r="F616" s="1571"/>
      <c r="G616" s="288"/>
    </row>
    <row r="617" spans="1:7" ht="14.25">
      <c r="A617" s="413"/>
      <c r="B617" s="413"/>
      <c r="C617" s="14"/>
      <c r="D617" s="1571"/>
      <c r="E617" s="1571"/>
      <c r="F617" s="1571"/>
      <c r="G617" s="288"/>
    </row>
    <row r="618" spans="1:7" ht="14.25">
      <c r="A618" s="413"/>
      <c r="B618" s="413"/>
      <c r="C618" s="14"/>
      <c r="D618" s="575"/>
      <c r="E618" s="282"/>
      <c r="F618" s="282"/>
      <c r="G618" s="288"/>
    </row>
    <row r="619" spans="1:7" ht="14.25">
      <c r="A619" s="413"/>
      <c r="B619" s="924" t="s">
        <v>1498</v>
      </c>
      <c r="C619" s="14"/>
      <c r="D619" s="1571" t="s">
        <v>1202</v>
      </c>
      <c r="E619" s="1571"/>
      <c r="F619" s="1571"/>
      <c r="G619" s="288"/>
    </row>
    <row r="620" spans="1:7" ht="12.75">
      <c r="A620" s="33"/>
      <c r="B620" s="33"/>
      <c r="C620" s="14"/>
      <c r="D620" s="282"/>
      <c r="E620" s="282"/>
      <c r="F620" s="282"/>
      <c r="G620" s="288"/>
    </row>
    <row r="621" spans="1:7" ht="12.75">
      <c r="A621" s="1567" t="s">
        <v>1517</v>
      </c>
      <c r="B621" s="1567"/>
      <c r="C621" s="1567"/>
      <c r="D621" s="1567"/>
      <c r="E621" s="1567"/>
      <c r="F621" s="1567"/>
      <c r="G621" s="1567"/>
    </row>
    <row r="622" spans="1:7" ht="12.75">
      <c r="A622" s="107"/>
      <c r="B622" s="107"/>
      <c r="C622" s="302"/>
      <c r="D622" s="283"/>
      <c r="E622" s="283"/>
      <c r="F622" s="283"/>
      <c r="G622" s="288"/>
    </row>
    <row r="623" spans="1:7" ht="12.75">
      <c r="A623" s="140"/>
      <c r="B623" s="140"/>
      <c r="C623" s="299"/>
      <c r="D623" s="1623" t="s">
        <v>1516</v>
      </c>
      <c r="E623" s="1623"/>
      <c r="F623" s="1623"/>
    </row>
    <row r="624" spans="1:7" ht="12.75">
      <c r="A624" s="140"/>
      <c r="B624" s="140"/>
      <c r="C624" s="299"/>
      <c r="D624" s="1566" t="s">
        <v>1545</v>
      </c>
      <c r="E624" s="1566"/>
      <c r="F624" s="1566"/>
    </row>
    <row r="625" spans="1:7" ht="12.75">
      <c r="A625" s="958"/>
      <c r="B625" s="958"/>
      <c r="C625" s="299"/>
      <c r="D625" s="956"/>
      <c r="E625" s="956"/>
      <c r="F625" s="956"/>
    </row>
    <row r="626" spans="1:7" ht="14.25" customHeight="1">
      <c r="A626" s="552"/>
      <c r="B626" s="924" t="s">
        <v>1498</v>
      </c>
      <c r="D626" s="1552" t="s">
        <v>2318</v>
      </c>
      <c r="E626" s="1553"/>
      <c r="F626" s="1553"/>
    </row>
    <row r="627" spans="1:7" ht="12.75">
      <c r="A627" s="140"/>
      <c r="B627" s="140"/>
      <c r="C627" s="14"/>
      <c r="D627" s="1553"/>
      <c r="E627" s="1553"/>
      <c r="F627" s="1553"/>
    </row>
    <row r="628" spans="1:7" ht="12.75">
      <c r="A628" s="140"/>
      <c r="B628" s="140"/>
      <c r="C628" s="14"/>
      <c r="D628" s="1510"/>
      <c r="E628" s="1503" t="s">
        <v>2317</v>
      </c>
      <c r="F628" s="1510"/>
    </row>
    <row r="629" spans="1:7" ht="12.75">
      <c r="A629" s="107"/>
      <c r="B629" s="107"/>
      <c r="C629" s="302"/>
      <c r="D629" s="283"/>
      <c r="E629" s="283"/>
      <c r="F629" s="283"/>
      <c r="G629" s="288"/>
    </row>
    <row r="630" spans="1:7" ht="12" customHeight="1">
      <c r="A630" s="1567" t="s">
        <v>1519</v>
      </c>
      <c r="B630" s="1567"/>
      <c r="C630" s="1567"/>
      <c r="D630" s="1567"/>
      <c r="E630" s="1567"/>
      <c r="F630" s="1567"/>
      <c r="G630" s="1567"/>
    </row>
    <row r="631" spans="1:7" ht="12.75">
      <c r="A631" s="143"/>
      <c r="B631" s="143"/>
      <c r="C631" s="14"/>
      <c r="D631" s="282"/>
      <c r="E631" s="282"/>
      <c r="F631" s="282"/>
      <c r="G631" s="288"/>
    </row>
    <row r="632" spans="1:7" ht="12.75">
      <c r="A632" s="140"/>
      <c r="B632" s="140"/>
      <c r="C632" s="303"/>
      <c r="D632" s="1568" t="s">
        <v>1518</v>
      </c>
      <c r="E632" s="1568"/>
      <c r="F632" s="1568"/>
      <c r="G632" s="288"/>
    </row>
    <row r="633" spans="1:7" ht="12.75">
      <c r="A633" s="415"/>
      <c r="B633" s="415"/>
      <c r="C633" s="299"/>
      <c r="D633" s="1561" t="s">
        <v>1697</v>
      </c>
      <c r="E633" s="1561"/>
      <c r="F633" s="1561"/>
      <c r="G633" s="288"/>
    </row>
    <row r="634" spans="1:7" ht="12.75">
      <c r="A634" s="415"/>
      <c r="B634" s="415"/>
      <c r="C634" s="299"/>
      <c r="D634" s="282"/>
      <c r="E634" s="282"/>
      <c r="F634" s="282"/>
      <c r="G634" s="288"/>
    </row>
    <row r="635" spans="1:7" ht="14.25">
      <c r="A635" s="413"/>
      <c r="B635" s="413"/>
      <c r="C635" s="14"/>
      <c r="D635" s="1623" t="s">
        <v>947</v>
      </c>
      <c r="E635" s="1623"/>
      <c r="F635" s="1623"/>
      <c r="G635" s="288"/>
    </row>
    <row r="636" spans="1:7" ht="14.25">
      <c r="A636" s="413"/>
      <c r="B636" s="924" t="s">
        <v>1498</v>
      </c>
      <c r="C636" s="14"/>
      <c r="D636" s="1566" t="s">
        <v>1698</v>
      </c>
      <c r="E636" s="1566"/>
      <c r="F636" s="1566"/>
      <c r="G636" s="288"/>
    </row>
    <row r="637" spans="1:7" ht="14.25">
      <c r="A637" s="413"/>
      <c r="B637" s="413"/>
      <c r="C637" s="14"/>
      <c r="D637" s="287"/>
      <c r="E637" s="282"/>
      <c r="F637" s="282"/>
      <c r="G637" s="288"/>
    </row>
    <row r="638" spans="1:7" ht="14.25">
      <c r="A638" s="413"/>
      <c r="B638" s="924" t="s">
        <v>134</v>
      </c>
      <c r="C638" s="14"/>
      <c r="D638" s="1559" t="s">
        <v>1699</v>
      </c>
      <c r="E638" s="1559"/>
      <c r="F638" s="1559"/>
      <c r="G638" s="288"/>
    </row>
    <row r="639" spans="1:7" ht="14.25">
      <c r="A639" s="413"/>
      <c r="B639" s="413"/>
      <c r="C639" s="14"/>
      <c r="D639" s="1559"/>
      <c r="E639" s="1559"/>
      <c r="F639" s="1559"/>
      <c r="G639" s="288"/>
    </row>
    <row r="640" spans="1:7" ht="14.25">
      <c r="A640" s="413"/>
      <c r="B640" s="413"/>
      <c r="C640" s="14"/>
      <c r="D640" s="287"/>
      <c r="E640" s="282"/>
      <c r="F640" s="282"/>
      <c r="G640" s="288"/>
    </row>
    <row r="641" spans="1:7" ht="14.25">
      <c r="A641" s="552"/>
      <c r="B641" s="924" t="s">
        <v>1498</v>
      </c>
      <c r="D641" s="1569" t="s">
        <v>2123</v>
      </c>
      <c r="E641" s="1569"/>
      <c r="F641" s="1569"/>
      <c r="G641" s="288"/>
    </row>
    <row r="642" spans="1:7" ht="13.7" customHeight="1">
      <c r="D642" s="1569"/>
      <c r="E642" s="1569"/>
      <c r="F642" s="1569"/>
    </row>
    <row r="643" spans="1:7" ht="12.75">
      <c r="A643" s="140"/>
      <c r="B643" s="140"/>
      <c r="C643" s="14"/>
      <c r="D643" s="282"/>
      <c r="E643" s="282"/>
      <c r="F643" s="282"/>
      <c r="G643" s="288"/>
    </row>
    <row r="644" spans="1:7" ht="14.25">
      <c r="A644" s="413"/>
      <c r="B644" s="924" t="s">
        <v>1498</v>
      </c>
      <c r="C644" s="14"/>
      <c r="D644" s="1566" t="s">
        <v>1700</v>
      </c>
      <c r="E644" s="1566"/>
      <c r="F644" s="1566"/>
      <c r="G644" s="288"/>
    </row>
    <row r="645" spans="1:7" ht="12.75">
      <c r="A645" s="418"/>
      <c r="B645" s="418"/>
      <c r="C645" s="303"/>
      <c r="D645" s="282"/>
      <c r="E645" s="282"/>
      <c r="F645" s="282"/>
      <c r="G645" s="288"/>
    </row>
    <row r="646" spans="1:7" ht="12.75">
      <c r="A646" s="1567" t="s">
        <v>1520</v>
      </c>
      <c r="B646" s="1567"/>
      <c r="C646" s="1567"/>
      <c r="D646" s="1567"/>
      <c r="E646" s="1567"/>
      <c r="F646" s="1567"/>
      <c r="G646" s="1567"/>
    </row>
    <row r="647" spans="1:7" ht="12.75">
      <c r="A647" s="418"/>
      <c r="B647" s="418"/>
      <c r="C647" s="303"/>
      <c r="D647" s="282"/>
      <c r="E647" s="282"/>
      <c r="F647" s="282"/>
      <c r="G647" s="288"/>
    </row>
    <row r="648" spans="1:7" ht="12.75">
      <c r="A648" s="140"/>
      <c r="B648" s="140"/>
      <c r="C648" s="320"/>
      <c r="D648" s="1641" t="s">
        <v>1546</v>
      </c>
      <c r="E648" s="1641"/>
      <c r="F648" s="1641"/>
      <c r="G648" s="288"/>
    </row>
    <row r="649" spans="1:7" ht="12.75">
      <c r="A649" s="33"/>
      <c r="B649" s="33"/>
      <c r="C649" s="302"/>
      <c r="D649" s="6"/>
      <c r="E649" s="283"/>
      <c r="F649" s="283"/>
      <c r="G649" s="288"/>
    </row>
    <row r="650" spans="1:7" ht="14.25" customHeight="1">
      <c r="A650" s="413"/>
      <c r="B650" s="924" t="s">
        <v>1498</v>
      </c>
      <c r="C650" s="302"/>
      <c r="D650" s="1554" t="s">
        <v>2319</v>
      </c>
      <c r="E650" s="1554"/>
      <c r="F650" s="1554"/>
      <c r="G650" s="288"/>
    </row>
    <row r="651" spans="1:7" ht="14.25">
      <c r="A651" s="413"/>
      <c r="B651" s="413"/>
      <c r="C651" s="302"/>
      <c r="D651" s="1554"/>
      <c r="E651" s="1554"/>
      <c r="F651" s="1554"/>
      <c r="G651" s="288"/>
    </row>
    <row r="652" spans="1:7" ht="12.75">
      <c r="A652" s="140"/>
      <c r="B652" s="140"/>
      <c r="C652" s="302"/>
      <c r="D652" s="1511"/>
      <c r="E652" s="1503" t="s">
        <v>2321</v>
      </c>
      <c r="F652" s="1511"/>
      <c r="G652" s="288"/>
    </row>
    <row r="653" spans="1:7" ht="12.75">
      <c r="A653" s="140"/>
      <c r="B653" s="140"/>
      <c r="C653" s="302"/>
      <c r="D653" s="1551" t="s">
        <v>2320</v>
      </c>
      <c r="E653" s="1551"/>
      <c r="F653" s="1551"/>
      <c r="G653" s="288"/>
    </row>
    <row r="654" spans="1:7" ht="12.75" customHeight="1">
      <c r="A654" s="140"/>
      <c r="B654" s="140"/>
      <c r="C654" s="302"/>
      <c r="D654" s="1551"/>
      <c r="E654" s="1551"/>
      <c r="F654" s="1551"/>
      <c r="G654" s="288"/>
    </row>
    <row r="655" spans="1:7" ht="12.75">
      <c r="A655" s="140"/>
      <c r="B655" s="2"/>
      <c r="C655" s="302"/>
      <c r="D655" s="1551"/>
      <c r="E655" s="1551"/>
      <c r="F655" s="1551"/>
      <c r="G655" s="288"/>
    </row>
    <row r="656" spans="1:7" ht="12.75">
      <c r="A656" s="140"/>
      <c r="B656" s="1002"/>
      <c r="C656" s="302"/>
      <c r="D656" s="282"/>
      <c r="E656" s="283"/>
      <c r="F656" s="283"/>
      <c r="G656" s="288"/>
    </row>
    <row r="657" spans="1:9" ht="14.25">
      <c r="A657" s="468"/>
      <c r="B657" s="924" t="s">
        <v>134</v>
      </c>
      <c r="C657" s="302"/>
      <c r="D657" s="1642" t="s">
        <v>1701</v>
      </c>
      <c r="E657" s="1642"/>
      <c r="F657" s="1642"/>
      <c r="G657" s="284"/>
    </row>
    <row r="658" spans="1:9" ht="14.25">
      <c r="A658" s="468"/>
      <c r="B658" s="468"/>
      <c r="C658" s="302"/>
      <c r="D658" s="1642"/>
      <c r="E658" s="1642"/>
      <c r="F658" s="1642"/>
      <c r="G658" s="284"/>
    </row>
    <row r="659" spans="1:9" ht="14.25">
      <c r="A659" s="468"/>
      <c r="B659" s="468"/>
      <c r="C659" s="302"/>
      <c r="D659" s="287"/>
      <c r="E659" s="286"/>
      <c r="F659" s="286"/>
      <c r="G659" s="284"/>
    </row>
    <row r="660" spans="1:9" ht="13.7" customHeight="1">
      <c r="A660" s="468"/>
      <c r="B660" s="924" t="s">
        <v>134</v>
      </c>
      <c r="C660" s="302"/>
      <c r="D660" s="1612" t="s">
        <v>1986</v>
      </c>
      <c r="E660" s="1612"/>
      <c r="F660" s="1612"/>
      <c r="G660" s="284"/>
    </row>
    <row r="661" spans="1:9" ht="14.25">
      <c r="A661" s="468"/>
      <c r="B661" s="468"/>
      <c r="C661" s="302"/>
      <c r="D661" s="1612"/>
      <c r="E661" s="1612"/>
      <c r="F661" s="1612"/>
      <c r="G661" s="284"/>
    </row>
    <row r="662" spans="1:9" ht="14.25">
      <c r="A662" s="552"/>
      <c r="B662" s="552"/>
      <c r="C662" s="285"/>
      <c r="D662" s="962"/>
      <c r="E662" s="962"/>
      <c r="F662" s="962"/>
      <c r="G662" s="284"/>
    </row>
    <row r="663" spans="1:9" ht="14.25">
      <c r="A663" s="413"/>
      <c r="B663" s="924" t="s">
        <v>134</v>
      </c>
      <c r="C663" s="322"/>
      <c r="D663" s="1643" t="s">
        <v>1702</v>
      </c>
      <c r="E663" s="1643"/>
      <c r="F663" s="1643"/>
      <c r="G663" s="284"/>
    </row>
    <row r="664" spans="1:9" ht="12.75">
      <c r="A664" s="143"/>
      <c r="B664" s="143"/>
      <c r="C664" s="322"/>
      <c r="D664" s="286"/>
      <c r="E664" s="286"/>
      <c r="F664" s="286"/>
      <c r="G664" s="284"/>
      <c r="H664" s="404"/>
      <c r="I664" s="404"/>
    </row>
    <row r="665" spans="1:9" ht="12.75">
      <c r="A665" s="1567" t="s">
        <v>1522</v>
      </c>
      <c r="B665" s="1567"/>
      <c r="C665" s="1567"/>
      <c r="D665" s="1567"/>
      <c r="E665" s="1567"/>
      <c r="F665" s="1567"/>
      <c r="G665" s="1567"/>
    </row>
    <row r="666" spans="1:9" ht="12.75">
      <c r="A666" s="143"/>
      <c r="B666" s="143"/>
      <c r="C666" s="322"/>
      <c r="D666" s="286"/>
      <c r="E666" s="286"/>
      <c r="F666" s="286"/>
      <c r="G666" s="284"/>
    </row>
    <row r="667" spans="1:9" ht="12.75">
      <c r="A667" s="140"/>
      <c r="B667" s="140"/>
      <c r="C667" s="303"/>
      <c r="D667" s="1644" t="s">
        <v>1521</v>
      </c>
      <c r="E667" s="1644"/>
      <c r="F667" s="1644"/>
      <c r="G667" s="284"/>
    </row>
    <row r="668" spans="1:9" ht="12.75">
      <c r="A668" s="415"/>
      <c r="B668" s="415"/>
      <c r="C668" s="299"/>
      <c r="D668" s="1631" t="s">
        <v>1547</v>
      </c>
      <c r="E668" s="1631"/>
      <c r="F668" s="1631"/>
      <c r="G668" s="284"/>
    </row>
    <row r="669" spans="1:9" ht="12.75">
      <c r="A669" s="415"/>
      <c r="B669" s="415"/>
      <c r="C669" s="299"/>
      <c r="D669" s="968"/>
      <c r="E669" s="968"/>
      <c r="F669" s="968"/>
      <c r="G669" s="284"/>
    </row>
    <row r="670" spans="1:9" ht="14.45" customHeight="1">
      <c r="A670" s="413"/>
      <c r="B670" s="924" t="s">
        <v>1498</v>
      </c>
      <c r="C670" s="322"/>
      <c r="D670" s="1528" t="s">
        <v>2071</v>
      </c>
      <c r="E670" s="1528"/>
      <c r="F670" s="1528"/>
      <c r="G670" s="284"/>
    </row>
    <row r="671" spans="1:9" ht="14.25">
      <c r="A671" s="413"/>
      <c r="B671" s="413"/>
      <c r="C671" s="322"/>
      <c r="D671" s="1528"/>
      <c r="E671" s="1528"/>
      <c r="F671" s="1528"/>
      <c r="G671" s="284"/>
    </row>
    <row r="672" spans="1:9" ht="14.25">
      <c r="A672" s="413"/>
      <c r="B672" s="413"/>
      <c r="C672" s="322"/>
      <c r="D672" s="1528"/>
      <c r="E672" s="1528"/>
      <c r="F672" s="1528"/>
      <c r="G672" s="284"/>
    </row>
    <row r="673" spans="1:7" ht="14.25">
      <c r="A673" s="413"/>
      <c r="B673" s="413"/>
      <c r="C673" s="322"/>
      <c r="D673" s="1528"/>
      <c r="E673" s="1528"/>
      <c r="F673" s="1528"/>
      <c r="G673" s="284"/>
    </row>
    <row r="674" spans="1:7" ht="14.25">
      <c r="A674" s="413"/>
      <c r="B674" s="413"/>
      <c r="C674" s="322"/>
      <c r="D674" s="1528"/>
      <c r="E674" s="1528"/>
      <c r="F674" s="1528"/>
      <c r="G674" s="284"/>
    </row>
    <row r="675" spans="1:7" ht="14.25">
      <c r="A675" s="413"/>
      <c r="B675" s="413"/>
      <c r="C675" s="322"/>
      <c r="D675" s="1528"/>
      <c r="E675" s="1528"/>
      <c r="F675" s="1528"/>
      <c r="G675" s="284"/>
    </row>
    <row r="676" spans="1:7" ht="14.25" hidden="1">
      <c r="A676" s="552"/>
      <c r="B676" s="552"/>
      <c r="C676" s="405"/>
      <c r="D676" s="688"/>
      <c r="F676" s="284"/>
      <c r="G676" s="284"/>
    </row>
    <row r="677" spans="1:7" ht="14.25" hidden="1">
      <c r="A677" s="552"/>
      <c r="B677" s="924" t="s">
        <v>85</v>
      </c>
      <c r="C677" s="405"/>
      <c r="D677" s="1621" t="s">
        <v>1568</v>
      </c>
      <c r="E677" s="1621"/>
      <c r="F677" s="1621"/>
      <c r="G677" s="284"/>
    </row>
    <row r="678" spans="1:7" ht="14.25" hidden="1">
      <c r="A678" s="552"/>
      <c r="B678" s="552"/>
      <c r="C678" s="405"/>
      <c r="D678" s="1638" t="s">
        <v>1730</v>
      </c>
      <c r="E678" s="1638"/>
      <c r="F678" s="1638"/>
      <c r="G678" s="284"/>
    </row>
    <row r="679" spans="1:7" ht="14.25" hidden="1">
      <c r="A679" s="552"/>
      <c r="B679" s="552"/>
      <c r="C679" s="405"/>
      <c r="D679" s="1638"/>
      <c r="E679" s="1638"/>
      <c r="F679" s="1638"/>
      <c r="G679" s="284"/>
    </row>
    <row r="680" spans="1:7" ht="14.25" hidden="1">
      <c r="A680" s="552"/>
      <c r="B680" s="552"/>
      <c r="C680" s="405"/>
      <c r="D680" s="1638"/>
      <c r="E680" s="1638"/>
      <c r="F680" s="1638"/>
      <c r="G680" s="284"/>
    </row>
    <row r="681" spans="1:7" ht="14.25" hidden="1">
      <c r="A681" s="552"/>
      <c r="B681" s="552"/>
      <c r="C681" s="405"/>
      <c r="D681" s="1638"/>
      <c r="E681" s="1638"/>
      <c r="F681" s="1638"/>
      <c r="G681" s="284"/>
    </row>
    <row r="682" spans="1:7" ht="14.25" hidden="1">
      <c r="A682" s="552"/>
      <c r="B682" s="552"/>
      <c r="C682" s="405"/>
      <c r="D682" s="1638"/>
      <c r="E682" s="1638"/>
      <c r="F682" s="1638"/>
      <c r="G682" s="284"/>
    </row>
    <row r="683" spans="1:7" ht="14.25" hidden="1">
      <c r="A683" s="552"/>
      <c r="B683" s="552"/>
      <c r="C683" s="405"/>
      <c r="D683" s="1645" t="s">
        <v>2070</v>
      </c>
      <c r="E683" s="1645"/>
      <c r="F683" s="1645"/>
      <c r="G683" s="284"/>
    </row>
    <row r="684" spans="1:7" ht="12.75">
      <c r="A684" s="143"/>
      <c r="B684" s="143"/>
      <c r="C684" s="322"/>
      <c r="D684" s="286"/>
      <c r="E684" s="286"/>
      <c r="F684" s="286"/>
      <c r="G684" s="284"/>
    </row>
    <row r="685" spans="1:7" ht="12.75">
      <c r="A685" s="1567" t="s">
        <v>1523</v>
      </c>
      <c r="B685" s="1567"/>
      <c r="C685" s="1567"/>
      <c r="D685" s="1567"/>
      <c r="E685" s="1567"/>
      <c r="F685" s="1567"/>
      <c r="G685" s="1567"/>
    </row>
    <row r="686" spans="1:7" ht="12.75">
      <c r="A686" s="143"/>
      <c r="B686" s="143"/>
      <c r="C686" s="322"/>
      <c r="D686" s="286"/>
      <c r="E686" s="286"/>
      <c r="F686" s="286"/>
      <c r="G686" s="284"/>
    </row>
    <row r="687" spans="1:7" ht="12.75">
      <c r="A687" s="140"/>
      <c r="B687" s="140"/>
      <c r="C687" s="303"/>
      <c r="D687" s="1568" t="s">
        <v>847</v>
      </c>
      <c r="E687" s="1568"/>
      <c r="F687" s="1568"/>
      <c r="G687" s="284"/>
    </row>
    <row r="688" spans="1:7" ht="12.75">
      <c r="A688" s="418"/>
      <c r="B688" s="418"/>
      <c r="C688" s="303"/>
      <c r="D688" s="1568" t="s">
        <v>948</v>
      </c>
      <c r="E688" s="1568"/>
      <c r="F688" s="1568"/>
      <c r="G688" s="284"/>
    </row>
    <row r="689" spans="1:7" ht="12.75">
      <c r="A689" s="415"/>
      <c r="B689" s="415"/>
      <c r="C689" s="299"/>
      <c r="D689" s="1561" t="s">
        <v>1662</v>
      </c>
      <c r="E689" s="1561"/>
      <c r="F689" s="1561"/>
      <c r="G689" s="288"/>
    </row>
    <row r="690" spans="1:7" ht="14.25" customHeight="1">
      <c r="A690" s="415"/>
      <c r="B690" s="415"/>
      <c r="C690" s="299"/>
      <c r="D690" s="282"/>
      <c r="E690" s="282"/>
      <c r="F690" s="282"/>
      <c r="G690" s="288"/>
    </row>
    <row r="691" spans="1:7" ht="14.25">
      <c r="A691" s="413"/>
      <c r="B691" s="924" t="s">
        <v>1498</v>
      </c>
      <c r="C691" s="299"/>
      <c r="D691" s="1561" t="s">
        <v>1203</v>
      </c>
      <c r="E691" s="1561"/>
      <c r="F691" s="1561"/>
      <c r="G691" s="288"/>
    </row>
    <row r="692" spans="1:7" ht="12.75">
      <c r="A692" s="415"/>
      <c r="B692" s="415"/>
      <c r="C692" s="299"/>
      <c r="D692" s="1561" t="s">
        <v>1224</v>
      </c>
      <c r="E692" s="1561"/>
      <c r="F692" s="1561"/>
      <c r="G692" s="288"/>
    </row>
    <row r="693" spans="1:7" ht="12.75" customHeight="1">
      <c r="A693" s="415"/>
      <c r="B693" s="415"/>
      <c r="C693" s="299"/>
      <c r="D693" s="282"/>
      <c r="E693" s="1503" t="s">
        <v>2323</v>
      </c>
      <c r="F693" s="22"/>
      <c r="G693" s="288"/>
    </row>
    <row r="694" spans="1:7" ht="12.75">
      <c r="A694" s="415"/>
      <c r="B694" s="415"/>
      <c r="C694" s="299"/>
      <c r="D694" s="282"/>
      <c r="E694" s="1512" t="s">
        <v>2322</v>
      </c>
      <c r="F694" s="22"/>
      <c r="G694" s="288"/>
    </row>
    <row r="695" spans="1:7" ht="12.75">
      <c r="A695" s="415"/>
      <c r="B695" s="415"/>
      <c r="C695" s="299"/>
      <c r="D695" s="332"/>
      <c r="E695" s="332"/>
      <c r="F695" s="332"/>
      <c r="G695" s="288"/>
    </row>
    <row r="696" spans="1:7" ht="14.25">
      <c r="A696" s="413"/>
      <c r="B696" s="924" t="s">
        <v>134</v>
      </c>
      <c r="C696" s="299"/>
      <c r="D696" s="1559" t="s">
        <v>1664</v>
      </c>
      <c r="E696" s="1559"/>
      <c r="F696" s="1559"/>
      <c r="G696" s="288"/>
    </row>
    <row r="697" spans="1:7" ht="12.75">
      <c r="A697" s="33"/>
      <c r="B697" s="33"/>
      <c r="C697" s="299"/>
      <c r="D697" s="1559"/>
      <c r="E697" s="1559"/>
      <c r="F697" s="1559"/>
      <c r="G697" s="288"/>
    </row>
    <row r="698" spans="1:7" ht="12.75">
      <c r="A698" s="415"/>
      <c r="B698" s="415"/>
      <c r="C698" s="299"/>
      <c r="D698" s="1559"/>
      <c r="E698" s="1559"/>
      <c r="F698" s="1559"/>
      <c r="G698" s="288"/>
    </row>
    <row r="699" spans="1:7" ht="12.75">
      <c r="A699" s="415"/>
      <c r="B699" s="415"/>
      <c r="C699" s="299"/>
      <c r="D699" s="282"/>
      <c r="E699" s="282"/>
      <c r="F699" s="282"/>
      <c r="G699" s="288"/>
    </row>
    <row r="700" spans="1:7" ht="14.25">
      <c r="A700" s="413"/>
      <c r="B700" s="924" t="s">
        <v>1498</v>
      </c>
      <c r="C700" s="299"/>
      <c r="D700" s="1561" t="s">
        <v>1268</v>
      </c>
      <c r="E700" s="1561"/>
      <c r="F700" s="1561"/>
      <c r="G700" s="288"/>
    </row>
    <row r="701" spans="1:7" ht="14.25">
      <c r="A701" s="413"/>
      <c r="B701" s="413"/>
      <c r="C701" s="299"/>
      <c r="D701" s="1561" t="s">
        <v>1224</v>
      </c>
      <c r="E701" s="1561"/>
      <c r="F701" s="1561"/>
      <c r="G701" s="288"/>
    </row>
    <row r="702" spans="1:7" ht="12.75">
      <c r="A702" s="415"/>
      <c r="B702" s="415"/>
      <c r="C702" s="299"/>
      <c r="D702" s="282"/>
      <c r="E702" s="1587" t="s">
        <v>2324</v>
      </c>
      <c r="F702" s="1587"/>
      <c r="G702" s="288"/>
    </row>
    <row r="703" spans="1:7" ht="12.75">
      <c r="A703" s="415"/>
      <c r="B703" s="415"/>
      <c r="C703" s="299"/>
      <c r="D703" s="6"/>
      <c r="E703" s="282"/>
      <c r="F703" s="282"/>
      <c r="G703" s="288"/>
    </row>
    <row r="704" spans="1:7" ht="14.25">
      <c r="A704" s="413"/>
      <c r="B704" s="924" t="s">
        <v>1498</v>
      </c>
      <c r="C704" s="299"/>
      <c r="D704" s="1592" t="s">
        <v>1665</v>
      </c>
      <c r="E704" s="1592"/>
      <c r="F704" s="1592"/>
      <c r="G704" s="288"/>
    </row>
    <row r="705" spans="1:7" ht="12.75">
      <c r="A705" s="415"/>
      <c r="B705" s="415"/>
      <c r="C705" s="299"/>
      <c r="D705" s="1592"/>
      <c r="E705" s="1592"/>
      <c r="F705" s="1592"/>
      <c r="G705" s="288"/>
    </row>
    <row r="706" spans="1:7" ht="12.75">
      <c r="A706" s="415"/>
      <c r="B706" s="415"/>
      <c r="C706" s="299"/>
      <c r="D706" s="1592"/>
      <c r="E706" s="1592"/>
      <c r="F706" s="1592"/>
      <c r="G706" s="288"/>
    </row>
    <row r="707" spans="1:7" ht="12.75">
      <c r="A707" s="415"/>
      <c r="B707" s="415"/>
      <c r="C707" s="299"/>
      <c r="D707" s="1592"/>
      <c r="E707" s="1592"/>
      <c r="F707" s="1592"/>
      <c r="G707" s="288"/>
    </row>
    <row r="708" spans="1:7" ht="12.75">
      <c r="A708" s="415"/>
      <c r="B708" s="415"/>
      <c r="C708" s="299"/>
      <c r="D708" s="1592"/>
      <c r="E708" s="1592"/>
      <c r="F708" s="1592"/>
      <c r="G708" s="288"/>
    </row>
    <row r="709" spans="1:7" ht="12.75">
      <c r="A709" s="415"/>
      <c r="B709" s="415"/>
      <c r="C709" s="299"/>
      <c r="D709" s="1592"/>
      <c r="E709" s="1592"/>
      <c r="F709" s="1592"/>
      <c r="G709" s="288"/>
    </row>
    <row r="710" spans="1:7" ht="12.75">
      <c r="A710" s="415"/>
      <c r="B710" s="415"/>
      <c r="C710" s="299"/>
      <c r="D710" s="1592"/>
      <c r="E710" s="1592"/>
      <c r="F710" s="1592"/>
      <c r="G710" s="288"/>
    </row>
    <row r="711" spans="1:7" ht="12.75">
      <c r="A711" s="415"/>
      <c r="B711" s="924" t="s">
        <v>1498</v>
      </c>
      <c r="C711" s="299"/>
      <c r="D711" s="1591" t="s">
        <v>1896</v>
      </c>
      <c r="E711" s="1592"/>
      <c r="F711" s="1592"/>
      <c r="G711" s="288"/>
    </row>
    <row r="712" spans="1:7" ht="12.75">
      <c r="A712" s="415"/>
      <c r="B712" s="415"/>
      <c r="C712" s="299"/>
      <c r="D712" s="1592"/>
      <c r="E712" s="1592"/>
      <c r="F712" s="1592"/>
      <c r="G712" s="288"/>
    </row>
    <row r="713" spans="1:7" ht="12.75">
      <c r="A713" s="415"/>
      <c r="B713" s="415"/>
      <c r="C713" s="299"/>
      <c r="D713" s="136"/>
      <c r="E713" s="282"/>
      <c r="F713" s="282"/>
      <c r="G713" s="288"/>
    </row>
    <row r="714" spans="1:7" ht="14.45" customHeight="1">
      <c r="A714" s="413"/>
      <c r="B714" s="924" t="s">
        <v>134</v>
      </c>
      <c r="C714" s="299"/>
      <c r="D714" s="1592" t="s">
        <v>1666</v>
      </c>
      <c r="E714" s="1592"/>
      <c r="F714" s="1592"/>
      <c r="G714" s="288"/>
    </row>
    <row r="715" spans="1:7" ht="12.75">
      <c r="A715" s="415"/>
      <c r="B715" s="415"/>
      <c r="C715" s="299"/>
      <c r="D715" s="1592"/>
      <c r="E715" s="1592"/>
      <c r="F715" s="1592"/>
      <c r="G715" s="288"/>
    </row>
    <row r="716" spans="1:7" ht="12.75">
      <c r="A716" s="415"/>
      <c r="B716" s="415"/>
      <c r="C716" s="299"/>
      <c r="D716" s="1592"/>
      <c r="E716" s="1592"/>
      <c r="F716" s="1592"/>
      <c r="G716" s="288"/>
    </row>
    <row r="717" spans="1:7" ht="12.75">
      <c r="A717" s="415"/>
      <c r="B717" s="415"/>
      <c r="C717" s="299"/>
      <c r="D717" s="1592"/>
      <c r="E717" s="1592"/>
      <c r="F717" s="1592"/>
      <c r="G717" s="288"/>
    </row>
    <row r="718" spans="1:7" ht="12.75">
      <c r="A718" s="415"/>
      <c r="B718" s="415"/>
      <c r="C718" s="299"/>
      <c r="D718" s="1592"/>
      <c r="E718" s="1592"/>
      <c r="F718" s="1592"/>
      <c r="G718" s="288"/>
    </row>
    <row r="719" spans="1:7" ht="12.75">
      <c r="A719" s="415"/>
      <c r="B719" s="415"/>
      <c r="C719" s="299"/>
      <c r="D719" s="1592"/>
      <c r="E719" s="1592"/>
      <c r="F719" s="1592"/>
      <c r="G719" s="288"/>
    </row>
    <row r="720" spans="1:7" ht="12.75">
      <c r="A720" s="415"/>
      <c r="B720" s="415"/>
      <c r="C720" s="299"/>
      <c r="D720" s="1592"/>
      <c r="E720" s="1592"/>
      <c r="F720" s="1592"/>
      <c r="G720" s="288"/>
    </row>
    <row r="721" spans="1:9" ht="12.75">
      <c r="A721" s="415"/>
      <c r="B721" s="415"/>
      <c r="C721" s="299"/>
      <c r="D721" s="1592"/>
      <c r="E721" s="1592"/>
      <c r="F721" s="1592"/>
      <c r="G721" s="288"/>
    </row>
    <row r="722" spans="1:9" ht="12.75">
      <c r="A722" s="415"/>
      <c r="B722" s="415"/>
      <c r="C722" s="299"/>
      <c r="D722" s="1592"/>
      <c r="E722" s="1592"/>
      <c r="F722" s="1592"/>
      <c r="G722" s="288"/>
    </row>
    <row r="723" spans="1:9" ht="12.75">
      <c r="A723" s="415"/>
      <c r="B723" s="415"/>
      <c r="C723" s="299"/>
      <c r="D723" s="1592"/>
      <c r="E723" s="1592"/>
      <c r="F723" s="1592"/>
      <c r="G723" s="288"/>
    </row>
    <row r="724" spans="1:9" ht="12.75">
      <c r="A724" s="415"/>
      <c r="B724" s="415"/>
      <c r="C724" s="299"/>
      <c r="D724" s="1592"/>
      <c r="E724" s="1592"/>
      <c r="F724" s="1592"/>
      <c r="G724" s="288"/>
    </row>
    <row r="725" spans="1:9" ht="12.75">
      <c r="A725" s="415"/>
      <c r="B725" s="415"/>
      <c r="C725" s="299"/>
      <c r="D725" s="1592"/>
      <c r="E725" s="1592"/>
      <c r="F725" s="1592"/>
      <c r="G725" s="288"/>
    </row>
    <row r="726" spans="1:9" ht="12.75">
      <c r="A726" s="415"/>
      <c r="B726" s="415"/>
      <c r="C726" s="299"/>
      <c r="D726" s="1592"/>
      <c r="E726" s="1592"/>
      <c r="F726" s="1592"/>
      <c r="G726" s="288"/>
    </row>
    <row r="727" spans="1:9" s="50" customFormat="1" ht="12.75">
      <c r="A727" s="415"/>
      <c r="B727" s="924" t="s">
        <v>134</v>
      </c>
      <c r="C727" s="415"/>
      <c r="D727" s="1592" t="s">
        <v>1670</v>
      </c>
      <c r="E727" s="1592"/>
      <c r="F727" s="1592"/>
      <c r="G727" s="71"/>
      <c r="H727" s="860"/>
      <c r="I727" s="1060"/>
    </row>
    <row r="728" spans="1:9" s="50" customFormat="1" ht="12.75">
      <c r="A728" s="415"/>
      <c r="B728" s="415"/>
      <c r="C728" s="415"/>
      <c r="D728" s="1592"/>
      <c r="E728" s="1592"/>
      <c r="F728" s="1592"/>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1498</v>
      </c>
      <c r="C730" s="415"/>
      <c r="D730" s="1592" t="s">
        <v>1671</v>
      </c>
      <c r="E730" s="1592"/>
      <c r="F730" s="1592"/>
      <c r="G730" s="71"/>
      <c r="H730" s="860"/>
      <c r="I730" s="1060"/>
    </row>
    <row r="731" spans="1:9" s="50" customFormat="1" ht="12.75">
      <c r="A731" s="415"/>
      <c r="B731" s="415"/>
      <c r="C731" s="415"/>
      <c r="D731" s="1592"/>
      <c r="E731" s="1592"/>
      <c r="F731" s="1592"/>
      <c r="G731" s="71"/>
      <c r="H731" s="860"/>
      <c r="I731" s="1060"/>
    </row>
    <row r="732" spans="1:9" s="50" customFormat="1" ht="12.75">
      <c r="A732" s="415"/>
      <c r="B732" s="415"/>
      <c r="C732" s="415"/>
      <c r="D732" s="1592"/>
      <c r="E732" s="1592"/>
      <c r="F732" s="1592"/>
      <c r="G732" s="71"/>
      <c r="H732" s="860"/>
      <c r="I732" s="1060"/>
    </row>
    <row r="733" spans="1:9" s="50" customFormat="1" ht="12.75">
      <c r="A733" s="415"/>
      <c r="B733" s="415"/>
      <c r="C733" s="415"/>
      <c r="D733" s="952"/>
      <c r="E733" s="952"/>
      <c r="F733" s="952"/>
      <c r="G733" s="71"/>
      <c r="H733" s="860"/>
      <c r="I733" s="1060"/>
    </row>
    <row r="734" spans="1:9" ht="14.45" customHeight="1">
      <c r="A734" s="413"/>
      <c r="B734" s="924" t="s">
        <v>134</v>
      </c>
      <c r="C734" s="299"/>
      <c r="D734" s="1591" t="s">
        <v>2124</v>
      </c>
      <c r="E734" s="1592"/>
      <c r="F734" s="1592"/>
      <c r="G734" s="288"/>
    </row>
    <row r="735" spans="1:9" ht="12.75">
      <c r="A735" s="415"/>
      <c r="B735" s="415"/>
      <c r="C735" s="299"/>
      <c r="D735" s="1592"/>
      <c r="E735" s="1592"/>
      <c r="F735" s="1592"/>
      <c r="G735" s="288"/>
    </row>
    <row r="736" spans="1:9" ht="12.75">
      <c r="A736" s="415"/>
      <c r="B736" s="415"/>
      <c r="C736" s="299"/>
      <c r="D736" s="1592"/>
      <c r="E736" s="1592"/>
      <c r="F736" s="1592"/>
      <c r="G736" s="288"/>
    </row>
    <row r="737" spans="1:9" ht="12.75">
      <c r="A737" s="415"/>
      <c r="B737" s="415"/>
      <c r="C737" s="299"/>
      <c r="D737" s="136"/>
      <c r="E737" s="282"/>
      <c r="F737" s="282"/>
      <c r="G737" s="288"/>
    </row>
    <row r="738" spans="1:9" ht="14.45" customHeight="1">
      <c r="A738" s="413"/>
      <c r="B738" s="924" t="s">
        <v>134</v>
      </c>
      <c r="C738" s="299"/>
      <c r="D738" s="1592" t="s">
        <v>1667</v>
      </c>
      <c r="E738" s="1592"/>
      <c r="F738" s="1592"/>
      <c r="G738" s="288"/>
    </row>
    <row r="739" spans="1:9" ht="12.75">
      <c r="A739" s="415"/>
      <c r="B739" s="415"/>
      <c r="C739" s="299"/>
      <c r="D739" s="1592"/>
      <c r="E739" s="1592"/>
      <c r="F739" s="1592"/>
      <c r="G739" s="288"/>
    </row>
    <row r="740" spans="1:9" ht="12.75">
      <c r="A740" s="415"/>
      <c r="B740" s="415"/>
      <c r="C740" s="299"/>
      <c r="D740" s="1592"/>
      <c r="E740" s="1592"/>
      <c r="F740" s="1592"/>
      <c r="G740" s="288"/>
    </row>
    <row r="741" spans="1:9" ht="12.75">
      <c r="A741" s="415"/>
      <c r="B741" s="415"/>
      <c r="C741" s="299"/>
      <c r="D741" s="332"/>
      <c r="E741" s="282"/>
      <c r="F741" s="282"/>
      <c r="G741" s="288"/>
      <c r="H741" s="404"/>
      <c r="I741" s="404"/>
    </row>
    <row r="742" spans="1:9" ht="14.25">
      <c r="A742" s="413"/>
      <c r="B742" s="1517" t="s">
        <v>134</v>
      </c>
      <c r="C742" s="299"/>
      <c r="D742" s="1559" t="s">
        <v>1669</v>
      </c>
      <c r="E742" s="1559"/>
      <c r="F742" s="1559"/>
      <c r="G742" s="288"/>
    </row>
    <row r="743" spans="1:9" ht="12.75">
      <c r="A743" s="415"/>
      <c r="B743" s="415"/>
      <c r="C743" s="299"/>
      <c r="D743" s="1559"/>
      <c r="E743" s="1559"/>
      <c r="F743" s="1559"/>
      <c r="G743" s="288"/>
    </row>
    <row r="744" spans="1:9" ht="12.75">
      <c r="A744" s="415"/>
      <c r="B744" s="415"/>
      <c r="C744" s="299"/>
      <c r="D744" s="1559"/>
      <c r="E744" s="1559"/>
      <c r="F744" s="1559"/>
      <c r="G744" s="288"/>
    </row>
    <row r="745" spans="1:9" ht="12.75">
      <c r="A745" s="415"/>
      <c r="B745" s="415"/>
      <c r="C745" s="299"/>
      <c r="D745" s="1559"/>
      <c r="E745" s="1559"/>
      <c r="F745" s="1559"/>
      <c r="G745" s="288"/>
    </row>
    <row r="746" spans="1:9" ht="12.75">
      <c r="A746" s="415"/>
      <c r="B746" s="415"/>
      <c r="C746" s="299"/>
      <c r="D746" s="933"/>
      <c r="E746" s="933"/>
      <c r="F746" s="933"/>
      <c r="G746" s="288"/>
    </row>
    <row r="747" spans="1:9" s="50" customFormat="1" ht="14.25">
      <c r="A747" s="413"/>
      <c r="B747" s="1517" t="s">
        <v>134</v>
      </c>
      <c r="C747" s="415"/>
      <c r="D747" s="1592" t="s">
        <v>1838</v>
      </c>
      <c r="E747" s="1592"/>
      <c r="F747" s="1592"/>
      <c r="G747" s="71"/>
      <c r="H747" s="860"/>
      <c r="I747" s="1060"/>
    </row>
    <row r="748" spans="1:9" s="50" customFormat="1" ht="12.75">
      <c r="A748" s="415"/>
      <c r="B748" s="415"/>
      <c r="C748" s="415"/>
      <c r="D748" s="1592"/>
      <c r="E748" s="1592"/>
      <c r="F748" s="1592"/>
      <c r="G748" s="71"/>
      <c r="H748" s="860"/>
      <c r="I748" s="1060"/>
    </row>
    <row r="749" spans="1:9" s="50" customFormat="1" ht="12.75">
      <c r="A749" s="415"/>
      <c r="B749" s="415"/>
      <c r="C749" s="415"/>
      <c r="D749" s="1592"/>
      <c r="E749" s="1592"/>
      <c r="F749" s="1592"/>
      <c r="G749" s="71"/>
      <c r="H749" s="860"/>
      <c r="I749" s="1060"/>
    </row>
    <row r="750" spans="1:9" s="50" customFormat="1" ht="12.75">
      <c r="A750" s="415"/>
      <c r="B750" s="415"/>
      <c r="C750" s="415"/>
      <c r="D750" s="1592"/>
      <c r="E750" s="1592"/>
      <c r="F750" s="1592"/>
      <c r="G750" s="71"/>
      <c r="H750" s="860"/>
      <c r="I750" s="1060"/>
    </row>
    <row r="751" spans="1:9" s="50" customFormat="1" ht="12.75">
      <c r="A751" s="415"/>
      <c r="B751" s="415"/>
      <c r="C751" s="415"/>
      <c r="D751" s="1592"/>
      <c r="E751" s="1592"/>
      <c r="F751" s="1592"/>
      <c r="G751" s="71"/>
      <c r="H751" s="860"/>
      <c r="I751" s="1060"/>
    </row>
    <row r="752" spans="1:9" s="50" customFormat="1" ht="12.75">
      <c r="A752" s="415"/>
      <c r="B752" s="415"/>
      <c r="C752" s="415"/>
      <c r="D752" s="1592"/>
      <c r="E752" s="1592"/>
      <c r="F752" s="1592"/>
      <c r="G752" s="71"/>
      <c r="H752" s="860"/>
      <c r="I752" s="1060"/>
    </row>
    <row r="753" spans="1:9" s="50" customFormat="1" ht="12.75">
      <c r="A753" s="415"/>
      <c r="B753" s="415"/>
      <c r="C753" s="415"/>
      <c r="D753" s="1592"/>
      <c r="E753" s="1592"/>
      <c r="F753" s="1592"/>
      <c r="G753" s="71"/>
      <c r="H753" s="860"/>
      <c r="I753" s="1060"/>
    </row>
    <row r="754" spans="1:9" s="50" customFormat="1" ht="12.75">
      <c r="A754" s="415"/>
      <c r="B754" s="415"/>
      <c r="C754" s="415"/>
      <c r="D754" s="1637" t="s">
        <v>1668</v>
      </c>
      <c r="E754" s="1637"/>
      <c r="F754" s="1637"/>
      <c r="G754" s="71"/>
      <c r="H754" s="860"/>
      <c r="I754" s="1060"/>
    </row>
    <row r="755" spans="1:9" s="50" customFormat="1" ht="12.75">
      <c r="A755" s="415"/>
      <c r="B755" s="415"/>
      <c r="C755" s="415"/>
      <c r="D755" s="865"/>
      <c r="E755" s="8"/>
      <c r="F755" s="8"/>
      <c r="G755" s="71"/>
      <c r="H755" s="860"/>
      <c r="I755" s="1060"/>
    </row>
    <row r="756" spans="1:9" ht="12.75">
      <c r="A756" s="1608" t="s">
        <v>1554</v>
      </c>
      <c r="B756" s="1608"/>
      <c r="C756" s="1608"/>
      <c r="D756" s="1608"/>
      <c r="E756" s="1608"/>
      <c r="F756" s="1608"/>
      <c r="G756" s="1608"/>
      <c r="H756" s="404"/>
      <c r="I756" s="404"/>
    </row>
    <row r="757" spans="1:9" ht="12.75">
      <c r="A757" s="415"/>
      <c r="B757" s="415"/>
      <c r="C757" s="299"/>
      <c r="D757" s="332"/>
      <c r="E757" s="282"/>
      <c r="F757" s="282"/>
      <c r="G757" s="288"/>
      <c r="H757" s="404"/>
      <c r="I757" s="404"/>
    </row>
    <row r="758" spans="1:9" ht="12.75">
      <c r="A758" s="140"/>
      <c r="B758" s="140"/>
      <c r="C758" s="299"/>
      <c r="D758" s="1570" t="s">
        <v>1579</v>
      </c>
      <c r="E758" s="1570"/>
      <c r="F758" s="1570"/>
      <c r="G758" s="288"/>
      <c r="H758" s="404"/>
      <c r="I758" s="404"/>
    </row>
    <row r="759" spans="1:9" ht="12.75">
      <c r="A759" s="414"/>
      <c r="B759" s="414"/>
      <c r="C759" s="298"/>
      <c r="D759" s="1566" t="s">
        <v>1582</v>
      </c>
      <c r="E759" s="1566"/>
      <c r="F759" s="1566"/>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59" t="s">
        <v>1580</v>
      </c>
      <c r="E761" s="1559"/>
      <c r="F761" s="1559"/>
      <c r="G761" s="288"/>
      <c r="H761" s="404"/>
      <c r="I761" s="404"/>
    </row>
    <row r="762" spans="1:9" ht="11.25" customHeight="1">
      <c r="A762" s="140"/>
      <c r="B762" s="140"/>
      <c r="C762" s="14"/>
      <c r="D762" s="1559"/>
      <c r="E762" s="1559"/>
      <c r="F762" s="1559"/>
      <c r="G762" s="288"/>
      <c r="H762" s="404"/>
      <c r="I762" s="404"/>
    </row>
    <row r="763" spans="1:9" ht="12.75">
      <c r="A763" s="140"/>
      <c r="B763" s="140"/>
      <c r="C763" s="14"/>
      <c r="D763" s="1559"/>
      <c r="E763" s="1559"/>
      <c r="F763" s="1559"/>
      <c r="G763" s="288"/>
      <c r="H763" s="404"/>
      <c r="I763" s="404"/>
    </row>
    <row r="764" spans="1:9" ht="12.75">
      <c r="A764" s="140"/>
      <c r="B764" s="140"/>
      <c r="C764" s="14"/>
      <c r="D764" s="1559"/>
      <c r="E764" s="1559"/>
      <c r="F764" s="1559"/>
      <c r="G764" s="288"/>
      <c r="H764" s="404"/>
      <c r="I764" s="404"/>
    </row>
    <row r="765" spans="1:9" ht="12.75">
      <c r="A765" s="150"/>
      <c r="B765" s="150"/>
      <c r="D765" s="1559"/>
      <c r="E765" s="1559"/>
      <c r="F765" s="1559"/>
      <c r="G765" s="288"/>
      <c r="H765" s="404"/>
      <c r="I765" s="404"/>
    </row>
    <row r="766" spans="1:9" ht="17.25" customHeight="1">
      <c r="A766" s="150"/>
      <c r="B766" s="150"/>
      <c r="D766" s="1559"/>
      <c r="E766" s="1559"/>
      <c r="F766" s="1559"/>
      <c r="G766" s="288"/>
      <c r="H766" s="404"/>
      <c r="I766" s="404"/>
    </row>
    <row r="767" spans="1:9" ht="12.75">
      <c r="A767" s="150"/>
      <c r="B767" s="150"/>
      <c r="D767" s="403"/>
      <c r="E767" s="403"/>
      <c r="F767" s="403"/>
      <c r="G767" s="288"/>
      <c r="H767" s="404"/>
      <c r="I767" s="404"/>
    </row>
    <row r="768" spans="1:9" ht="12.75" customHeight="1">
      <c r="A768" s="140"/>
      <c r="B768" s="924" t="s">
        <v>1498</v>
      </c>
      <c r="C768" s="14"/>
      <c r="D768" s="1612" t="s">
        <v>2054</v>
      </c>
      <c r="E768" s="1612"/>
      <c r="F768" s="1612"/>
      <c r="G768" s="288"/>
      <c r="H768" s="404"/>
      <c r="I768" s="404"/>
    </row>
    <row r="769" spans="1:9" ht="12.75">
      <c r="A769" s="140"/>
      <c r="B769" s="140"/>
      <c r="C769" s="14"/>
      <c r="D769" s="1612"/>
      <c r="E769" s="1612"/>
      <c r="F769" s="1612"/>
      <c r="G769" s="288"/>
      <c r="H769" s="404"/>
      <c r="I769" s="404"/>
    </row>
    <row r="770" spans="1:9" ht="12.75">
      <c r="A770" s="140"/>
      <c r="B770" s="140"/>
      <c r="C770" s="14"/>
      <c r="D770" s="1612"/>
      <c r="E770" s="1612"/>
      <c r="F770" s="1612"/>
      <c r="G770" s="288"/>
      <c r="H770" s="404"/>
      <c r="I770" s="404"/>
    </row>
    <row r="771" spans="1:9" ht="12.75">
      <c r="A771" s="140"/>
      <c r="B771" s="140"/>
      <c r="C771" s="14"/>
      <c r="D771" s="1612"/>
      <c r="E771" s="1612"/>
      <c r="F771" s="1612"/>
      <c r="G771" s="288"/>
      <c r="H771" s="404"/>
      <c r="I771" s="404"/>
    </row>
    <row r="772" spans="1:9" ht="12.75">
      <c r="A772" s="140"/>
      <c r="B772" s="140"/>
      <c r="C772" s="14"/>
      <c r="D772" s="403"/>
      <c r="G772" s="288"/>
      <c r="H772" s="404"/>
      <c r="I772" s="404"/>
    </row>
    <row r="773" spans="1:9" ht="12.75">
      <c r="A773" s="140"/>
      <c r="B773" s="924" t="s">
        <v>134</v>
      </c>
      <c r="C773" s="667"/>
      <c r="D773" s="1609" t="s">
        <v>2055</v>
      </c>
      <c r="E773" s="1610"/>
      <c r="F773" s="1610"/>
      <c r="G773" s="689"/>
      <c r="H773" s="404"/>
      <c r="I773" s="404"/>
    </row>
    <row r="774" spans="1:9" ht="12.75">
      <c r="A774" s="667"/>
      <c r="B774" s="667"/>
      <c r="C774" s="667"/>
      <c r="D774" s="1610"/>
      <c r="E774" s="1610"/>
      <c r="F774" s="1610"/>
      <c r="G774" s="689"/>
      <c r="H774" s="404"/>
      <c r="I774" s="404"/>
    </row>
    <row r="775" spans="1:9" ht="12.75">
      <c r="A775" s="667"/>
      <c r="B775" s="667"/>
      <c r="C775" s="667"/>
      <c r="D775" s="1610"/>
      <c r="E775" s="1610"/>
      <c r="F775" s="1610"/>
      <c r="G775" s="689"/>
      <c r="H775" s="404"/>
      <c r="I775" s="404"/>
    </row>
    <row r="776" spans="1:9" ht="12.75">
      <c r="A776" s="150"/>
      <c r="B776" s="150"/>
      <c r="D776" s="403"/>
      <c r="E776" s="403"/>
      <c r="F776" s="403"/>
      <c r="G776" s="288"/>
      <c r="H776" s="404"/>
      <c r="I776" s="404"/>
    </row>
    <row r="777" spans="1:9" ht="12.75">
      <c r="A777" s="150"/>
      <c r="B777" s="924" t="s">
        <v>134</v>
      </c>
      <c r="D777" s="1602" t="s">
        <v>1581</v>
      </c>
      <c r="E777" s="1602"/>
      <c r="F777" s="1602"/>
      <c r="G777" s="288"/>
      <c r="H777" s="404"/>
      <c r="I777" s="404"/>
    </row>
    <row r="778" spans="1:9" ht="12.75">
      <c r="A778" s="150"/>
      <c r="B778" s="150"/>
      <c r="D778" s="1602"/>
      <c r="E778" s="1602"/>
      <c r="F778" s="1602"/>
      <c r="G778" s="288"/>
      <c r="H778" s="404"/>
      <c r="I778" s="404"/>
    </row>
    <row r="779" spans="1:9" ht="12.75">
      <c r="A779" s="150"/>
      <c r="B779" s="150"/>
      <c r="D779" s="931"/>
      <c r="E779" s="931"/>
      <c r="F779" s="931"/>
      <c r="G779" s="288"/>
      <c r="H779" s="404"/>
      <c r="I779" s="404"/>
    </row>
    <row r="780" spans="1:9" ht="13.7" customHeight="1">
      <c r="A780" s="150"/>
      <c r="B780" s="924" t="s">
        <v>134</v>
      </c>
      <c r="D780" s="1569" t="s">
        <v>1920</v>
      </c>
      <c r="E780" s="1602"/>
      <c r="F780" s="1602"/>
      <c r="G780" s="288"/>
      <c r="H780" s="404"/>
      <c r="I780" s="404"/>
    </row>
    <row r="781" spans="1:9" ht="12.75">
      <c r="A781" s="150"/>
      <c r="B781" s="150"/>
      <c r="D781" s="1602"/>
      <c r="E781" s="1602"/>
      <c r="F781" s="1602"/>
      <c r="G781" s="288"/>
      <c r="H781" s="404"/>
      <c r="I781" s="404"/>
    </row>
    <row r="782" spans="1:9" ht="12.75">
      <c r="A782" s="150"/>
      <c r="B782" s="150"/>
      <c r="D782" s="1602"/>
      <c r="E782" s="1602"/>
      <c r="F782" s="1602"/>
      <c r="G782" s="288"/>
      <c r="H782" s="404"/>
      <c r="I782" s="404"/>
    </row>
    <row r="783" spans="1:9" ht="12.75">
      <c r="A783" s="150"/>
      <c r="B783" s="150"/>
      <c r="D783" s="931"/>
      <c r="E783" s="931"/>
      <c r="F783" s="931"/>
      <c r="G783" s="288"/>
      <c r="H783" s="404"/>
      <c r="I783" s="404"/>
    </row>
    <row r="784" spans="1:9" ht="12" customHeight="1">
      <c r="A784" s="1608" t="s">
        <v>1741</v>
      </c>
      <c r="B784" s="1608"/>
      <c r="C784" s="1608"/>
      <c r="D784" s="1608"/>
      <c r="E784" s="1608"/>
      <c r="F784" s="1608"/>
      <c r="G784" s="1608"/>
      <c r="H784" s="404"/>
      <c r="I784" s="404"/>
    </row>
    <row r="785" spans="1:9" ht="12.75">
      <c r="A785" s="107"/>
      <c r="B785" s="107"/>
      <c r="C785" s="302"/>
      <c r="D785" s="283"/>
      <c r="E785" s="283"/>
      <c r="F785" s="283"/>
      <c r="G785" s="288"/>
      <c r="H785" s="404"/>
      <c r="I785" s="404"/>
    </row>
    <row r="786" spans="1:9" ht="13.7" customHeight="1">
      <c r="A786" s="107"/>
      <c r="B786" s="107"/>
      <c r="C786" s="302"/>
      <c r="D786" s="1652" t="s">
        <v>1742</v>
      </c>
      <c r="E786" s="1652"/>
      <c r="F786" s="1652"/>
      <c r="G786" s="288"/>
      <c r="H786" s="404"/>
      <c r="I786" s="404"/>
    </row>
    <row r="787" spans="1:9" ht="12.75">
      <c r="A787" s="107"/>
      <c r="B787" s="107"/>
      <c r="C787" s="302"/>
      <c r="D787" s="1653" t="s">
        <v>1743</v>
      </c>
      <c r="E787" s="1653"/>
      <c r="F787" s="1653"/>
      <c r="G787" s="288"/>
      <c r="H787" s="404"/>
      <c r="I787" s="404"/>
    </row>
    <row r="788" spans="1:9" ht="12.75">
      <c r="A788" s="107"/>
      <c r="B788" s="107"/>
      <c r="C788" s="302"/>
      <c r="D788" s="970"/>
      <c r="E788" s="970"/>
      <c r="F788" s="970"/>
      <c r="G788" s="288"/>
      <c r="H788" s="404"/>
      <c r="I788" s="404"/>
    </row>
    <row r="789" spans="1:9" ht="12.75">
      <c r="A789" s="107"/>
      <c r="B789" s="924" t="s">
        <v>1498</v>
      </c>
      <c r="C789" s="302"/>
      <c r="D789" s="1638" t="s">
        <v>1744</v>
      </c>
      <c r="E789" s="1638"/>
      <c r="F789" s="1638"/>
      <c r="G789" s="288"/>
      <c r="H789" s="404"/>
      <c r="I789" s="404"/>
    </row>
    <row r="790" spans="1:9" ht="12.75">
      <c r="A790" s="107"/>
      <c r="B790" s="107"/>
      <c r="C790" s="302"/>
      <c r="D790" s="1638"/>
      <c r="E790" s="1638"/>
      <c r="F790" s="1638"/>
      <c r="G790" s="288"/>
      <c r="H790" s="404"/>
      <c r="I790" s="404"/>
    </row>
    <row r="791" spans="1:9" ht="12.75">
      <c r="A791" s="415"/>
      <c r="B791" s="415"/>
      <c r="C791" s="299"/>
      <c r="D791" s="1638"/>
      <c r="E791" s="1638"/>
      <c r="F791" s="1638"/>
      <c r="G791" s="284"/>
      <c r="H791" s="404"/>
      <c r="I791" s="404"/>
    </row>
    <row r="792" spans="1:9" ht="12.75">
      <c r="A792" s="150"/>
      <c r="B792" s="150"/>
      <c r="C792" s="285"/>
      <c r="D792" s="411"/>
      <c r="E792" s="288"/>
      <c r="F792" s="288"/>
      <c r="G792" s="288"/>
      <c r="H792" s="404"/>
      <c r="I792" s="404"/>
    </row>
    <row r="793" spans="1:9" ht="12.75">
      <c r="A793" s="418"/>
      <c r="B793" s="924" t="s">
        <v>1498</v>
      </c>
      <c r="C793" s="303"/>
      <c r="D793" s="1638" t="s">
        <v>1745</v>
      </c>
      <c r="E793" s="1638"/>
      <c r="F793" s="1638"/>
      <c r="G793" s="288"/>
      <c r="H793" s="404"/>
      <c r="I793" s="404"/>
    </row>
    <row r="794" spans="1:9" ht="12.75">
      <c r="A794" s="718"/>
      <c r="B794" s="718"/>
      <c r="C794" s="719"/>
      <c r="D794" s="1638"/>
      <c r="E794" s="1638"/>
      <c r="F794" s="1638"/>
      <c r="G794" s="288"/>
      <c r="H794" s="404"/>
      <c r="I794" s="404"/>
    </row>
    <row r="795" spans="1:9" ht="12.75">
      <c r="A795" s="418"/>
      <c r="B795" s="418"/>
      <c r="C795" s="303"/>
      <c r="D795" s="1638"/>
      <c r="E795" s="1638"/>
      <c r="F795" s="1638"/>
      <c r="G795" s="288"/>
      <c r="H795" s="404"/>
      <c r="I795" s="404"/>
    </row>
    <row r="796" spans="1:9" ht="12.75">
      <c r="A796" s="415"/>
      <c r="B796" s="415"/>
      <c r="C796" s="299"/>
      <c r="D796" s="282"/>
      <c r="E796" s="296"/>
      <c r="F796" s="296"/>
      <c r="G796" s="554"/>
      <c r="H796" s="404"/>
      <c r="I796" s="404"/>
    </row>
    <row r="797" spans="1:9" ht="14.45" customHeight="1">
      <c r="A797" s="413"/>
      <c r="B797" s="924" t="s">
        <v>134</v>
      </c>
      <c r="C797" s="322"/>
      <c r="D797" s="1579" t="s">
        <v>1859</v>
      </c>
      <c r="E797" s="1579"/>
      <c r="F797" s="1579"/>
      <c r="G797" s="554"/>
      <c r="H797" s="404"/>
      <c r="I797" s="404"/>
    </row>
    <row r="798" spans="1:9" ht="14.25">
      <c r="A798" s="413"/>
      <c r="B798" s="413"/>
      <c r="C798" s="322"/>
      <c r="D798" s="1579"/>
      <c r="E798" s="1579"/>
      <c r="F798" s="1579"/>
      <c r="G798" s="554"/>
      <c r="H798" s="404"/>
      <c r="I798" s="404"/>
    </row>
    <row r="799" spans="1:9" ht="14.25">
      <c r="A799" s="413"/>
      <c r="B799" s="413"/>
      <c r="C799" s="322"/>
      <c r="D799" s="1579"/>
      <c r="E799" s="1579"/>
      <c r="F799" s="1579"/>
      <c r="G799" s="554"/>
      <c r="H799" s="404"/>
      <c r="I799" s="404"/>
    </row>
    <row r="800" spans="1:9" ht="14.25">
      <c r="A800" s="413"/>
      <c r="B800" s="413"/>
      <c r="C800" s="322"/>
      <c r="D800" s="1029"/>
      <c r="E800" s="282"/>
      <c r="F800" s="282"/>
      <c r="G800" s="554"/>
      <c r="H800" s="404"/>
      <c r="I800" s="404"/>
    </row>
    <row r="801" spans="1:9" ht="14.25" customHeight="1">
      <c r="A801" s="413"/>
      <c r="B801" s="924" t="s">
        <v>134</v>
      </c>
      <c r="C801" s="322"/>
      <c r="D801" s="1638" t="s">
        <v>1746</v>
      </c>
      <c r="E801" s="1638"/>
      <c r="F801" s="1638"/>
      <c r="G801" s="554"/>
      <c r="H801" s="404"/>
      <c r="I801" s="404"/>
    </row>
    <row r="802" spans="1:9" ht="14.25">
      <c r="A802" s="413"/>
      <c r="B802" s="413"/>
      <c r="C802" s="322"/>
      <c r="D802" s="1638"/>
      <c r="E802" s="1638"/>
      <c r="F802" s="1638"/>
      <c r="G802" s="554"/>
      <c r="H802" s="404"/>
      <c r="I802" s="404"/>
    </row>
    <row r="803" spans="1:9" ht="14.25">
      <c r="A803" s="413"/>
      <c r="B803" s="413"/>
      <c r="C803" s="322"/>
      <c r="D803" s="1638"/>
      <c r="E803" s="1638"/>
      <c r="F803" s="1638"/>
      <c r="G803" s="554"/>
      <c r="H803" s="404"/>
      <c r="I803" s="404"/>
    </row>
    <row r="804" spans="1:9" ht="14.25">
      <c r="A804" s="413"/>
      <c r="B804" s="413"/>
      <c r="C804" s="322"/>
      <c r="D804" s="1638"/>
      <c r="E804" s="1638"/>
      <c r="F804" s="1638"/>
      <c r="G804" s="554"/>
      <c r="H804" s="404"/>
      <c r="I804" s="404"/>
    </row>
    <row r="805" spans="1:9" ht="14.25">
      <c r="A805" s="413"/>
      <c r="B805" s="413"/>
      <c r="C805" s="322"/>
      <c r="D805" s="1638"/>
      <c r="E805" s="1638"/>
      <c r="F805" s="1638"/>
      <c r="G805" s="554"/>
      <c r="H805" s="404"/>
      <c r="I805" s="404"/>
    </row>
    <row r="806" spans="1:9" ht="14.25">
      <c r="A806" s="413"/>
      <c r="B806" s="413"/>
      <c r="C806" s="322"/>
      <c r="D806" s="1579" t="s">
        <v>2228</v>
      </c>
      <c r="E806" s="1579"/>
      <c r="F806" s="1579"/>
      <c r="G806" s="554"/>
      <c r="H806" s="404"/>
      <c r="I806" s="404"/>
    </row>
    <row r="807" spans="1:9" ht="14.25">
      <c r="A807" s="413"/>
      <c r="B807" s="413"/>
      <c r="C807" s="322"/>
      <c r="D807" s="1579"/>
      <c r="E807" s="1579"/>
      <c r="F807" s="1579"/>
      <c r="G807" s="554"/>
      <c r="H807" s="404"/>
      <c r="I807" s="404"/>
    </row>
    <row r="808" spans="1:9" ht="14.25">
      <c r="A808" s="413"/>
      <c r="B808" s="413"/>
      <c r="C808" s="322"/>
      <c r="D808" s="1579"/>
      <c r="E808" s="1579"/>
      <c r="F808" s="1579"/>
      <c r="G808" s="554"/>
      <c r="H808" s="404"/>
      <c r="I808" s="404"/>
    </row>
    <row r="809" spans="1:9" ht="14.25">
      <c r="A809" s="413"/>
      <c r="B809" s="14"/>
      <c r="C809" s="322"/>
      <c r="D809" s="1296"/>
      <c r="E809" s="1296"/>
      <c r="F809" s="1296"/>
      <c r="G809" s="554"/>
      <c r="H809" s="404"/>
      <c r="I809" s="404"/>
    </row>
    <row r="810" spans="1:9" ht="14.25">
      <c r="A810" s="413"/>
      <c r="B810" s="924" t="s">
        <v>134</v>
      </c>
      <c r="C810" s="322"/>
      <c r="D810" s="1638" t="s">
        <v>1748</v>
      </c>
      <c r="E810" s="1638"/>
      <c r="F810" s="1638"/>
      <c r="G810" s="554"/>
      <c r="H810" s="404"/>
      <c r="I810" s="404"/>
    </row>
    <row r="811" spans="1:9" ht="14.25">
      <c r="A811" s="413"/>
      <c r="B811" s="413"/>
      <c r="C811" s="322"/>
      <c r="D811" s="1638"/>
      <c r="E811" s="1638"/>
      <c r="F811" s="1638"/>
      <c r="G811" s="554"/>
      <c r="H811" s="404"/>
      <c r="I811" s="404"/>
    </row>
    <row r="812" spans="1:9" ht="14.25">
      <c r="A812" s="413"/>
      <c r="B812" s="413"/>
      <c r="C812" s="322"/>
      <c r="D812" s="1638"/>
      <c r="E812" s="1638"/>
      <c r="F812" s="1638"/>
      <c r="G812" s="554"/>
      <c r="H812" s="404"/>
      <c r="I812" s="404"/>
    </row>
    <row r="813" spans="1:9" ht="14.25">
      <c r="A813" s="413"/>
      <c r="B813" s="413"/>
      <c r="C813" s="322"/>
      <c r="D813" s="1638"/>
      <c r="E813" s="1638"/>
      <c r="F813" s="1638"/>
      <c r="G813" s="554"/>
      <c r="H813" s="404"/>
      <c r="I813" s="404"/>
    </row>
    <row r="814" spans="1:9" ht="14.25">
      <c r="A814" s="413"/>
      <c r="B814" s="413"/>
      <c r="C814" s="322"/>
      <c r="D814" s="1638"/>
      <c r="E814" s="1638"/>
      <c r="F814" s="1638"/>
      <c r="G814" s="554"/>
      <c r="H814" s="404"/>
      <c r="I814" s="404"/>
    </row>
    <row r="815" spans="1:9" ht="14.25">
      <c r="A815" s="413"/>
      <c r="B815" s="413"/>
      <c r="C815" s="322"/>
      <c r="D815" s="1638"/>
      <c r="E815" s="1638"/>
      <c r="F815" s="1638"/>
      <c r="G815" s="554"/>
      <c r="H815" s="404"/>
      <c r="I815" s="404"/>
    </row>
    <row r="816" spans="1:9" ht="14.25">
      <c r="A816" s="413"/>
      <c r="B816" s="413"/>
      <c r="C816" s="322"/>
      <c r="D816" s="1284"/>
      <c r="E816" s="1284"/>
      <c r="F816" s="1284"/>
      <c r="G816" s="554"/>
      <c r="H816" s="404"/>
      <c r="I816" s="404"/>
    </row>
    <row r="817" spans="1:9" ht="14.25">
      <c r="A817" s="413"/>
      <c r="B817" s="1285" t="s">
        <v>134</v>
      </c>
      <c r="C817" s="322"/>
      <c r="D817" s="1579" t="s">
        <v>2056</v>
      </c>
      <c r="E817" s="1638"/>
      <c r="F817" s="1638"/>
      <c r="G817" s="554"/>
      <c r="H817" s="404"/>
      <c r="I817" s="404"/>
    </row>
    <row r="818" spans="1:9" ht="14.25">
      <c r="A818" s="413"/>
      <c r="B818" s="413"/>
      <c r="C818" s="322"/>
      <c r="D818" s="1638"/>
      <c r="E818" s="1638"/>
      <c r="F818" s="1638"/>
      <c r="G818" s="554"/>
      <c r="H818" s="404"/>
      <c r="I818" s="404"/>
    </row>
    <row r="819" spans="1:9" ht="14.25">
      <c r="A819" s="413"/>
      <c r="B819" s="413"/>
      <c r="C819" s="322"/>
      <c r="D819" s="1638"/>
      <c r="E819" s="1638"/>
      <c r="F819" s="1638"/>
      <c r="G819" s="554"/>
      <c r="H819" s="404"/>
      <c r="I819" s="404"/>
    </row>
    <row r="820" spans="1:9" ht="14.25">
      <c r="A820" s="413"/>
      <c r="B820" s="413"/>
      <c r="C820" s="322"/>
      <c r="D820" s="1638"/>
      <c r="E820" s="1638"/>
      <c r="F820" s="1638"/>
      <c r="G820" s="554"/>
      <c r="H820" s="404"/>
      <c r="I820" s="404"/>
    </row>
    <row r="821" spans="1:9" ht="14.25">
      <c r="A821" s="413"/>
      <c r="B821" s="413"/>
      <c r="C821" s="322"/>
      <c r="D821" s="1638"/>
      <c r="E821" s="1638"/>
      <c r="F821" s="1638"/>
      <c r="G821" s="554"/>
      <c r="H821" s="404"/>
      <c r="I821" s="404"/>
    </row>
    <row r="822" spans="1:9" ht="14.25">
      <c r="A822" s="413"/>
      <c r="B822" s="413"/>
      <c r="C822" s="322"/>
      <c r="D822" s="1031"/>
      <c r="E822" s="1031"/>
      <c r="F822" s="1031"/>
      <c r="G822" s="554"/>
      <c r="H822" s="404"/>
      <c r="I822" s="404"/>
    </row>
    <row r="823" spans="1:9" ht="14.25">
      <c r="A823" s="413"/>
      <c r="B823" s="1522" t="s">
        <v>1498</v>
      </c>
      <c r="C823" s="322"/>
      <c r="D823" s="1638" t="s">
        <v>1747</v>
      </c>
      <c r="E823" s="1638"/>
      <c r="F823" s="1638"/>
      <c r="G823" s="554"/>
      <c r="H823" s="404"/>
      <c r="I823" s="404"/>
    </row>
    <row r="824" spans="1:9" ht="14.25">
      <c r="A824" s="413"/>
      <c r="B824" s="413"/>
      <c r="C824" s="322"/>
      <c r="D824" s="1638"/>
      <c r="E824" s="1638"/>
      <c r="F824" s="1638"/>
      <c r="G824" s="554"/>
      <c r="H824" s="404"/>
      <c r="I824" s="404"/>
    </row>
    <row r="825" spans="1:9" ht="14.25">
      <c r="A825" s="413"/>
      <c r="B825" s="413"/>
      <c r="C825" s="322"/>
      <c r="D825" s="1638"/>
      <c r="E825" s="1638"/>
      <c r="F825" s="1638"/>
      <c r="G825" s="554"/>
      <c r="H825" s="404"/>
      <c r="I825" s="404"/>
    </row>
    <row r="826" spans="1:9" ht="14.25">
      <c r="A826" s="413"/>
      <c r="B826" s="413"/>
      <c r="C826" s="322"/>
      <c r="D826" s="1638"/>
      <c r="E826" s="1638"/>
      <c r="F826" s="1638"/>
      <c r="G826" s="554"/>
      <c r="H826" s="404"/>
      <c r="I826" s="404"/>
    </row>
    <row r="827" spans="1:9" ht="14.25">
      <c r="A827" s="413"/>
      <c r="B827" s="413"/>
      <c r="C827" s="322"/>
      <c r="D827" s="296"/>
      <c r="E827" s="282"/>
      <c r="F827" s="282"/>
      <c r="G827" s="554"/>
      <c r="H827" s="404"/>
      <c r="I827" s="404"/>
    </row>
    <row r="828" spans="1:9" ht="14.25">
      <c r="A828" s="413"/>
      <c r="B828" s="924" t="s">
        <v>134</v>
      </c>
      <c r="C828" s="322"/>
      <c r="D828" s="1639" t="s">
        <v>1750</v>
      </c>
      <c r="E828" s="1639"/>
      <c r="F828" s="1639"/>
      <c r="G828" s="554"/>
      <c r="H828" s="404"/>
      <c r="I828" s="404"/>
    </row>
    <row r="829" spans="1:9" ht="14.25">
      <c r="A829" s="413"/>
      <c r="B829" s="413"/>
      <c r="C829" s="322"/>
      <c r="D829" s="1639"/>
      <c r="E829" s="1639"/>
      <c r="F829" s="1639"/>
      <c r="G829" s="554"/>
      <c r="H829" s="404"/>
      <c r="I829" s="404"/>
    </row>
    <row r="830" spans="1:9" ht="12.75">
      <c r="A830" s="33"/>
      <c r="B830" s="33"/>
      <c r="C830" s="322"/>
      <c r="D830" s="1639"/>
      <c r="E830" s="1639"/>
      <c r="F830" s="1639"/>
      <c r="G830" s="554"/>
      <c r="H830" s="404"/>
      <c r="I830" s="404"/>
    </row>
    <row r="831" spans="1:9" ht="14.25">
      <c r="A831" s="413"/>
      <c r="B831" s="971"/>
      <c r="C831" s="322"/>
      <c r="D831" s="1639"/>
      <c r="E831" s="1639"/>
      <c r="F831" s="1639"/>
      <c r="G831" s="554"/>
      <c r="H831" s="404"/>
      <c r="I831" s="404"/>
    </row>
    <row r="832" spans="1:9" ht="14.25">
      <c r="A832" s="413"/>
      <c r="B832" s="971"/>
      <c r="C832" s="322"/>
      <c r="D832" s="1639"/>
      <c r="E832" s="1639"/>
      <c r="F832" s="1639"/>
      <c r="G832" s="554"/>
      <c r="H832" s="404"/>
      <c r="I832" s="404"/>
    </row>
    <row r="833" spans="1:9" ht="14.25">
      <c r="A833" s="413"/>
      <c r="B833" s="971"/>
      <c r="C833" s="322"/>
      <c r="D833" s="1639"/>
      <c r="E833" s="1639"/>
      <c r="F833" s="1639"/>
      <c r="G833" s="554"/>
      <c r="H833" s="404"/>
      <c r="I833" s="404"/>
    </row>
    <row r="834" spans="1:9" ht="14.25">
      <c r="A834" s="413"/>
      <c r="B834" s="1032"/>
      <c r="C834" s="322"/>
      <c r="D834" s="1030"/>
      <c r="E834" s="1030"/>
      <c r="F834" s="1030"/>
      <c r="G834" s="554"/>
      <c r="H834" s="404"/>
      <c r="I834" s="404"/>
    </row>
    <row r="835" spans="1:9" ht="14.25">
      <c r="A835" s="413"/>
      <c r="B835" s="924" t="s">
        <v>134</v>
      </c>
      <c r="C835" s="322"/>
      <c r="D835" s="1638" t="s">
        <v>1749</v>
      </c>
      <c r="E835" s="1638"/>
      <c r="F835" s="1638"/>
      <c r="G835" s="554"/>
      <c r="H835" s="404"/>
      <c r="I835" s="404"/>
    </row>
    <row r="836" spans="1:9" ht="14.25">
      <c r="A836" s="413"/>
      <c r="B836" s="413"/>
      <c r="C836" s="322"/>
      <c r="D836" s="1638"/>
      <c r="E836" s="1638"/>
      <c r="F836" s="1638"/>
      <c r="G836" s="554"/>
      <c r="H836" s="404"/>
      <c r="I836" s="404"/>
    </row>
    <row r="837" spans="1:9" ht="14.25">
      <c r="A837" s="413"/>
      <c r="B837" s="413"/>
      <c r="C837" s="322"/>
      <c r="D837" s="296"/>
      <c r="E837" s="282"/>
      <c r="F837" s="282"/>
      <c r="G837" s="554"/>
      <c r="H837" s="404"/>
      <c r="I837" s="404"/>
    </row>
    <row r="838" spans="1:9" ht="14.25">
      <c r="A838" s="413"/>
      <c r="B838" s="924" t="s">
        <v>134</v>
      </c>
      <c r="C838" s="322"/>
      <c r="D838" s="1639" t="s">
        <v>1751</v>
      </c>
      <c r="E838" s="1639"/>
      <c r="F838" s="1639"/>
      <c r="G838" s="554"/>
      <c r="H838" s="404"/>
      <c r="I838" s="404"/>
    </row>
    <row r="839" spans="1:9" ht="14.25">
      <c r="A839" s="413"/>
      <c r="B839" s="413"/>
      <c r="C839" s="322"/>
      <c r="D839" s="1639"/>
      <c r="E839" s="1639"/>
      <c r="F839" s="1639"/>
      <c r="G839" s="554"/>
      <c r="H839" s="404"/>
      <c r="I839" s="404"/>
    </row>
    <row r="840" spans="1:9" ht="12.75">
      <c r="A840" s="33"/>
      <c r="B840" s="33"/>
      <c r="C840" s="322"/>
      <c r="D840" s="296"/>
      <c r="E840" s="282"/>
      <c r="F840" s="282"/>
      <c r="G840" s="554"/>
      <c r="H840" s="404"/>
      <c r="I840" s="404"/>
    </row>
    <row r="841" spans="1:9" ht="12.75">
      <c r="A841" s="1567" t="s">
        <v>2076</v>
      </c>
      <c r="B841" s="1567"/>
      <c r="C841" s="1567"/>
      <c r="D841" s="1567"/>
      <c r="E841" s="1567"/>
      <c r="F841" s="1567"/>
      <c r="G841" s="1567"/>
      <c r="H841" s="404"/>
      <c r="I841" s="404"/>
    </row>
    <row r="842" spans="1:9" ht="12.75">
      <c r="A842" s="414"/>
      <c r="B842" s="414"/>
      <c r="C842" s="322"/>
      <c r="D842" s="296"/>
      <c r="E842" s="296"/>
      <c r="F842" s="296"/>
      <c r="G842" s="554"/>
      <c r="H842" s="404"/>
      <c r="I842" s="404"/>
    </row>
    <row r="843" spans="1:9" ht="14.25">
      <c r="A843" s="413"/>
      <c r="B843" s="413"/>
      <c r="C843" s="14"/>
      <c r="D843" s="1570" t="s">
        <v>1654</v>
      </c>
      <c r="E843" s="1570"/>
      <c r="F843" s="1570"/>
      <c r="H843" s="404"/>
      <c r="I843" s="404"/>
    </row>
    <row r="844" spans="1:9" ht="14.25">
      <c r="A844" s="413"/>
      <c r="B844" s="413"/>
      <c r="C844" s="14"/>
      <c r="D844" s="1593" t="s">
        <v>2073</v>
      </c>
      <c r="E844" s="1593"/>
      <c r="F844" s="1593"/>
      <c r="H844" s="404"/>
      <c r="I844" s="404"/>
    </row>
    <row r="845" spans="1:9" ht="14.25">
      <c r="A845" s="413"/>
      <c r="B845" s="413"/>
      <c r="C845" s="14"/>
      <c r="D845" s="1299"/>
      <c r="E845" s="1301"/>
      <c r="F845" s="1301"/>
      <c r="H845" s="404"/>
      <c r="I845" s="404"/>
    </row>
    <row r="846" spans="1:9" ht="12.75">
      <c r="A846" s="140"/>
      <c r="B846" s="924" t="s">
        <v>1498</v>
      </c>
      <c r="C846" s="322"/>
      <c r="D846" s="1559" t="s">
        <v>1585</v>
      </c>
      <c r="E846" s="1559"/>
      <c r="F846" s="1559"/>
      <c r="H846" s="404"/>
      <c r="I846" s="404"/>
    </row>
    <row r="847" spans="1:9" ht="12.75">
      <c r="A847" s="33"/>
      <c r="B847" s="33"/>
      <c r="C847" s="322"/>
      <c r="D847" s="6" t="s">
        <v>1558</v>
      </c>
      <c r="E847" s="1654" t="s">
        <v>2306</v>
      </c>
      <c r="F847" s="1654"/>
      <c r="H847" s="404"/>
      <c r="I847" s="404"/>
    </row>
    <row r="848" spans="1:9" ht="12.75">
      <c r="A848" s="33"/>
      <c r="B848" s="33"/>
      <c r="C848" s="322"/>
      <c r="D848" s="333"/>
      <c r="E848" s="282"/>
      <c r="F848" s="282"/>
      <c r="H848" s="404"/>
      <c r="I848" s="404"/>
    </row>
    <row r="849" spans="1:9" ht="12.75">
      <c r="A849" s="1008"/>
      <c r="B849" s="1007" t="s">
        <v>134</v>
      </c>
      <c r="C849" s="322"/>
      <c r="D849" s="1640" t="s">
        <v>1836</v>
      </c>
      <c r="E849" s="1640"/>
      <c r="F849" s="1640"/>
      <c r="H849" s="404"/>
      <c r="I849" s="404"/>
    </row>
    <row r="850" spans="1:9" ht="12.75">
      <c r="A850" s="1008"/>
      <c r="B850" s="1008"/>
      <c r="C850" s="322"/>
      <c r="D850" s="1640"/>
      <c r="E850" s="1640"/>
      <c r="F850" s="1640"/>
      <c r="H850" s="404"/>
      <c r="I850" s="404"/>
    </row>
    <row r="851" spans="1:9" ht="12.75">
      <c r="A851" s="1008"/>
      <c r="B851" s="1008"/>
      <c r="C851" s="322"/>
      <c r="D851" s="1640"/>
      <c r="E851" s="1640"/>
      <c r="F851" s="1640"/>
      <c r="H851" s="404"/>
      <c r="I851" s="404"/>
    </row>
    <row r="852" spans="1:9" ht="12.75">
      <c r="A852" s="1008"/>
      <c r="B852" s="1008"/>
      <c r="C852" s="322"/>
      <c r="D852" s="1640"/>
      <c r="E852" s="1640"/>
      <c r="F852" s="1640"/>
      <c r="H852" s="404"/>
      <c r="I852" s="404"/>
    </row>
    <row r="853" spans="1:9" ht="12.75">
      <c r="A853" s="1008"/>
      <c r="B853" s="1008"/>
      <c r="C853" s="322"/>
      <c r="D853" s="1640"/>
      <c r="E853" s="1640"/>
      <c r="F853" s="1640"/>
      <c r="H853" s="404"/>
      <c r="I853" s="404"/>
    </row>
    <row r="854" spans="1:9" ht="12.75">
      <c r="A854" s="1008"/>
      <c r="B854" s="1008"/>
      <c r="C854" s="322"/>
      <c r="D854" s="1640"/>
      <c r="E854" s="1640"/>
      <c r="F854" s="1640"/>
      <c r="H854" s="404"/>
      <c r="I854" s="404"/>
    </row>
    <row r="855" spans="1:9" ht="12.75">
      <c r="A855" s="1008"/>
      <c r="B855" s="1008"/>
      <c r="C855" s="322"/>
      <c r="D855" s="1640"/>
      <c r="E855" s="1640"/>
      <c r="F855" s="1640"/>
      <c r="H855" s="404"/>
      <c r="I855" s="404"/>
    </row>
    <row r="856" spans="1:9" ht="12.75">
      <c r="A856" s="1008"/>
      <c r="B856" s="1008"/>
      <c r="C856" s="322"/>
      <c r="D856" s="1640"/>
      <c r="E856" s="1640"/>
      <c r="F856" s="1640"/>
      <c r="H856" s="404"/>
      <c r="I856" s="404"/>
    </row>
    <row r="857" spans="1:9" ht="12.75">
      <c r="A857" s="1008"/>
      <c r="B857" s="1008"/>
      <c r="C857" s="322"/>
      <c r="D857" s="1640"/>
      <c r="E857" s="1640"/>
      <c r="F857" s="1640"/>
      <c r="H857" s="404"/>
      <c r="I857" s="404"/>
    </row>
    <row r="858" spans="1:9" ht="12.75">
      <c r="A858" s="1008"/>
      <c r="B858" s="1008"/>
      <c r="C858" s="322"/>
      <c r="D858" s="333"/>
      <c r="E858" s="282"/>
      <c r="F858" s="282"/>
      <c r="H858" s="404"/>
      <c r="I858" s="404"/>
    </row>
    <row r="859" spans="1:9" ht="14.25">
      <c r="A859" s="413"/>
      <c r="B859" s="924" t="s">
        <v>1498</v>
      </c>
      <c r="C859" s="322"/>
      <c r="D859" s="1559" t="s">
        <v>1586</v>
      </c>
      <c r="E859" s="1559"/>
      <c r="F859" s="1559"/>
      <c r="H859" s="404"/>
      <c r="I859" s="404"/>
    </row>
    <row r="860" spans="1:9" ht="14.25">
      <c r="A860" s="413"/>
      <c r="B860" s="413"/>
      <c r="C860" s="322"/>
      <c r="D860" s="1559"/>
      <c r="E860" s="1559"/>
      <c r="F860" s="1559"/>
      <c r="H860" s="404"/>
      <c r="I860" s="404"/>
    </row>
    <row r="861" spans="1:9" ht="14.25">
      <c r="A861" s="413"/>
      <c r="B861" s="413"/>
      <c r="C861" s="322"/>
      <c r="D861" s="1559"/>
      <c r="E861" s="1559"/>
      <c r="F861" s="1559"/>
      <c r="H861" s="404"/>
      <c r="I861" s="404"/>
    </row>
    <row r="862" spans="1:9" ht="14.25">
      <c r="A862" s="552"/>
      <c r="B862" s="552"/>
      <c r="C862" s="405"/>
      <c r="D862" s="403"/>
      <c r="H862" s="404"/>
      <c r="I862" s="404"/>
    </row>
    <row r="863" spans="1:9" ht="12.75">
      <c r="A863" s="684"/>
      <c r="B863" s="924" t="s">
        <v>134</v>
      </c>
      <c r="C863" s="405"/>
      <c r="D863" s="1648" t="s">
        <v>1587</v>
      </c>
      <c r="E863" s="1648"/>
      <c r="F863" s="1648"/>
      <c r="H863" s="404"/>
      <c r="I863" s="404"/>
    </row>
    <row r="864" spans="1:9" ht="12.75">
      <c r="A864" s="14"/>
      <c r="B864" s="684"/>
      <c r="C864" s="405"/>
      <c r="D864" s="1648"/>
      <c r="E864" s="1648"/>
      <c r="F864" s="1648"/>
      <c r="H864" s="404"/>
      <c r="I864" s="404"/>
    </row>
    <row r="865" spans="1:9" ht="14.25" customHeight="1">
      <c r="A865" s="552"/>
      <c r="B865" s="14"/>
      <c r="C865" s="405"/>
      <c r="D865" s="1602" t="s">
        <v>1612</v>
      </c>
      <c r="E865" s="1602"/>
      <c r="F865" s="1602"/>
      <c r="H865" s="404"/>
      <c r="I865" s="404"/>
    </row>
    <row r="866" spans="1:9" ht="14.25">
      <c r="A866" s="552"/>
      <c r="B866" s="552"/>
      <c r="C866" s="405"/>
      <c r="D866" s="1602"/>
      <c r="E866" s="1602"/>
      <c r="F866" s="1602"/>
      <c r="H866" s="404"/>
      <c r="I866" s="404"/>
    </row>
    <row r="867" spans="1:9" ht="14.25">
      <c r="A867" s="552"/>
      <c r="B867" s="552"/>
      <c r="C867" s="405"/>
      <c r="D867" s="1602"/>
      <c r="E867" s="1602"/>
      <c r="F867" s="1602"/>
      <c r="H867" s="404"/>
      <c r="I867" s="404"/>
    </row>
    <row r="868" spans="1:9" ht="14.25">
      <c r="A868" s="552"/>
      <c r="B868" s="552"/>
      <c r="C868" s="405"/>
      <c r="D868" s="1602"/>
      <c r="E868" s="1602"/>
      <c r="F868" s="1602"/>
      <c r="H868" s="404"/>
      <c r="I868" s="404"/>
    </row>
    <row r="869" spans="1:9" ht="14.25">
      <c r="A869" s="552"/>
      <c r="B869" s="552"/>
      <c r="C869" s="405"/>
      <c r="D869" s="1602"/>
      <c r="E869" s="1602"/>
      <c r="F869" s="1602"/>
      <c r="H869" s="404"/>
      <c r="I869" s="404"/>
    </row>
    <row r="870" spans="1:9" ht="14.25" customHeight="1">
      <c r="A870" s="552"/>
      <c r="B870" s="552"/>
      <c r="C870" s="405"/>
      <c r="D870" s="1602"/>
      <c r="E870" s="1602"/>
      <c r="F870" s="1602"/>
      <c r="H870" s="404"/>
      <c r="I870" s="404"/>
    </row>
    <row r="871" spans="1:9" ht="14.25">
      <c r="A871" s="552"/>
      <c r="B871" s="552"/>
      <c r="C871" s="405"/>
      <c r="D871" s="403"/>
      <c r="H871" s="404"/>
      <c r="I871" s="404"/>
    </row>
    <row r="872" spans="1:9" ht="14.25">
      <c r="A872" s="552"/>
      <c r="B872" s="924" t="s">
        <v>134</v>
      </c>
      <c r="C872" s="405"/>
      <c r="D872" s="1602" t="s">
        <v>1269</v>
      </c>
      <c r="E872" s="1602"/>
      <c r="F872" s="1602"/>
      <c r="H872" s="404"/>
      <c r="I872" s="404"/>
    </row>
    <row r="873" spans="1:9" ht="14.25">
      <c r="A873" s="552"/>
      <c r="B873" s="552"/>
      <c r="C873" s="405"/>
      <c r="D873" s="1602" t="s">
        <v>1270</v>
      </c>
      <c r="E873" s="1602"/>
      <c r="F873" s="1602"/>
      <c r="H873" s="404"/>
      <c r="I873" s="404"/>
    </row>
    <row r="874" spans="1:9" ht="14.25">
      <c r="A874" s="552"/>
      <c r="B874" s="552"/>
      <c r="C874" s="405"/>
      <c r="D874" s="330" t="s">
        <v>1557</v>
      </c>
      <c r="E874" s="1655" t="s">
        <v>2308</v>
      </c>
      <c r="F874" s="1655"/>
      <c r="H874" s="404"/>
      <c r="I874" s="404"/>
    </row>
    <row r="875" spans="1:9" ht="14.25">
      <c r="A875" s="552"/>
      <c r="B875" s="552"/>
      <c r="C875" s="405"/>
      <c r="D875" s="403"/>
      <c r="H875" s="404"/>
      <c r="I875" s="404"/>
    </row>
    <row r="876" spans="1:9" ht="14.25">
      <c r="A876" s="552"/>
      <c r="B876" s="924" t="s">
        <v>134</v>
      </c>
      <c r="C876" s="405"/>
      <c r="D876" s="1602" t="s">
        <v>1588</v>
      </c>
      <c r="E876" s="1602"/>
      <c r="F876" s="1602"/>
      <c r="H876" s="404"/>
      <c r="I876" s="404"/>
    </row>
    <row r="877" spans="1:9" ht="14.25">
      <c r="A877" s="552"/>
      <c r="B877" s="552"/>
      <c r="C877" s="405"/>
      <c r="D877" s="1602"/>
      <c r="E877" s="1602"/>
      <c r="F877" s="1602"/>
      <c r="H877" s="404"/>
      <c r="I877" s="404"/>
    </row>
    <row r="878" spans="1:9" ht="14.25">
      <c r="A878" s="552"/>
      <c r="B878" s="552"/>
      <c r="C878" s="405"/>
      <c r="D878" s="1602"/>
      <c r="E878" s="1602"/>
      <c r="F878" s="1602"/>
      <c r="H878" s="404"/>
      <c r="I878" s="404"/>
    </row>
    <row r="879" spans="1:9" ht="14.25">
      <c r="A879" s="552"/>
      <c r="B879" s="552"/>
      <c r="C879" s="405"/>
      <c r="D879" s="1602"/>
      <c r="E879" s="1602"/>
      <c r="F879" s="1602"/>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8" t="s">
        <v>1653</v>
      </c>
      <c r="E883" s="1568"/>
      <c r="F883" s="1568"/>
      <c r="G883" s="554"/>
      <c r="H883" s="404"/>
      <c r="I883" s="404"/>
    </row>
    <row r="884" spans="1:9" ht="12.75">
      <c r="A884" s="996"/>
      <c r="B884" s="996"/>
      <c r="C884" s="299"/>
      <c r="D884" s="1650" t="s">
        <v>2074</v>
      </c>
      <c r="E884" s="1651"/>
      <c r="F884" s="1651"/>
      <c r="G884" s="554"/>
      <c r="H884" s="404"/>
      <c r="I884" s="404"/>
    </row>
    <row r="885" spans="1:9" ht="12.75">
      <c r="A885" s="996"/>
      <c r="B885" s="996"/>
      <c r="C885" s="299"/>
      <c r="D885" s="989"/>
      <c r="E885" s="989"/>
      <c r="F885" s="989"/>
      <c r="G885" s="554"/>
      <c r="H885" s="404"/>
      <c r="I885" s="404"/>
    </row>
    <row r="886" spans="1:9" ht="14.25">
      <c r="A886" s="413"/>
      <c r="B886" s="924" t="s">
        <v>1498</v>
      </c>
      <c r="C886" s="14"/>
      <c r="D886" s="1561" t="s">
        <v>1611</v>
      </c>
      <c r="E886" s="1561"/>
      <c r="F886" s="1561"/>
      <c r="G886" s="554"/>
      <c r="H886" s="404"/>
      <c r="I886" s="404"/>
    </row>
    <row r="887" spans="1:9" ht="12.75">
      <c r="A887" s="140"/>
      <c r="B887" s="140"/>
      <c r="C887" s="14"/>
      <c r="D887" s="6" t="s">
        <v>1557</v>
      </c>
      <c r="E887" s="1649" t="s">
        <v>2308</v>
      </c>
      <c r="F887" s="1649"/>
      <c r="G887" s="554"/>
    </row>
    <row r="888" spans="1:9" ht="12.75">
      <c r="A888" s="140"/>
      <c r="B888" s="140"/>
      <c r="C888" s="14"/>
      <c r="D888" s="287"/>
      <c r="E888" s="296"/>
      <c r="F888" s="296"/>
      <c r="G888" s="554"/>
      <c r="H888" s="404"/>
      <c r="I888" s="404"/>
    </row>
    <row r="889" spans="1:9" ht="14.25">
      <c r="A889" s="413"/>
      <c r="B889" s="924" t="s">
        <v>1498</v>
      </c>
      <c r="C889" s="14"/>
      <c r="D889" s="1593" t="s">
        <v>2077</v>
      </c>
      <c r="E889" s="1611"/>
      <c r="F889" s="1611"/>
    </row>
    <row r="890" spans="1:9" ht="12.6" customHeight="1">
      <c r="A890" s="140"/>
      <c r="B890" s="140"/>
      <c r="C890" s="14"/>
      <c r="D890" s="1611"/>
      <c r="E890" s="1611"/>
      <c r="F890" s="1611"/>
    </row>
    <row r="891" spans="1:9" ht="14.25">
      <c r="A891" s="413"/>
      <c r="B891" s="413"/>
      <c r="C891" s="14"/>
      <c r="D891" s="287"/>
      <c r="E891" s="296"/>
      <c r="F891" s="296"/>
      <c r="G891" s="554"/>
      <c r="H891" s="404"/>
      <c r="I891" s="404"/>
    </row>
    <row r="892" spans="1:9" ht="12.75">
      <c r="A892" s="14"/>
      <c r="B892" s="924" t="s">
        <v>134</v>
      </c>
      <c r="D892" s="1646" t="s">
        <v>1839</v>
      </c>
      <c r="E892" s="1646"/>
      <c r="F892" s="1646"/>
      <c r="G892" s="554"/>
      <c r="H892" s="404"/>
      <c r="I892" s="404"/>
    </row>
    <row r="893" spans="1:9" ht="29.45" customHeight="1">
      <c r="A893" s="14"/>
      <c r="B893" s="872"/>
      <c r="D893" s="1646"/>
      <c r="E893" s="1646"/>
      <c r="F893" s="1646"/>
      <c r="G893" s="554"/>
      <c r="H893" s="404"/>
      <c r="I893" s="404"/>
    </row>
    <row r="894" spans="1:9" ht="14.25">
      <c r="A894" s="413"/>
      <c r="B894" s="2"/>
      <c r="C894" s="14"/>
      <c r="D894" s="1602" t="s">
        <v>1612</v>
      </c>
      <c r="E894" s="1602"/>
      <c r="F894" s="1602"/>
      <c r="G894" s="554"/>
      <c r="H894" s="404"/>
      <c r="I894" s="404"/>
    </row>
    <row r="895" spans="1:9" ht="14.25">
      <c r="A895" s="413"/>
      <c r="B895" s="413"/>
      <c r="C895" s="14"/>
      <c r="D895" s="1602"/>
      <c r="E895" s="1602"/>
      <c r="F895" s="1602"/>
      <c r="G895" s="554"/>
      <c r="H895" s="404"/>
      <c r="I895" s="404"/>
    </row>
    <row r="896" spans="1:9" ht="14.25">
      <c r="A896" s="413"/>
      <c r="B896" s="413"/>
      <c r="C896" s="14"/>
      <c r="D896" s="1602"/>
      <c r="E896" s="1602"/>
      <c r="F896" s="1602"/>
      <c r="G896" s="554"/>
      <c r="H896" s="404"/>
      <c r="I896" s="404"/>
    </row>
    <row r="897" spans="1:9" ht="14.25">
      <c r="A897" s="413"/>
      <c r="B897" s="413"/>
      <c r="C897" s="14"/>
      <c r="D897" s="1602"/>
      <c r="E897" s="1602"/>
      <c r="F897" s="1602"/>
      <c r="G897" s="554"/>
      <c r="H897" s="404"/>
      <c r="I897" s="404"/>
    </row>
    <row r="898" spans="1:9" ht="14.25">
      <c r="A898" s="413"/>
      <c r="B898" s="413"/>
      <c r="C898" s="14"/>
      <c r="D898" s="1602"/>
      <c r="E898" s="1602"/>
      <c r="F898" s="1602"/>
      <c r="G898" s="554"/>
      <c r="H898" s="404"/>
      <c r="I898" s="404"/>
    </row>
    <row r="899" spans="1:9" ht="14.25">
      <c r="A899" s="413"/>
      <c r="B899" s="413"/>
      <c r="C899" s="14"/>
      <c r="D899" s="1602"/>
      <c r="E899" s="1602"/>
      <c r="F899" s="1602"/>
      <c r="G899" s="554"/>
      <c r="H899" s="404"/>
      <c r="I899" s="404"/>
    </row>
    <row r="900" spans="1:9" ht="14.25">
      <c r="A900" s="413"/>
      <c r="B900" s="413"/>
      <c r="C900" s="14"/>
      <c r="D900" s="287"/>
      <c r="E900" s="296"/>
      <c r="F900" s="296"/>
      <c r="G900" s="554"/>
      <c r="H900" s="404"/>
      <c r="I900" s="404"/>
    </row>
    <row r="901" spans="1:9" ht="14.25">
      <c r="A901" s="413"/>
      <c r="B901" s="924" t="s">
        <v>134</v>
      </c>
      <c r="C901" s="14"/>
      <c r="D901" s="1566" t="s">
        <v>1269</v>
      </c>
      <c r="E901" s="1566"/>
      <c r="F901" s="1566"/>
      <c r="G901" s="554"/>
      <c r="H901" s="404"/>
      <c r="I901" s="404"/>
    </row>
    <row r="902" spans="1:9" ht="14.25">
      <c r="A902" s="413"/>
      <c r="B902" s="413"/>
      <c r="C902" s="14"/>
      <c r="D902" s="1566" t="s">
        <v>1270</v>
      </c>
      <c r="E902" s="1566"/>
      <c r="F902" s="1566"/>
      <c r="G902" s="554"/>
      <c r="H902" s="404"/>
      <c r="I902" s="404"/>
    </row>
    <row r="903" spans="1:9" ht="14.25">
      <c r="A903" s="413"/>
      <c r="B903" s="413"/>
      <c r="C903" s="14"/>
      <c r="D903" s="6" t="s">
        <v>1613</v>
      </c>
      <c r="E903" s="1647" t="s">
        <v>2308</v>
      </c>
      <c r="F903" s="1647"/>
      <c r="G903" s="554"/>
      <c r="H903" s="404"/>
      <c r="I903" s="404"/>
    </row>
    <row r="904" spans="1:9" ht="14.25">
      <c r="A904" s="413"/>
      <c r="B904" s="413"/>
      <c r="C904" s="14"/>
      <c r="D904" s="287"/>
      <c r="E904" s="296"/>
      <c r="F904" s="296"/>
      <c r="G904" s="554"/>
      <c r="H904" s="404"/>
      <c r="I904" s="404"/>
    </row>
    <row r="905" spans="1:9" ht="14.25">
      <c r="A905" s="413"/>
      <c r="B905" s="924" t="s">
        <v>134</v>
      </c>
      <c r="C905" s="14"/>
      <c r="D905" s="1559" t="s">
        <v>1588</v>
      </c>
      <c r="E905" s="1559"/>
      <c r="F905" s="1559"/>
      <c r="G905" s="554"/>
      <c r="H905" s="404"/>
      <c r="I905" s="404"/>
    </row>
    <row r="906" spans="1:9" ht="14.25">
      <c r="A906" s="413"/>
      <c r="B906" s="413"/>
      <c r="C906" s="14"/>
      <c r="D906" s="1559"/>
      <c r="E906" s="1559"/>
      <c r="F906" s="1559"/>
      <c r="G906" s="554"/>
      <c r="H906" s="404"/>
      <c r="I906" s="404"/>
    </row>
    <row r="907" spans="1:9" ht="14.25">
      <c r="A907" s="413"/>
      <c r="B907" s="413"/>
      <c r="C907" s="14"/>
      <c r="D907" s="1559"/>
      <c r="E907" s="1559"/>
      <c r="F907" s="1559"/>
      <c r="G907" s="554"/>
      <c r="H907" s="404"/>
      <c r="I907" s="404"/>
    </row>
    <row r="908" spans="1:9" ht="14.25">
      <c r="A908" s="413"/>
      <c r="B908" s="413"/>
      <c r="C908" s="14"/>
      <c r="D908" s="1559"/>
      <c r="E908" s="1559"/>
      <c r="F908" s="1559"/>
      <c r="G908" s="554"/>
      <c r="H908" s="404"/>
      <c r="I908" s="404"/>
    </row>
    <row r="909" spans="1:9" ht="12.75">
      <c r="A909" s="143"/>
      <c r="B909" s="143"/>
      <c r="C909" s="322"/>
      <c r="D909" s="296"/>
      <c r="E909" s="296"/>
      <c r="F909" s="296"/>
      <c r="G909" s="554"/>
      <c r="H909" s="404"/>
      <c r="I909" s="404"/>
    </row>
    <row r="910" spans="1:9" ht="12.75">
      <c r="A910" s="1567" t="s">
        <v>1525</v>
      </c>
      <c r="B910" s="1567"/>
      <c r="C910" s="1567"/>
      <c r="D910" s="1567"/>
      <c r="E910" s="1567"/>
      <c r="F910" s="1567"/>
      <c r="G910" s="1567"/>
      <c r="H910" s="404"/>
      <c r="I910" s="404"/>
    </row>
    <row r="911" spans="1:9" ht="12.75">
      <c r="A911" s="143"/>
      <c r="B911" s="143"/>
      <c r="C911" s="322"/>
      <c r="D911" s="296"/>
      <c r="E911" s="296"/>
      <c r="F911" s="296"/>
      <c r="G911" s="554"/>
      <c r="H911" s="404"/>
      <c r="I911" s="404"/>
    </row>
    <row r="912" spans="1:9" ht="12.75">
      <c r="A912" s="140"/>
      <c r="B912" s="140"/>
      <c r="C912" s="322"/>
      <c r="D912" s="1621" t="s">
        <v>1788</v>
      </c>
      <c r="E912" s="1621"/>
      <c r="F912" s="1621"/>
      <c r="G912" s="554"/>
      <c r="H912" s="404"/>
      <c r="I912" s="404"/>
    </row>
    <row r="913" spans="1:9" ht="12.75">
      <c r="A913" s="414"/>
      <c r="B913" s="414"/>
      <c r="C913" s="298"/>
      <c r="D913" s="1561" t="s">
        <v>1610</v>
      </c>
      <c r="E913" s="1561"/>
      <c r="F913" s="1561"/>
      <c r="G913" s="554"/>
      <c r="H913" s="404"/>
      <c r="I913" s="404"/>
    </row>
    <row r="914" spans="1:9" ht="12.75">
      <c r="A914" s="414"/>
      <c r="B914" s="414"/>
      <c r="C914" s="298"/>
      <c r="D914" s="282"/>
      <c r="E914" s="282"/>
      <c r="F914" s="296"/>
      <c r="G914" s="554"/>
      <c r="H914" s="404"/>
      <c r="I914" s="404"/>
    </row>
    <row r="915" spans="1:9" ht="13.7" customHeight="1">
      <c r="A915" s="414"/>
      <c r="B915" s="994" t="s">
        <v>134</v>
      </c>
      <c r="C915" s="298"/>
      <c r="D915" s="1657" t="s">
        <v>1798</v>
      </c>
      <c r="E915" s="1657"/>
      <c r="F915" s="1657"/>
      <c r="G915" s="554"/>
      <c r="H915" s="404"/>
      <c r="I915" s="404"/>
    </row>
    <row r="916" spans="1:9" ht="12.75">
      <c r="A916" s="414"/>
      <c r="B916" s="414"/>
      <c r="C916" s="298"/>
      <c r="D916" s="1657"/>
      <c r="E916" s="1657"/>
      <c r="F916" s="1657"/>
      <c r="G916" s="554"/>
      <c r="H916" s="404"/>
      <c r="I916" s="404"/>
    </row>
    <row r="917" spans="1:9" ht="12.75">
      <c r="A917" s="414"/>
      <c r="B917" s="414"/>
      <c r="C917" s="298"/>
      <c r="D917" s="1657"/>
      <c r="E917" s="1657"/>
      <c r="F917" s="1657"/>
      <c r="G917" s="554"/>
      <c r="H917" s="404"/>
      <c r="I917" s="404"/>
    </row>
    <row r="918" spans="1:9" ht="12.75">
      <c r="A918" s="414"/>
      <c r="B918" s="414"/>
      <c r="C918" s="298"/>
      <c r="D918" s="1657"/>
      <c r="E918" s="1657"/>
      <c r="F918" s="1657"/>
      <c r="G918" s="554"/>
      <c r="H918" s="404"/>
      <c r="I918" s="404"/>
    </row>
    <row r="919" spans="1:9" ht="12.75">
      <c r="A919" s="414"/>
      <c r="B919" s="414"/>
      <c r="C919" s="298"/>
      <c r="D919" s="1657"/>
      <c r="E919" s="1657"/>
      <c r="F919" s="1657"/>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655" t="s">
        <v>1892</v>
      </c>
      <c r="E921" s="1655"/>
      <c r="F921" s="1655"/>
      <c r="G921" s="554"/>
      <c r="H921" s="404"/>
      <c r="I921" s="404"/>
    </row>
    <row r="922" spans="1:9" ht="14.25" customHeight="1">
      <c r="A922" s="552"/>
      <c r="B922" s="552"/>
      <c r="C922" s="553"/>
      <c r="D922" s="1655"/>
      <c r="E922" s="1655"/>
      <c r="F922" s="1655"/>
      <c r="G922" s="554"/>
      <c r="H922" s="404"/>
      <c r="I922" s="404"/>
    </row>
    <row r="923" spans="1:9" ht="14.25" customHeight="1">
      <c r="A923" s="552"/>
      <c r="B923" s="552"/>
      <c r="C923" s="553"/>
      <c r="D923" s="1655"/>
      <c r="E923" s="1655"/>
      <c r="F923" s="1655"/>
      <c r="G923" s="554"/>
      <c r="H923" s="404"/>
      <c r="I923" s="404"/>
    </row>
    <row r="924" spans="1:9" ht="14.25" customHeight="1">
      <c r="A924" s="552"/>
      <c r="B924" s="552"/>
      <c r="C924" s="553"/>
      <c r="D924" s="1655"/>
      <c r="E924" s="1655"/>
      <c r="F924" s="1655"/>
      <c r="G924" s="554"/>
      <c r="H924" s="404"/>
      <c r="I924" s="404"/>
    </row>
    <row r="925" spans="1:9" ht="14.25" customHeight="1">
      <c r="A925" s="555"/>
      <c r="B925" s="555"/>
      <c r="C925" s="553"/>
      <c r="D925" s="1655"/>
      <c r="E925" s="1655"/>
      <c r="F925" s="1655"/>
      <c r="G925" s="554"/>
      <c r="H925" s="404"/>
      <c r="I925" s="404"/>
    </row>
    <row r="926" spans="1:9" ht="14.25" customHeight="1">
      <c r="A926" s="555"/>
      <c r="B926" s="555"/>
      <c r="C926" s="553"/>
      <c r="D926" s="1655"/>
      <c r="E926" s="1655"/>
      <c r="F926" s="1655"/>
      <c r="G926" s="554"/>
      <c r="H926" s="404"/>
      <c r="I926" s="404"/>
    </row>
    <row r="927" spans="1:9" ht="14.25" customHeight="1">
      <c r="A927" s="555"/>
      <c r="B927" s="555"/>
      <c r="C927" s="553"/>
      <c r="D927" s="1655"/>
      <c r="E927" s="1655"/>
      <c r="F927" s="1655"/>
      <c r="G927" s="554"/>
      <c r="H927" s="404"/>
      <c r="I927" s="404"/>
    </row>
    <row r="928" spans="1:9" ht="14.25" customHeight="1">
      <c r="A928" s="555"/>
      <c r="B928" s="555"/>
      <c r="C928" s="553"/>
      <c r="D928" s="330"/>
      <c r="F928" s="554"/>
      <c r="G928" s="554"/>
      <c r="H928" s="404"/>
      <c r="I928" s="404"/>
    </row>
    <row r="929" spans="1:9" s="497" customFormat="1" ht="14.25" customHeight="1">
      <c r="A929" s="556"/>
      <c r="B929" s="924" t="s">
        <v>134</v>
      </c>
      <c r="C929" s="557"/>
      <c r="D929" s="1655" t="s">
        <v>1893</v>
      </c>
      <c r="E929" s="1655"/>
      <c r="F929" s="1655"/>
      <c r="G929" s="559"/>
      <c r="H929" s="560"/>
      <c r="I929" s="560"/>
    </row>
    <row r="930" spans="1:9" s="497" customFormat="1" ht="14.25" customHeight="1">
      <c r="A930" s="556"/>
      <c r="B930" s="556"/>
      <c r="C930" s="557"/>
      <c r="D930" s="1655"/>
      <c r="E930" s="1655"/>
      <c r="F930" s="1655"/>
      <c r="G930" s="559"/>
      <c r="H930" s="560"/>
      <c r="I930" s="560"/>
    </row>
    <row r="931" spans="1:9" s="497" customFormat="1" ht="14.25" customHeight="1">
      <c r="A931" s="556"/>
      <c r="B931" s="556"/>
      <c r="C931" s="557"/>
      <c r="D931" s="1655"/>
      <c r="E931" s="1655"/>
      <c r="F931" s="1655"/>
      <c r="G931" s="559"/>
      <c r="H931" s="560"/>
      <c r="I931" s="560"/>
    </row>
    <row r="932" spans="1:9" s="497" customFormat="1" ht="14.25" customHeight="1">
      <c r="A932" s="556"/>
      <c r="B932" s="556"/>
      <c r="C932" s="557"/>
      <c r="D932" s="1655"/>
      <c r="E932" s="1655"/>
      <c r="F932" s="1655"/>
      <c r="G932" s="559"/>
      <c r="H932" s="560"/>
      <c r="I932" s="560"/>
    </row>
    <row r="933" spans="1:9" s="497" customFormat="1" ht="14.25" customHeight="1">
      <c r="A933" s="556"/>
      <c r="B933" s="556"/>
      <c r="C933" s="557"/>
      <c r="D933" s="1655"/>
      <c r="E933" s="1655"/>
      <c r="F933" s="1655"/>
      <c r="G933" s="559"/>
      <c r="H933" s="560"/>
      <c r="I933" s="560"/>
    </row>
    <row r="934" spans="1:9" s="497" customFormat="1" ht="14.25">
      <c r="A934" s="556"/>
      <c r="B934" s="556"/>
      <c r="C934" s="557"/>
      <c r="D934" s="1655"/>
      <c r="E934" s="1655"/>
      <c r="F934" s="1655"/>
      <c r="G934" s="559"/>
      <c r="H934" s="560"/>
      <c r="I934" s="560"/>
    </row>
    <row r="935" spans="1:9" s="497" customFormat="1" ht="14.25" customHeight="1">
      <c r="A935" s="556"/>
      <c r="B935" s="556"/>
      <c r="C935" s="557"/>
      <c r="D935" s="1655"/>
      <c r="E935" s="1655"/>
      <c r="F935" s="1655"/>
      <c r="G935" s="559"/>
      <c r="H935" s="560"/>
      <c r="I935" s="560"/>
    </row>
    <row r="936" spans="1:9" s="497" customFormat="1" ht="14.25" customHeight="1">
      <c r="A936" s="556"/>
      <c r="B936" s="556"/>
      <c r="C936" s="557"/>
      <c r="D936" s="1655"/>
      <c r="E936" s="1655"/>
      <c r="F936" s="1655"/>
      <c r="G936" s="559"/>
      <c r="H936" s="560"/>
      <c r="I936" s="560"/>
    </row>
    <row r="937" spans="1:9" s="497" customFormat="1" ht="14.25" customHeight="1">
      <c r="A937" s="556"/>
      <c r="B937" s="556"/>
      <c r="C937" s="557"/>
      <c r="D937" s="1655"/>
      <c r="E937" s="1655"/>
      <c r="F937" s="1655"/>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16" t="s">
        <v>1799</v>
      </c>
      <c r="E939" s="1616"/>
      <c r="F939" s="1616"/>
      <c r="G939" s="554"/>
      <c r="H939" s="404"/>
      <c r="I939" s="404"/>
    </row>
    <row r="940" spans="1:9" ht="14.25" customHeight="1">
      <c r="A940" s="552"/>
      <c r="B940" s="552"/>
      <c r="C940" s="553"/>
      <c r="D940" s="1616"/>
      <c r="E940" s="1616"/>
      <c r="F940" s="1616"/>
      <c r="G940" s="554"/>
      <c r="H940" s="404"/>
      <c r="I940" s="404"/>
    </row>
    <row r="941" spans="1:9" ht="14.25" customHeight="1">
      <c r="A941" s="552"/>
      <c r="B941" s="552"/>
      <c r="C941" s="553"/>
      <c r="D941" s="1616"/>
      <c r="E941" s="1616"/>
      <c r="F941" s="1616"/>
      <c r="G941" s="554"/>
      <c r="H941" s="404"/>
      <c r="I941" s="404"/>
    </row>
    <row r="942" spans="1:9" ht="14.25" customHeight="1">
      <c r="A942" s="552"/>
      <c r="B942" s="552"/>
      <c r="C942" s="553"/>
      <c r="D942" s="1616"/>
      <c r="E942" s="1616"/>
      <c r="F942" s="1616"/>
      <c r="G942" s="554"/>
      <c r="H942" s="404"/>
      <c r="I942" s="404"/>
    </row>
    <row r="943" spans="1:9" ht="14.25" customHeight="1">
      <c r="A943" s="552"/>
      <c r="B943" s="552"/>
      <c r="C943" s="553"/>
      <c r="D943" s="1616"/>
      <c r="E943" s="1616"/>
      <c r="F943" s="1616"/>
      <c r="G943" s="554"/>
      <c r="H943" s="404"/>
      <c r="I943" s="404"/>
    </row>
    <row r="944" spans="1:9" ht="14.25" customHeight="1">
      <c r="A944" s="552"/>
      <c r="B944" s="552"/>
      <c r="C944" s="553"/>
      <c r="D944" s="1616"/>
      <c r="E944" s="1616"/>
      <c r="F944" s="1616"/>
      <c r="G944" s="554"/>
      <c r="H944" s="404"/>
      <c r="I944" s="404"/>
    </row>
    <row r="945" spans="1:9" ht="14.25" customHeight="1">
      <c r="A945" s="552"/>
      <c r="B945" s="552"/>
      <c r="C945" s="553"/>
      <c r="D945" s="1616"/>
      <c r="E945" s="1616"/>
      <c r="F945" s="1616"/>
      <c r="G945" s="554"/>
      <c r="H945" s="404"/>
      <c r="I945" s="404"/>
    </row>
    <row r="946" spans="1:9" ht="14.25" customHeight="1">
      <c r="A946" s="552"/>
      <c r="B946" s="552"/>
      <c r="C946" s="553"/>
      <c r="D946" s="620"/>
      <c r="F946" s="554"/>
      <c r="G946" s="554"/>
      <c r="H946" s="404"/>
      <c r="I946" s="404"/>
    </row>
    <row r="947" spans="1:9" s="685" customFormat="1" ht="14.25">
      <c r="A947" s="552"/>
      <c r="B947" s="924" t="s">
        <v>134</v>
      </c>
      <c r="C947" s="553"/>
      <c r="D947" s="1655" t="s">
        <v>1800</v>
      </c>
      <c r="E947" s="1655"/>
      <c r="F947" s="1655"/>
      <c r="G947" s="554"/>
      <c r="H947" s="747"/>
    </row>
    <row r="948" spans="1:9" s="685" customFormat="1" ht="14.25">
      <c r="A948" s="552"/>
      <c r="B948" s="552"/>
      <c r="C948" s="553"/>
      <c r="D948" s="1655"/>
      <c r="E948" s="1655"/>
      <c r="F948" s="1655"/>
      <c r="G948" s="554"/>
      <c r="H948" s="747"/>
    </row>
    <row r="949" spans="1:9" s="685" customFormat="1" ht="14.25">
      <c r="A949" s="552"/>
      <c r="B949" s="552"/>
      <c r="C949" s="553"/>
      <c r="D949" s="1655"/>
      <c r="E949" s="1655"/>
      <c r="F949" s="1655"/>
      <c r="G949" s="554"/>
      <c r="H949" s="747"/>
    </row>
    <row r="950" spans="1:9" s="685" customFormat="1" ht="14.25">
      <c r="A950" s="552"/>
      <c r="B950" s="552"/>
      <c r="C950" s="553"/>
      <c r="D950" s="1655"/>
      <c r="E950" s="1655"/>
      <c r="F950" s="1655"/>
      <c r="G950" s="554"/>
      <c r="H950" s="747"/>
    </row>
    <row r="951" spans="1:9" s="685" customFormat="1" ht="14.25">
      <c r="A951" s="552"/>
      <c r="B951" s="552"/>
      <c r="C951" s="553"/>
      <c r="D951" s="330"/>
      <c r="E951" s="329"/>
      <c r="F951" s="554"/>
      <c r="G951" s="554"/>
      <c r="H951" s="747"/>
    </row>
    <row r="952" spans="1:9" ht="14.25" customHeight="1">
      <c r="A952" s="33"/>
      <c r="B952" s="33"/>
      <c r="C952" s="322"/>
      <c r="D952" s="1559" t="s">
        <v>1801</v>
      </c>
      <c r="E952" s="1559"/>
      <c r="F952" s="1559"/>
      <c r="G952" s="554"/>
      <c r="H952" s="404"/>
      <c r="I952" s="404"/>
    </row>
    <row r="953" spans="1:9" ht="14.25" customHeight="1">
      <c r="A953" s="355"/>
      <c r="B953" s="355"/>
      <c r="C953" s="322"/>
      <c r="D953" s="1559"/>
      <c r="E953" s="1559"/>
      <c r="F953" s="1559"/>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59" t="s">
        <v>1802</v>
      </c>
      <c r="E955" s="1559"/>
      <c r="F955" s="1559"/>
    </row>
    <row r="956" spans="1:9" ht="12.75">
      <c r="A956" s="140"/>
      <c r="B956" s="140"/>
      <c r="C956" s="14"/>
      <c r="D956" s="1559"/>
      <c r="E956" s="1559"/>
      <c r="F956" s="1559"/>
    </row>
    <row r="957" spans="1:9" ht="14.25" customHeight="1">
      <c r="A957" s="355"/>
      <c r="B957" s="355"/>
      <c r="C957" s="322"/>
      <c r="D957" s="6"/>
      <c r="E957" s="296"/>
      <c r="F957" s="296"/>
      <c r="G957" s="554"/>
      <c r="H957" s="404"/>
      <c r="I957" s="404"/>
    </row>
    <row r="958" spans="1:9" ht="14.25" customHeight="1">
      <c r="A958" s="415"/>
      <c r="B958" s="415"/>
      <c r="C958" s="299"/>
      <c r="D958" s="1621" t="s">
        <v>1791</v>
      </c>
      <c r="E958" s="1621"/>
      <c r="F958" s="1621"/>
      <c r="G958" s="554"/>
      <c r="H958" s="404"/>
      <c r="I958" s="404"/>
    </row>
    <row r="959" spans="1:9" ht="14.25" customHeight="1">
      <c r="A959" s="415"/>
      <c r="B959" s="415"/>
      <c r="C959" s="299"/>
      <c r="D959" s="991"/>
      <c r="E959" s="282"/>
      <c r="F959" s="296"/>
      <c r="G959" s="554"/>
      <c r="H959" s="404"/>
      <c r="I959" s="404"/>
    </row>
    <row r="960" spans="1:9" ht="14.45" customHeight="1">
      <c r="A960" s="413"/>
      <c r="B960" s="924" t="s">
        <v>1498</v>
      </c>
      <c r="C960" s="322"/>
      <c r="D960" s="1577" t="s">
        <v>1790</v>
      </c>
      <c r="E960" s="1577"/>
      <c r="F960" s="1577"/>
      <c r="G960" s="554"/>
      <c r="H960" s="404"/>
      <c r="I960" s="404"/>
    </row>
    <row r="961" spans="1:9" ht="12.75">
      <c r="A961" s="355"/>
      <c r="B961" s="355"/>
      <c r="C961" s="322"/>
      <c r="D961" s="1577"/>
      <c r="E961" s="1577"/>
      <c r="F961" s="1577"/>
      <c r="G961" s="554"/>
      <c r="H961" s="404"/>
      <c r="I961" s="404"/>
    </row>
    <row r="962" spans="1:9" ht="12.75">
      <c r="A962" s="355"/>
      <c r="B962" s="355"/>
      <c r="C962" s="322"/>
      <c r="D962" s="1577"/>
      <c r="E962" s="1577"/>
      <c r="F962" s="1577"/>
      <c r="G962" s="554"/>
      <c r="H962" s="404"/>
      <c r="I962" s="404"/>
    </row>
    <row r="963" spans="1:9" ht="12.75">
      <c r="A963" s="355"/>
      <c r="B963" s="355"/>
      <c r="C963" s="322"/>
      <c r="D963" s="1577"/>
      <c r="E963" s="1577"/>
      <c r="F963" s="1577"/>
      <c r="G963" s="554"/>
      <c r="H963" s="404"/>
      <c r="I963" s="404"/>
    </row>
    <row r="964" spans="1:9" ht="12.75">
      <c r="A964" s="355"/>
      <c r="B964" s="355"/>
      <c r="C964" s="322"/>
      <c r="D964" s="1577"/>
      <c r="E964" s="1577"/>
      <c r="F964" s="1577"/>
      <c r="G964" s="554"/>
      <c r="H964" s="404"/>
      <c r="I964" s="404"/>
    </row>
    <row r="965" spans="1:9" ht="12.75">
      <c r="A965" s="355"/>
      <c r="B965" s="355"/>
      <c r="C965" s="322"/>
      <c r="D965" s="1577"/>
      <c r="E965" s="1577"/>
      <c r="F965" s="1577"/>
      <c r="G965" s="554"/>
      <c r="H965" s="404"/>
      <c r="I965" s="404"/>
    </row>
    <row r="966" spans="1:9" ht="12.75">
      <c r="A966" s="355"/>
      <c r="B966" s="355"/>
      <c r="C966" s="322"/>
      <c r="D966" s="993"/>
      <c r="E966" s="993"/>
      <c r="F966" s="993"/>
      <c r="G966" s="554"/>
      <c r="H966" s="404"/>
      <c r="I966" s="404"/>
    </row>
    <row r="967" spans="1:9" ht="14.45" customHeight="1">
      <c r="A967" s="413"/>
      <c r="B967" s="924" t="s">
        <v>134</v>
      </c>
      <c r="C967" s="322"/>
      <c r="D967" s="1577" t="s">
        <v>1789</v>
      </c>
      <c r="E967" s="1577"/>
      <c r="F967" s="1577"/>
      <c r="G967" s="554"/>
      <c r="H967" s="404"/>
      <c r="I967" s="404"/>
    </row>
    <row r="968" spans="1:9" ht="12.75">
      <c r="A968" s="355"/>
      <c r="B968" s="355"/>
      <c r="C968" s="322"/>
      <c r="D968" s="1577"/>
      <c r="E968" s="1577"/>
      <c r="F968" s="1577"/>
      <c r="G968" s="554"/>
      <c r="H968" s="404"/>
      <c r="I968" s="404"/>
    </row>
    <row r="969" spans="1:9" ht="12.75">
      <c r="A969" s="355"/>
      <c r="B969" s="355"/>
      <c r="C969" s="322"/>
      <c r="D969" s="1577"/>
      <c r="E969" s="1577"/>
      <c r="F969" s="1577"/>
      <c r="G969" s="554"/>
      <c r="H969" s="404"/>
      <c r="I969" s="404"/>
    </row>
    <row r="970" spans="1:9" ht="12.75">
      <c r="A970" s="355"/>
      <c r="B970" s="355"/>
      <c r="C970" s="322"/>
      <c r="D970" s="1577"/>
      <c r="E970" s="1577"/>
      <c r="F970" s="1577"/>
      <c r="G970" s="554"/>
      <c r="H970" s="404"/>
      <c r="I970" s="404"/>
    </row>
    <row r="971" spans="1:9" ht="12.75">
      <c r="A971" s="355"/>
      <c r="B971" s="355"/>
      <c r="C971" s="322"/>
      <c r="D971" s="1577"/>
      <c r="E971" s="1577"/>
      <c r="F971" s="1577"/>
      <c r="G971" s="554"/>
      <c r="H971" s="404"/>
      <c r="I971" s="404"/>
    </row>
    <row r="972" spans="1:9" ht="12.75">
      <c r="A972" s="355"/>
      <c r="B972" s="355"/>
      <c r="C972" s="322"/>
      <c r="D972" s="688"/>
      <c r="E972" s="296"/>
      <c r="F972" s="296"/>
      <c r="G972" s="554"/>
      <c r="H972" s="404"/>
      <c r="I972" s="404"/>
    </row>
    <row r="973" spans="1:9" ht="14.25">
      <c r="A973" s="413"/>
      <c r="B973" s="1521" t="s">
        <v>134</v>
      </c>
      <c r="C973" s="322"/>
      <c r="D973" s="1577" t="s">
        <v>1792</v>
      </c>
      <c r="E973" s="1577"/>
      <c r="F973" s="1577"/>
      <c r="G973" s="554"/>
      <c r="H973" s="404"/>
      <c r="I973" s="404"/>
    </row>
    <row r="974" spans="1:9" ht="12.75">
      <c r="A974" s="355"/>
      <c r="B974" s="355"/>
      <c r="C974" s="322"/>
      <c r="D974" s="1577"/>
      <c r="E974" s="1577"/>
      <c r="F974" s="1577"/>
      <c r="G974" s="554"/>
      <c r="H974" s="404"/>
      <c r="I974" s="404"/>
    </row>
    <row r="975" spans="1:9" ht="12.75">
      <c r="A975" s="355"/>
      <c r="B975" s="355"/>
      <c r="C975" s="322"/>
      <c r="D975" s="1577"/>
      <c r="E975" s="1577"/>
      <c r="F975" s="1577"/>
      <c r="G975" s="554"/>
      <c r="H975" s="404"/>
      <c r="I975" s="404"/>
    </row>
    <row r="976" spans="1:9" ht="12.75">
      <c r="A976" s="355"/>
      <c r="B976" s="355"/>
      <c r="C976" s="322"/>
      <c r="D976" s="1577"/>
      <c r="E976" s="1577"/>
      <c r="F976" s="1577"/>
      <c r="G976" s="554"/>
      <c r="H976" s="404"/>
      <c r="I976" s="404"/>
    </row>
    <row r="977" spans="1:9" ht="12.75">
      <c r="A977" s="355"/>
      <c r="B977" s="355"/>
      <c r="C977" s="322"/>
      <c r="D977" s="1577"/>
      <c r="E977" s="1577"/>
      <c r="F977" s="1577"/>
      <c r="G977" s="554"/>
      <c r="H977" s="404"/>
      <c r="I977" s="404"/>
    </row>
    <row r="978" spans="1:9" ht="12.75">
      <c r="A978" s="355"/>
      <c r="B978" s="355"/>
      <c r="C978" s="322"/>
      <c r="D978" s="688"/>
      <c r="E978" s="296"/>
      <c r="F978" s="296"/>
      <c r="G978" s="554"/>
      <c r="H978" s="404"/>
      <c r="I978" s="404"/>
    </row>
    <row r="979" spans="1:9" ht="14.45" customHeight="1">
      <c r="A979" s="413"/>
      <c r="B979" s="1521" t="s">
        <v>134</v>
      </c>
      <c r="C979" s="322"/>
      <c r="D979" s="1577" t="s">
        <v>1793</v>
      </c>
      <c r="E979" s="1577"/>
      <c r="F979" s="1577"/>
      <c r="G979" s="554"/>
      <c r="H979" s="404"/>
      <c r="I979" s="404"/>
    </row>
    <row r="980" spans="1:9" ht="12.75">
      <c r="A980" s="355"/>
      <c r="B980" s="355"/>
      <c r="C980" s="322"/>
      <c r="D980" s="1577"/>
      <c r="E980" s="1577"/>
      <c r="F980" s="1577"/>
      <c r="G980" s="554"/>
      <c r="H980" s="404"/>
      <c r="I980" s="404"/>
    </row>
    <row r="981" spans="1:9" ht="12.75">
      <c r="A981" s="355"/>
      <c r="B981" s="355"/>
      <c r="C981" s="322"/>
      <c r="D981" s="1577"/>
      <c r="E981" s="1577"/>
      <c r="F981" s="1577"/>
      <c r="G981" s="554"/>
      <c r="H981" s="404"/>
      <c r="I981" s="404"/>
    </row>
    <row r="982" spans="1:9" ht="12.75">
      <c r="A982" s="355"/>
      <c r="B982" s="355"/>
      <c r="C982" s="322"/>
      <c r="D982" s="993"/>
      <c r="E982" s="993"/>
      <c r="F982" s="993"/>
      <c r="G982" s="554"/>
      <c r="H982" s="404"/>
      <c r="I982" s="404"/>
    </row>
    <row r="983" spans="1:9" ht="14.25">
      <c r="A983" s="413"/>
      <c r="B983" s="1521" t="s">
        <v>134</v>
      </c>
      <c r="C983" s="322"/>
      <c r="D983" s="1577" t="s">
        <v>1794</v>
      </c>
      <c r="E983" s="1577"/>
      <c r="F983" s="1577"/>
      <c r="G983" s="554"/>
      <c r="H983" s="404"/>
      <c r="I983" s="404"/>
    </row>
    <row r="984" spans="1:9" ht="12.75">
      <c r="A984" s="355"/>
      <c r="B984" s="355"/>
      <c r="C984" s="322"/>
      <c r="D984" s="1577"/>
      <c r="E984" s="1577"/>
      <c r="F984" s="1577"/>
      <c r="G984" s="554"/>
      <c r="H984" s="404"/>
      <c r="I984" s="404"/>
    </row>
    <row r="985" spans="1:9" ht="12.75">
      <c r="A985" s="355"/>
      <c r="B985" s="355"/>
      <c r="C985" s="322"/>
      <c r="D985" s="688"/>
      <c r="E985" s="296"/>
      <c r="F985" s="296"/>
      <c r="G985" s="554"/>
      <c r="H985" s="404"/>
      <c r="I985" s="404"/>
    </row>
    <row r="986" spans="1:9" ht="12.75">
      <c r="A986" s="355"/>
      <c r="B986" s="1521" t="s">
        <v>134</v>
      </c>
      <c r="C986" s="322"/>
      <c r="D986" s="1559" t="s">
        <v>1795</v>
      </c>
      <c r="E986" s="1559"/>
      <c r="F986" s="1559"/>
      <c r="G986" s="554"/>
      <c r="H986" s="404"/>
      <c r="I986" s="404"/>
    </row>
    <row r="987" spans="1:9" ht="12.75">
      <c r="A987" s="355"/>
      <c r="B987" s="355"/>
      <c r="C987" s="322"/>
      <c r="D987" s="1559"/>
      <c r="E987" s="1559"/>
      <c r="F987" s="1559"/>
      <c r="G987" s="554"/>
      <c r="H987" s="404"/>
      <c r="I987" s="404"/>
    </row>
    <row r="988" spans="1:9" ht="12.75">
      <c r="A988" s="355"/>
      <c r="B988" s="355"/>
      <c r="C988" s="322"/>
      <c r="D988" s="296"/>
      <c r="E988" s="296"/>
      <c r="F988" s="296"/>
      <c r="G988" s="554"/>
      <c r="H988" s="404"/>
      <c r="I988" s="404"/>
    </row>
    <row r="989" spans="1:9" ht="12.75">
      <c r="A989" s="355"/>
      <c r="B989" s="1521" t="s">
        <v>134</v>
      </c>
      <c r="C989" s="322"/>
      <c r="D989" s="1656" t="s">
        <v>1938</v>
      </c>
      <c r="E989" s="1639"/>
      <c r="F989" s="1639"/>
      <c r="G989" s="554"/>
      <c r="H989" s="404"/>
      <c r="I989" s="404"/>
    </row>
    <row r="990" spans="1:9" ht="12.75">
      <c r="A990" s="355"/>
      <c r="B990" s="355"/>
      <c r="C990" s="322"/>
      <c r="D990" s="1656"/>
      <c r="E990" s="1639"/>
      <c r="F990" s="1639"/>
      <c r="G990" s="554"/>
      <c r="H990" s="404"/>
      <c r="I990" s="404"/>
    </row>
    <row r="991" spans="1:9" ht="12.75">
      <c r="A991" s="355"/>
      <c r="B991" s="355"/>
      <c r="C991" s="322"/>
      <c r="D991" s="1656"/>
      <c r="E991" s="1639"/>
      <c r="F991" s="1639"/>
      <c r="G991" s="554"/>
      <c r="H991" s="404"/>
      <c r="I991" s="404"/>
    </row>
    <row r="992" spans="1:9" ht="12.75">
      <c r="A992" s="355"/>
      <c r="B992" s="355"/>
      <c r="C992" s="322"/>
      <c r="D992" s="1639"/>
      <c r="E992" s="1639"/>
      <c r="F992" s="1639"/>
      <c r="G992" s="554"/>
      <c r="H992" s="404"/>
      <c r="I992" s="404"/>
    </row>
    <row r="993" spans="1:9" ht="12.75">
      <c r="A993" s="355"/>
      <c r="B993" s="355"/>
      <c r="C993" s="322"/>
      <c r="D993" s="287"/>
      <c r="E993" s="296"/>
      <c r="F993" s="296"/>
      <c r="G993" s="554"/>
      <c r="H993" s="404"/>
      <c r="I993" s="404"/>
    </row>
    <row r="994" spans="1:9" ht="12.75">
      <c r="A994" s="355"/>
      <c r="B994" s="1521" t="s">
        <v>134</v>
      </c>
      <c r="C994" s="322"/>
      <c r="D994" s="1561" t="s">
        <v>1204</v>
      </c>
      <c r="E994" s="1561"/>
      <c r="F994" s="1561"/>
      <c r="G994" s="554"/>
      <c r="H994" s="404"/>
      <c r="I994" s="404"/>
    </row>
    <row r="995" spans="1:9" ht="12.75">
      <c r="A995" s="355"/>
      <c r="B995" s="355"/>
      <c r="C995" s="322"/>
      <c r="D995" s="287"/>
      <c r="E995" s="296"/>
      <c r="F995" s="296"/>
      <c r="G995" s="554"/>
      <c r="H995" s="404"/>
      <c r="I995" s="404"/>
    </row>
    <row r="996" spans="1:9" ht="12.75">
      <c r="A996" s="355"/>
      <c r="B996" s="1521" t="s">
        <v>134</v>
      </c>
      <c r="C996" s="322"/>
      <c r="D996" s="1561" t="s">
        <v>1205</v>
      </c>
      <c r="E996" s="1561"/>
      <c r="F996" s="1561"/>
      <c r="G996" s="554"/>
      <c r="H996" s="404"/>
      <c r="I996" s="404"/>
    </row>
    <row r="997" spans="1:9" ht="12.75" customHeight="1">
      <c r="A997" s="355"/>
      <c r="B997" s="355"/>
      <c r="C997" s="322"/>
      <c r="D997" s="296"/>
      <c r="E997" s="296"/>
      <c r="F997" s="296"/>
      <c r="G997" s="554"/>
      <c r="H997" s="404"/>
      <c r="I997" s="404"/>
    </row>
    <row r="998" spans="1:9" ht="12.75">
      <c r="A998" s="355"/>
      <c r="B998" s="14"/>
      <c r="C998" s="322"/>
      <c r="D998" s="1568" t="s">
        <v>1614</v>
      </c>
      <c r="E998" s="1568"/>
      <c r="F998" s="1568"/>
      <c r="G998" s="554"/>
      <c r="H998" s="404"/>
      <c r="I998" s="404"/>
    </row>
    <row r="999" spans="1:9" ht="12.75">
      <c r="A999" s="355"/>
      <c r="B999" s="14"/>
      <c r="C999" s="322"/>
      <c r="D999" s="991"/>
      <c r="E999" s="296"/>
      <c r="F999" s="296"/>
      <c r="G999" s="554"/>
      <c r="H999" s="404"/>
      <c r="I999" s="404"/>
    </row>
    <row r="1000" spans="1:9" ht="14.25">
      <c r="A1000" s="413"/>
      <c r="B1000" s="924" t="s">
        <v>1498</v>
      </c>
      <c r="C1000" s="322"/>
      <c r="D1000" s="1602" t="s">
        <v>1796</v>
      </c>
      <c r="E1000" s="1602"/>
      <c r="F1000" s="1602"/>
      <c r="G1000" s="554"/>
      <c r="H1000" s="404"/>
      <c r="I1000" s="404"/>
    </row>
    <row r="1001" spans="1:9" ht="12.75">
      <c r="A1001" s="355"/>
      <c r="B1001" s="355"/>
      <c r="C1001" s="322"/>
      <c r="D1001" s="1602"/>
      <c r="E1001" s="1602"/>
      <c r="F1001" s="1602"/>
      <c r="G1001" s="554"/>
      <c r="H1001" s="404"/>
      <c r="I1001" s="404"/>
    </row>
    <row r="1002" spans="1:9" ht="12.75">
      <c r="A1002" s="355"/>
      <c r="B1002" s="355"/>
      <c r="C1002" s="322"/>
      <c r="D1002" s="1602"/>
      <c r="E1002" s="1602"/>
      <c r="F1002" s="1602"/>
      <c r="G1002" s="554"/>
      <c r="H1002" s="404"/>
      <c r="I1002" s="404"/>
    </row>
    <row r="1003" spans="1:9" ht="12.75">
      <c r="A1003" s="355"/>
      <c r="B1003" s="355"/>
      <c r="C1003" s="322"/>
      <c r="D1003" s="1602"/>
      <c r="E1003" s="1602"/>
      <c r="F1003" s="1602"/>
      <c r="G1003" s="554"/>
      <c r="H1003" s="404"/>
      <c r="I1003" s="404"/>
    </row>
    <row r="1004" spans="1:9" ht="12.75">
      <c r="A1004" s="355"/>
      <c r="B1004" s="355"/>
      <c r="C1004" s="322"/>
      <c r="D1004" s="1602"/>
      <c r="E1004" s="1602"/>
      <c r="F1004" s="1602"/>
      <c r="G1004" s="554"/>
      <c r="H1004" s="404"/>
      <c r="I1004" s="404"/>
    </row>
    <row r="1005" spans="1:9" ht="12.75">
      <c r="A1005" s="355"/>
      <c r="B1005" s="355"/>
      <c r="C1005" s="322"/>
      <c r="E1005" s="282"/>
      <c r="F1005" s="282"/>
      <c r="G1005" s="554"/>
      <c r="H1005" s="404"/>
      <c r="I1005" s="404"/>
    </row>
    <row r="1006" spans="1:9" ht="14.25">
      <c r="A1006" s="413"/>
      <c r="B1006" s="1521" t="s">
        <v>134</v>
      </c>
      <c r="C1006" s="322"/>
      <c r="D1006" s="1602" t="s">
        <v>1797</v>
      </c>
      <c r="E1006" s="1602"/>
      <c r="F1006" s="1602"/>
      <c r="G1006" s="554"/>
      <c r="H1006" s="404"/>
      <c r="I1006" s="404"/>
    </row>
    <row r="1007" spans="1:9" ht="12.75">
      <c r="A1007" s="355"/>
      <c r="B1007" s="355"/>
      <c r="C1007" s="322"/>
      <c r="D1007" s="1602"/>
      <c r="E1007" s="1602"/>
      <c r="F1007" s="1602"/>
      <c r="G1007" s="554"/>
      <c r="H1007" s="404"/>
      <c r="I1007" s="404"/>
    </row>
    <row r="1008" spans="1:9" ht="12.75">
      <c r="A1008" s="355"/>
      <c r="B1008" s="355"/>
      <c r="C1008" s="322"/>
      <c r="D1008" s="1602"/>
      <c r="E1008" s="1602"/>
      <c r="F1008" s="1602"/>
      <c r="G1008" s="554"/>
      <c r="H1008" s="404"/>
      <c r="I1008" s="404"/>
    </row>
    <row r="1009" spans="1:9" ht="12.75">
      <c r="A1009" s="355"/>
      <c r="B1009" s="355"/>
      <c r="C1009" s="322"/>
      <c r="D1009" s="1602"/>
      <c r="E1009" s="1602"/>
      <c r="F1009" s="1602"/>
      <c r="G1009" s="554"/>
      <c r="H1009" s="404"/>
      <c r="I1009" s="404"/>
    </row>
    <row r="1010" spans="1:9" ht="12.75">
      <c r="A1010" s="355"/>
      <c r="B1010" s="355"/>
      <c r="C1010" s="322"/>
      <c r="D1010" s="1602"/>
      <c r="E1010" s="1602"/>
      <c r="F1010" s="1602"/>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8" t="s">
        <v>1615</v>
      </c>
      <c r="E1012" s="1568"/>
      <c r="F1012" s="1568"/>
      <c r="G1012" s="554"/>
      <c r="H1012" s="404"/>
      <c r="I1012" s="404"/>
    </row>
    <row r="1013" spans="1:9" ht="12.75">
      <c r="A1013" s="355"/>
      <c r="B1013" s="355"/>
      <c r="C1013" s="322"/>
      <c r="D1013" s="991"/>
      <c r="E1013" s="296"/>
      <c r="F1013" s="296"/>
      <c r="G1013" s="554"/>
      <c r="H1013" s="404"/>
      <c r="I1013" s="404"/>
    </row>
    <row r="1014" spans="1:9" ht="14.25">
      <c r="A1014" s="413"/>
      <c r="B1014" s="924" t="s">
        <v>1498</v>
      </c>
      <c r="C1014" s="322"/>
      <c r="D1014" s="1602" t="s">
        <v>1803</v>
      </c>
      <c r="E1014" s="1602"/>
      <c r="F1014" s="1602"/>
      <c r="G1014" s="554"/>
      <c r="H1014" s="404"/>
      <c r="I1014" s="404"/>
    </row>
    <row r="1015" spans="1:9" ht="12.75">
      <c r="A1015" s="355"/>
      <c r="B1015" s="355"/>
      <c r="C1015" s="322"/>
      <c r="D1015" s="1602"/>
      <c r="E1015" s="1602"/>
      <c r="F1015" s="1602"/>
      <c r="G1015" s="554"/>
      <c r="H1015" s="404"/>
      <c r="I1015" s="404"/>
    </row>
    <row r="1016" spans="1:9" ht="12.75">
      <c r="A1016" s="355"/>
      <c r="B1016" s="355"/>
      <c r="C1016" s="322"/>
      <c r="D1016" s="1602"/>
      <c r="E1016" s="1602"/>
      <c r="F1016" s="1602"/>
      <c r="G1016" s="554"/>
      <c r="H1016" s="404"/>
      <c r="I1016" s="404"/>
    </row>
    <row r="1017" spans="1:9" ht="12.75">
      <c r="A1017" s="355"/>
      <c r="B1017" s="355"/>
      <c r="C1017" s="322"/>
      <c r="E1017" s="282"/>
      <c r="F1017" s="282"/>
      <c r="G1017" s="554"/>
      <c r="H1017" s="404"/>
      <c r="I1017" s="404"/>
    </row>
    <row r="1018" spans="1:9" ht="14.25">
      <c r="A1018" s="413"/>
      <c r="B1018" s="1521" t="s">
        <v>134</v>
      </c>
      <c r="C1018" s="322"/>
      <c r="D1018" s="1602" t="s">
        <v>1804</v>
      </c>
      <c r="E1018" s="1602"/>
      <c r="F1018" s="1602"/>
      <c r="G1018" s="554"/>
      <c r="H1018" s="404"/>
      <c r="I1018" s="404"/>
    </row>
    <row r="1019" spans="1:9" ht="12.75">
      <c r="A1019" s="355"/>
      <c r="B1019" s="355"/>
      <c r="C1019" s="322"/>
      <c r="D1019" s="1602"/>
      <c r="E1019" s="1602"/>
      <c r="F1019" s="1602"/>
      <c r="G1019" s="554"/>
      <c r="H1019" s="404"/>
      <c r="I1019" s="404"/>
    </row>
    <row r="1020" spans="1:9" ht="12.75">
      <c r="A1020" s="355"/>
      <c r="B1020" s="355"/>
      <c r="C1020" s="322"/>
      <c r="D1020" s="1602"/>
      <c r="E1020" s="1602"/>
      <c r="F1020" s="1602"/>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8" t="s">
        <v>1616</v>
      </c>
      <c r="E1022" s="1568"/>
      <c r="F1022" s="1568"/>
      <c r="G1022" s="554"/>
      <c r="H1022" s="404"/>
      <c r="I1022" s="404"/>
    </row>
    <row r="1023" spans="1:9" ht="12.75">
      <c r="A1023" s="355"/>
      <c r="B1023" s="355"/>
      <c r="C1023" s="322"/>
      <c r="D1023" s="991"/>
      <c r="E1023" s="296"/>
      <c r="F1023" s="296"/>
      <c r="G1023" s="554"/>
      <c r="H1023" s="404"/>
      <c r="I1023" s="404"/>
    </row>
    <row r="1024" spans="1:9" ht="14.25" customHeight="1">
      <c r="A1024" s="413"/>
      <c r="B1024" s="1521" t="s">
        <v>134</v>
      </c>
      <c r="C1024" s="322"/>
      <c r="D1024" s="1605" t="s">
        <v>1806</v>
      </c>
      <c r="E1024" s="1605"/>
      <c r="F1024" s="1605"/>
      <c r="G1024" s="460"/>
      <c r="H1024" s="463"/>
      <c r="I1024" s="463"/>
    </row>
    <row r="1025" spans="1:9" ht="12.75">
      <c r="A1025" s="355"/>
      <c r="B1025" s="355"/>
      <c r="C1025" s="322"/>
      <c r="D1025" s="1605"/>
      <c r="E1025" s="1605"/>
      <c r="F1025" s="1605"/>
      <c r="G1025" s="460"/>
      <c r="H1025" s="463"/>
      <c r="I1025" s="463"/>
    </row>
    <row r="1026" spans="1:9" ht="12.75">
      <c r="A1026" s="355"/>
      <c r="B1026" s="355"/>
      <c r="C1026" s="322"/>
      <c r="D1026" s="1605"/>
      <c r="E1026" s="1605"/>
      <c r="F1026" s="1605"/>
      <c r="G1026" s="460"/>
      <c r="H1026" s="463"/>
      <c r="I1026" s="463"/>
    </row>
    <row r="1027" spans="1:9" ht="12" customHeight="1">
      <c r="A1027" s="355"/>
      <c r="B1027" s="355"/>
      <c r="C1027" s="322"/>
      <c r="D1027" s="463"/>
      <c r="E1027" s="463"/>
      <c r="F1027" s="463"/>
      <c r="G1027" s="463"/>
      <c r="H1027" s="463"/>
      <c r="I1027" s="463"/>
    </row>
    <row r="1028" spans="1:9" ht="12.75" customHeight="1">
      <c r="A1028" s="355"/>
      <c r="B1028" s="1521" t="s">
        <v>134</v>
      </c>
      <c r="C1028" s="322"/>
      <c r="D1028" s="1605" t="s">
        <v>1805</v>
      </c>
      <c r="E1028" s="1605"/>
      <c r="F1028" s="1605"/>
      <c r="G1028" s="463"/>
      <c r="H1028" s="404"/>
      <c r="I1028" s="404"/>
    </row>
    <row r="1029" spans="1:9" ht="12.75">
      <c r="A1029" s="355"/>
      <c r="B1029" s="355"/>
      <c r="C1029" s="322"/>
      <c r="D1029" s="1605"/>
      <c r="E1029" s="1605"/>
      <c r="F1029" s="1605"/>
      <c r="G1029" s="463"/>
      <c r="H1029" s="404"/>
      <c r="I1029" s="404"/>
    </row>
    <row r="1030" spans="1:9" ht="12.75">
      <c r="A1030" s="355"/>
      <c r="B1030" s="355"/>
      <c r="C1030" s="322"/>
      <c r="D1030" s="1605"/>
      <c r="E1030" s="1605"/>
      <c r="F1030" s="1605"/>
      <c r="G1030" s="463"/>
      <c r="H1030" s="404"/>
      <c r="I1030" s="404"/>
    </row>
    <row r="1031" spans="1:9" ht="12" customHeight="1">
      <c r="A1031" s="355"/>
      <c r="B1031" s="355"/>
      <c r="C1031" s="322"/>
      <c r="D1031" s="287"/>
      <c r="E1031" s="296"/>
      <c r="F1031" s="296"/>
      <c r="G1031" s="554"/>
      <c r="H1031" s="404"/>
      <c r="I1031" s="404"/>
    </row>
    <row r="1032" spans="1:9" ht="12.75" customHeight="1">
      <c r="A1032" s="355"/>
      <c r="B1032" s="1521" t="s">
        <v>134</v>
      </c>
      <c r="C1032" s="322"/>
      <c r="D1032" s="1658" t="s">
        <v>1807</v>
      </c>
      <c r="E1032" s="1658"/>
      <c r="F1032" s="1658"/>
      <c r="G1032" s="546"/>
      <c r="H1032" s="404"/>
      <c r="I1032" s="404"/>
    </row>
    <row r="1033" spans="1:9" ht="12.75">
      <c r="A1033" s="355"/>
      <c r="B1033" s="355"/>
      <c r="C1033" s="322"/>
      <c r="D1033" s="1658"/>
      <c r="E1033" s="1658"/>
      <c r="F1033" s="1658"/>
      <c r="G1033" s="546"/>
      <c r="H1033" s="404"/>
      <c r="I1033" s="404"/>
    </row>
    <row r="1034" spans="1:9" ht="12.75">
      <c r="A1034" s="355"/>
      <c r="B1034" s="355"/>
      <c r="C1034" s="322"/>
      <c r="D1034" s="1658"/>
      <c r="E1034" s="1658"/>
      <c r="F1034" s="1658"/>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1498</v>
      </c>
      <c r="C1036" s="322"/>
      <c r="D1036" s="1605" t="s">
        <v>1808</v>
      </c>
      <c r="E1036" s="1605"/>
      <c r="F1036" s="1605"/>
      <c r="G1036" s="546"/>
      <c r="H1036" s="546"/>
      <c r="I1036" s="546"/>
    </row>
    <row r="1037" spans="1:9" ht="12.75">
      <c r="A1037" s="355"/>
      <c r="B1037" s="355"/>
      <c r="C1037" s="322"/>
      <c r="D1037" s="1605"/>
      <c r="E1037" s="1605"/>
      <c r="F1037" s="1605"/>
      <c r="G1037" s="546"/>
      <c r="H1037" s="546"/>
      <c r="I1037" s="546"/>
    </row>
    <row r="1038" spans="1:9" ht="12.75">
      <c r="A1038" s="355"/>
      <c r="B1038" s="355"/>
      <c r="C1038" s="322"/>
      <c r="D1038" s="1605"/>
      <c r="E1038" s="1605"/>
      <c r="F1038" s="1605"/>
      <c r="G1038" s="546"/>
      <c r="H1038" s="546"/>
      <c r="I1038" s="546"/>
    </row>
    <row r="1039" spans="1:9" ht="14.25">
      <c r="A1039" s="413"/>
      <c r="B1039" s="413"/>
      <c r="C1039" s="322"/>
      <c r="D1039" s="287"/>
      <c r="E1039" s="296"/>
      <c r="F1039" s="296"/>
      <c r="G1039" s="554"/>
      <c r="H1039" s="404"/>
      <c r="I1039" s="404"/>
    </row>
    <row r="1040" spans="1:9" ht="12.75" customHeight="1">
      <c r="A1040" s="355"/>
      <c r="B1040" s="1521" t="s">
        <v>134</v>
      </c>
      <c r="C1040" s="322"/>
      <c r="D1040" s="1605" t="s">
        <v>1809</v>
      </c>
      <c r="E1040" s="1605"/>
      <c r="F1040" s="1605"/>
      <c r="G1040" s="546"/>
      <c r="H1040" s="546"/>
      <c r="I1040" s="546"/>
    </row>
    <row r="1041" spans="1:9" ht="12.75">
      <c r="A1041" s="355"/>
      <c r="B1041" s="355"/>
      <c r="C1041" s="322"/>
      <c r="D1041" s="1605"/>
      <c r="E1041" s="1605"/>
      <c r="F1041" s="1605"/>
      <c r="G1041" s="546"/>
      <c r="H1041" s="546"/>
      <c r="I1041" s="546"/>
    </row>
    <row r="1042" spans="1:9" ht="12.75">
      <c r="A1042" s="355"/>
      <c r="B1042" s="355"/>
      <c r="C1042" s="322"/>
      <c r="D1042" s="1605"/>
      <c r="E1042" s="1605"/>
      <c r="F1042" s="1605"/>
      <c r="G1042" s="546"/>
      <c r="H1042" s="546"/>
      <c r="I1042" s="546"/>
    </row>
    <row r="1043" spans="1:9" ht="12.75">
      <c r="A1043" s="355"/>
      <c r="B1043" s="355"/>
      <c r="C1043" s="322"/>
      <c r="D1043" s="287"/>
      <c r="E1043" s="296"/>
      <c r="F1043" s="296"/>
      <c r="G1043" s="554"/>
      <c r="H1043" s="404"/>
      <c r="I1043" s="404"/>
    </row>
    <row r="1044" spans="1:9" ht="12.75" customHeight="1">
      <c r="A1044" s="355"/>
      <c r="B1044" s="1521" t="s">
        <v>134</v>
      </c>
      <c r="C1044" s="322"/>
      <c r="D1044" s="1605" t="s">
        <v>1617</v>
      </c>
      <c r="E1044" s="1605"/>
      <c r="F1044" s="1605"/>
      <c r="G1044" s="460"/>
      <c r="H1044" s="404"/>
      <c r="I1044" s="404"/>
    </row>
    <row r="1045" spans="1:9" ht="12.75">
      <c r="A1045" s="355"/>
      <c r="B1045" s="355"/>
      <c r="C1045" s="322"/>
      <c r="D1045" s="1605"/>
      <c r="E1045" s="1605"/>
      <c r="F1045" s="1605"/>
      <c r="G1045" s="460"/>
      <c r="H1045" s="404"/>
      <c r="I1045" s="404"/>
    </row>
    <row r="1046" spans="1:9" ht="12.75">
      <c r="A1046" s="355"/>
      <c r="B1046" s="355"/>
      <c r="C1046" s="322"/>
      <c r="D1046" s="1605"/>
      <c r="E1046" s="1605"/>
      <c r="F1046" s="1605"/>
      <c r="G1046" s="460"/>
      <c r="H1046" s="404"/>
      <c r="I1046" s="404"/>
    </row>
    <row r="1047" spans="1:9" ht="12.75">
      <c r="A1047" s="355"/>
      <c r="B1047" s="355"/>
      <c r="C1047" s="322"/>
      <c r="D1047" s="460"/>
      <c r="E1047" s="460"/>
      <c r="F1047" s="460"/>
      <c r="G1047" s="460"/>
      <c r="H1047" s="404"/>
      <c r="I1047" s="404"/>
    </row>
    <row r="1048" spans="1:9" ht="12.75" customHeight="1">
      <c r="A1048" s="355"/>
      <c r="B1048" s="1521" t="s">
        <v>134</v>
      </c>
      <c r="C1048" s="322"/>
      <c r="D1048" s="1605" t="s">
        <v>1618</v>
      </c>
      <c r="E1048" s="1605"/>
      <c r="F1048" s="1605"/>
      <c r="G1048" s="460"/>
      <c r="H1048" s="404"/>
      <c r="I1048" s="404"/>
    </row>
    <row r="1049" spans="1:9" ht="12.75">
      <c r="A1049" s="355"/>
      <c r="B1049" s="355"/>
      <c r="C1049" s="322"/>
      <c r="D1049" s="1605"/>
      <c r="E1049" s="1605"/>
      <c r="F1049" s="1605"/>
      <c r="G1049" s="460"/>
      <c r="H1049" s="404"/>
      <c r="I1049" s="404"/>
    </row>
    <row r="1050" spans="1:9" ht="12.75">
      <c r="A1050" s="355"/>
      <c r="B1050" s="355"/>
      <c r="C1050" s="322"/>
      <c r="D1050" s="1605"/>
      <c r="E1050" s="1605"/>
      <c r="F1050" s="1605"/>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606" t="s">
        <v>1215</v>
      </c>
      <c r="E1052" s="1606"/>
      <c r="F1052" s="1606"/>
      <c r="G1052" s="922"/>
      <c r="H1052" s="404"/>
      <c r="I1052" s="404"/>
    </row>
    <row r="1053" spans="1:9" ht="12.75">
      <c r="A1053" s="561"/>
      <c r="B1053" s="561"/>
      <c r="C1053" s="405"/>
      <c r="D1053" s="1606"/>
      <c r="E1053" s="1606"/>
      <c r="F1053" s="1606"/>
      <c r="G1053" s="922"/>
      <c r="H1053" s="404"/>
      <c r="I1053" s="404"/>
    </row>
    <row r="1054" spans="1:9" ht="12.75">
      <c r="A1054" s="561"/>
      <c r="B1054" s="561"/>
      <c r="C1054" s="405"/>
      <c r="D1054" s="1606"/>
      <c r="E1054" s="1606"/>
      <c r="F1054" s="1606"/>
      <c r="G1054" s="922"/>
      <c r="H1054" s="404"/>
      <c r="I1054" s="404"/>
    </row>
    <row r="1055" spans="1:9" ht="12.75">
      <c r="A1055" s="561"/>
      <c r="B1055" s="561"/>
      <c r="C1055" s="405"/>
      <c r="D1055" s="1606"/>
      <c r="E1055" s="1606"/>
      <c r="F1055" s="1606"/>
      <c r="G1055" s="922"/>
      <c r="H1055" s="404"/>
      <c r="I1055" s="404"/>
    </row>
    <row r="1056" spans="1:9" ht="12.75">
      <c r="A1056" s="561"/>
      <c r="B1056" s="561"/>
      <c r="C1056" s="405"/>
      <c r="D1056" s="1606"/>
      <c r="E1056" s="1606"/>
      <c r="F1056" s="1606"/>
      <c r="G1056" s="922"/>
      <c r="H1056" s="404"/>
      <c r="I1056" s="404"/>
    </row>
    <row r="1057" spans="1:9" ht="12.75">
      <c r="A1057" s="561"/>
      <c r="B1057" s="561"/>
      <c r="C1057" s="405"/>
      <c r="D1057" s="1606"/>
      <c r="E1057" s="1606"/>
      <c r="F1057" s="1606"/>
      <c r="G1057" s="922"/>
      <c r="H1057" s="404"/>
      <c r="I1057" s="404"/>
    </row>
    <row r="1058" spans="1:9" ht="12.75">
      <c r="A1058" s="561"/>
      <c r="B1058" s="561"/>
      <c r="C1058" s="405"/>
      <c r="D1058" s="1606"/>
      <c r="E1058" s="1606"/>
      <c r="F1058" s="1606"/>
      <c r="G1058" s="922"/>
      <c r="H1058" s="404"/>
      <c r="I1058" s="404"/>
    </row>
    <row r="1059" spans="1:9" ht="12.75">
      <c r="A1059" s="561"/>
      <c r="B1059" s="561"/>
      <c r="C1059" s="405"/>
      <c r="D1059" s="1606"/>
      <c r="E1059" s="1606"/>
      <c r="F1059" s="1606"/>
      <c r="G1059" s="922"/>
      <c r="H1059" s="404"/>
      <c r="I1059" s="404"/>
    </row>
    <row r="1060" spans="1:9" ht="12.75">
      <c r="A1060" s="561"/>
      <c r="B1060" s="561"/>
      <c r="C1060" s="405"/>
      <c r="D1060" s="1606"/>
      <c r="E1060" s="1606"/>
      <c r="F1060" s="1606"/>
      <c r="G1060" s="922"/>
      <c r="H1060" s="404"/>
      <c r="I1060" s="404"/>
    </row>
    <row r="1061" spans="1:9" ht="12.75">
      <c r="A1061" s="561"/>
      <c r="B1061" s="561"/>
      <c r="C1061" s="405"/>
      <c r="D1061" s="1606"/>
      <c r="E1061" s="1606"/>
      <c r="F1061" s="1606"/>
      <c r="G1061" s="922"/>
      <c r="H1061" s="404"/>
      <c r="I1061" s="404"/>
    </row>
    <row r="1062" spans="1:9" ht="27.6" customHeight="1">
      <c r="A1062" s="561"/>
      <c r="B1062" s="561"/>
      <c r="C1062" s="405"/>
      <c r="D1062" s="1606"/>
      <c r="E1062" s="1606"/>
      <c r="F1062" s="1606"/>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8" t="s">
        <v>1619</v>
      </c>
      <c r="E1064" s="1568"/>
      <c r="F1064" s="1568"/>
      <c r="G1064" s="642"/>
      <c r="H1064" s="404"/>
      <c r="I1064" s="404"/>
    </row>
    <row r="1065" spans="1:9" ht="12.75" customHeight="1">
      <c r="A1065" s="355"/>
      <c r="B1065" s="355"/>
      <c r="C1065" s="322"/>
      <c r="D1065" s="991"/>
      <c r="E1065" s="988"/>
      <c r="F1065" s="988"/>
      <c r="G1065" s="642"/>
      <c r="H1065" s="404"/>
      <c r="I1065" s="404"/>
    </row>
    <row r="1066" spans="1:9" ht="14.25">
      <c r="A1066" s="413"/>
      <c r="B1066" s="1521" t="s">
        <v>134</v>
      </c>
      <c r="C1066" s="322"/>
      <c r="D1066" s="1559" t="s">
        <v>1810</v>
      </c>
      <c r="E1066" s="1559"/>
      <c r="F1066" s="1559"/>
      <c r="G1066" s="554"/>
      <c r="H1066" s="404"/>
      <c r="I1066" s="404"/>
    </row>
    <row r="1067" spans="1:9" ht="12.75">
      <c r="A1067" s="355"/>
      <c r="B1067" s="355"/>
      <c r="C1067" s="322"/>
      <c r="D1067" s="1559"/>
      <c r="E1067" s="1559"/>
      <c r="F1067" s="1559"/>
      <c r="G1067" s="554"/>
      <c r="H1067" s="404"/>
      <c r="I1067" s="404"/>
    </row>
    <row r="1068" spans="1:9" ht="12.75">
      <c r="A1068" s="355"/>
      <c r="B1068" s="355"/>
      <c r="C1068" s="322"/>
      <c r="D1068" s="1559"/>
      <c r="E1068" s="1559"/>
      <c r="F1068" s="1559"/>
      <c r="G1068" s="554"/>
      <c r="H1068" s="404"/>
      <c r="I1068" s="404"/>
    </row>
    <row r="1069" spans="1:9" ht="12.75">
      <c r="A1069" s="355"/>
      <c r="B1069" s="355"/>
      <c r="C1069" s="322"/>
      <c r="D1069" s="1559"/>
      <c r="E1069" s="1559"/>
      <c r="F1069" s="1559"/>
      <c r="G1069" s="554"/>
      <c r="H1069" s="404"/>
      <c r="I1069" s="404"/>
    </row>
    <row r="1070" spans="1:9" ht="12.75">
      <c r="A1070" s="355"/>
      <c r="B1070" s="355"/>
      <c r="C1070" s="322"/>
      <c r="D1070" s="296"/>
      <c r="E1070" s="296"/>
      <c r="F1070" s="296"/>
      <c r="G1070" s="554"/>
      <c r="H1070" s="404"/>
      <c r="I1070" s="404"/>
    </row>
    <row r="1071" spans="1:9" ht="14.25">
      <c r="A1071" s="413"/>
      <c r="B1071" s="1521" t="s">
        <v>134</v>
      </c>
      <c r="C1071" s="322"/>
      <c r="D1071" s="1559" t="s">
        <v>1811</v>
      </c>
      <c r="E1071" s="1559"/>
      <c r="F1071" s="1559"/>
      <c r="G1071" s="554"/>
      <c r="H1071" s="404"/>
      <c r="I1071" s="404"/>
    </row>
    <row r="1072" spans="1:9" ht="12.75">
      <c r="A1072" s="355"/>
      <c r="B1072" s="355"/>
      <c r="C1072" s="322"/>
      <c r="D1072" s="1559"/>
      <c r="E1072" s="1559"/>
      <c r="F1072" s="1559"/>
      <c r="G1072" s="554"/>
      <c r="H1072" s="404"/>
      <c r="I1072" s="404"/>
    </row>
    <row r="1073" spans="1:9" ht="12.75">
      <c r="A1073" s="355"/>
      <c r="B1073" s="355"/>
      <c r="C1073" s="322"/>
      <c r="D1073" s="1559"/>
      <c r="E1073" s="1559"/>
      <c r="F1073" s="1559"/>
      <c r="G1073" s="554"/>
      <c r="H1073" s="404"/>
      <c r="I1073" s="404"/>
    </row>
    <row r="1074" spans="1:9" ht="12.75">
      <c r="A1074" s="355"/>
      <c r="B1074" s="355"/>
      <c r="C1074" s="322"/>
      <c r="D1074" s="1559"/>
      <c r="E1074" s="1559"/>
      <c r="F1074" s="1559"/>
      <c r="G1074" s="554"/>
      <c r="H1074" s="404"/>
      <c r="I1074" s="404"/>
    </row>
    <row r="1075" spans="1:9" ht="12.75">
      <c r="A1075" s="355"/>
      <c r="B1075" s="355"/>
      <c r="C1075" s="322"/>
      <c r="D1075" s="296"/>
      <c r="E1075" s="296"/>
      <c r="F1075" s="296"/>
      <c r="G1075" s="554"/>
    </row>
    <row r="1076" spans="1:9" ht="12.75">
      <c r="A1076" s="355"/>
      <c r="B1076" s="1521" t="s">
        <v>134</v>
      </c>
      <c r="C1076" s="322"/>
      <c r="D1076" s="1625" t="s">
        <v>1812</v>
      </c>
      <c r="E1076" s="1625"/>
      <c r="F1076" s="1625"/>
      <c r="G1076" s="554"/>
    </row>
    <row r="1077" spans="1:9" ht="12.75">
      <c r="A1077" s="355"/>
      <c r="B1077" s="355"/>
      <c r="C1077" s="322"/>
      <c r="D1077" s="1625"/>
      <c r="E1077" s="1625"/>
      <c r="F1077" s="1625"/>
      <c r="G1077" s="554"/>
    </row>
    <row r="1078" spans="1:9" ht="12.75">
      <c r="A1078" s="355"/>
      <c r="B1078" s="355"/>
      <c r="C1078" s="322"/>
      <c r="D1078" s="1625"/>
      <c r="E1078" s="1625"/>
      <c r="F1078" s="1625"/>
      <c r="G1078" s="554"/>
    </row>
    <row r="1079" spans="1:9" ht="12.75">
      <c r="A1079" s="355"/>
      <c r="B1079" s="355"/>
      <c r="C1079" s="322"/>
      <c r="D1079" s="296"/>
      <c r="E1079" s="296"/>
      <c r="F1079" s="296"/>
      <c r="G1079" s="554"/>
    </row>
    <row r="1080" spans="1:9" ht="14.25">
      <c r="A1080" s="413"/>
      <c r="B1080" s="1521" t="s">
        <v>134</v>
      </c>
      <c r="C1080" s="658"/>
      <c r="D1080" s="1626" t="s">
        <v>1813</v>
      </c>
      <c r="E1080" s="1626"/>
      <c r="F1080" s="1626"/>
      <c r="G1080" s="690"/>
    </row>
    <row r="1081" spans="1:9" ht="12.75">
      <c r="A1081" s="657"/>
      <c r="B1081" s="657"/>
      <c r="C1081" s="658"/>
      <c r="D1081" s="1626"/>
      <c r="E1081" s="1626"/>
      <c r="F1081" s="1626"/>
      <c r="G1081" s="690"/>
    </row>
    <row r="1082" spans="1:9" ht="12.75">
      <c r="A1082" s="657"/>
      <c r="B1082" s="657"/>
      <c r="C1082" s="658"/>
      <c r="D1082" s="1626"/>
      <c r="E1082" s="1626"/>
      <c r="F1082" s="1626"/>
      <c r="G1082" s="690"/>
    </row>
    <row r="1083" spans="1:9" ht="12.75">
      <c r="A1083" s="355"/>
      <c r="B1083" s="355"/>
      <c r="C1083" s="322"/>
      <c r="D1083" s="296"/>
      <c r="E1083" s="296"/>
      <c r="F1083" s="296"/>
      <c r="G1083" s="554"/>
    </row>
    <row r="1084" spans="1:9" ht="12.75">
      <c r="A1084" s="14"/>
      <c r="B1084" s="14"/>
      <c r="C1084" s="322"/>
      <c r="D1084" s="1568" t="s">
        <v>1620</v>
      </c>
      <c r="E1084" s="1568"/>
      <c r="F1084" s="1568"/>
      <c r="G1084" s="554"/>
    </row>
    <row r="1085" spans="1:9" ht="12.75">
      <c r="A1085" s="14"/>
      <c r="B1085" s="14"/>
      <c r="C1085" s="322"/>
      <c r="D1085" s="991"/>
      <c r="E1085" s="296"/>
      <c r="F1085" s="296"/>
      <c r="G1085" s="554"/>
    </row>
    <row r="1086" spans="1:9" ht="12.75">
      <c r="A1086" s="355"/>
      <c r="B1086" s="1521" t="s">
        <v>134</v>
      </c>
      <c r="C1086" s="322"/>
      <c r="D1086" s="1602" t="s">
        <v>1814</v>
      </c>
      <c r="E1086" s="1602"/>
      <c r="F1086" s="1602"/>
      <c r="G1086" s="554"/>
    </row>
    <row r="1087" spans="1:9" ht="12.75">
      <c r="A1087" s="355"/>
      <c r="B1087" s="355"/>
      <c r="C1087" s="322"/>
      <c r="D1087" s="1602"/>
      <c r="E1087" s="1602"/>
      <c r="F1087" s="1602"/>
      <c r="G1087" s="554"/>
    </row>
    <row r="1088" spans="1:9" ht="12.75">
      <c r="A1088" s="355"/>
      <c r="B1088" s="355"/>
      <c r="C1088" s="322"/>
      <c r="D1088" s="1602"/>
      <c r="E1088" s="1602"/>
      <c r="F1088" s="1602"/>
      <c r="G1088" s="554"/>
    </row>
    <row r="1089" spans="1:7" ht="12.75">
      <c r="A1089" s="355"/>
      <c r="B1089" s="355"/>
      <c r="C1089" s="322"/>
      <c r="D1089" s="554"/>
      <c r="E1089" s="296"/>
      <c r="F1089" s="296"/>
      <c r="G1089" s="554"/>
    </row>
    <row r="1090" spans="1:7" ht="14.25">
      <c r="A1090" s="413"/>
      <c r="B1090" s="1521" t="s">
        <v>134</v>
      </c>
      <c r="C1090" s="322"/>
      <c r="D1090" s="1602" t="s">
        <v>1815</v>
      </c>
      <c r="E1090" s="1602"/>
      <c r="F1090" s="1602"/>
      <c r="G1090" s="554"/>
    </row>
    <row r="1091" spans="1:7" ht="12.75">
      <c r="A1091" s="355"/>
      <c r="B1091" s="355"/>
      <c r="C1091" s="322"/>
      <c r="D1091" s="1602"/>
      <c r="E1091" s="1602"/>
      <c r="F1091" s="1602"/>
      <c r="G1091" s="554"/>
    </row>
    <row r="1092" spans="1:7" ht="12.75">
      <c r="A1092" s="355"/>
      <c r="B1092" s="355"/>
      <c r="C1092" s="322"/>
      <c r="D1092" s="1602"/>
      <c r="E1092" s="1602"/>
      <c r="F1092" s="1602"/>
      <c r="G1092" s="554"/>
    </row>
    <row r="1093" spans="1:7" ht="12.75">
      <c r="A1093" s="355"/>
      <c r="B1093" s="355"/>
      <c r="C1093" s="322"/>
      <c r="D1093" s="296"/>
      <c r="E1093" s="296"/>
      <c r="F1093" s="296"/>
      <c r="G1093" s="554"/>
    </row>
    <row r="1094" spans="1:7" ht="12.75">
      <c r="A1094" s="355"/>
      <c r="B1094" s="355"/>
      <c r="C1094" s="322"/>
      <c r="D1094" s="1568" t="s">
        <v>1206</v>
      </c>
      <c r="E1094" s="1568"/>
      <c r="F1094" s="1568"/>
      <c r="G1094" s="554"/>
    </row>
    <row r="1095" spans="1:7" ht="12.75">
      <c r="A1095" s="355"/>
      <c r="B1095" s="355"/>
      <c r="C1095" s="322"/>
      <c r="D1095" s="1561" t="s">
        <v>1621</v>
      </c>
      <c r="E1095" s="1561"/>
      <c r="F1095" s="1561"/>
      <c r="G1095" s="554"/>
    </row>
    <row r="1096" spans="1:7" ht="12.75">
      <c r="A1096" s="355"/>
      <c r="B1096" s="355"/>
      <c r="C1096" s="322"/>
      <c r="D1096" s="992"/>
      <c r="E1096" s="296"/>
      <c r="F1096" s="296"/>
      <c r="G1096" s="554"/>
    </row>
    <row r="1097" spans="1:7" ht="14.25">
      <c r="A1097" s="413"/>
      <c r="B1097" s="1521" t="s">
        <v>134</v>
      </c>
      <c r="C1097" s="322"/>
      <c r="D1097" s="1559" t="s">
        <v>1816</v>
      </c>
      <c r="E1097" s="1559"/>
      <c r="F1097" s="1559"/>
      <c r="G1097" s="554"/>
    </row>
    <row r="1098" spans="1:7" ht="12.75">
      <c r="A1098" s="355"/>
      <c r="B1098" s="355"/>
      <c r="C1098" s="322"/>
      <c r="D1098" s="1559"/>
      <c r="E1098" s="1559"/>
      <c r="F1098" s="1559"/>
      <c r="G1098" s="554"/>
    </row>
    <row r="1099" spans="1:7" ht="12.75">
      <c r="A1099" s="355"/>
      <c r="B1099" s="355"/>
      <c r="C1099" s="322"/>
      <c r="D1099" s="296"/>
      <c r="E1099" s="296"/>
      <c r="F1099" s="296"/>
      <c r="G1099" s="554"/>
    </row>
    <row r="1100" spans="1:7" ht="14.25">
      <c r="A1100" s="413"/>
      <c r="B1100" s="1521" t="s">
        <v>134</v>
      </c>
      <c r="C1100" s="322"/>
      <c r="D1100" s="1559" t="s">
        <v>1817</v>
      </c>
      <c r="E1100" s="1559"/>
      <c r="F1100" s="1559"/>
      <c r="G1100" s="554"/>
    </row>
    <row r="1101" spans="1:7" ht="12.75">
      <c r="A1101" s="355"/>
      <c r="B1101" s="355"/>
      <c r="C1101" s="322"/>
      <c r="D1101" s="1559"/>
      <c r="E1101" s="1559"/>
      <c r="F1101" s="1559"/>
      <c r="G1101" s="554"/>
    </row>
    <row r="1102" spans="1:7" ht="12.75">
      <c r="A1102" s="355"/>
      <c r="B1102" s="355"/>
      <c r="C1102" s="322"/>
      <c r="D1102" s="282"/>
      <c r="E1102" s="296"/>
      <c r="F1102" s="296"/>
      <c r="G1102" s="554"/>
    </row>
    <row r="1103" spans="1:7" ht="12.75">
      <c r="A1103" s="355"/>
      <c r="B1103" s="355"/>
      <c r="C1103" s="322"/>
      <c r="D1103" s="1568" t="s">
        <v>1622</v>
      </c>
      <c r="E1103" s="1568"/>
      <c r="F1103" s="1568"/>
      <c r="G1103" s="554"/>
    </row>
    <row r="1104" spans="1:7" ht="12.75">
      <c r="A1104" s="355"/>
      <c r="B1104" s="355"/>
      <c r="C1104" s="322"/>
      <c r="D1104" s="991"/>
      <c r="E1104" s="296"/>
      <c r="F1104" s="296"/>
      <c r="G1104" s="554"/>
    </row>
    <row r="1105" spans="1:7" ht="14.25">
      <c r="A1105" s="413"/>
      <c r="B1105" s="1521" t="s">
        <v>134</v>
      </c>
      <c r="C1105" s="322"/>
      <c r="D1105" s="1559" t="s">
        <v>1818</v>
      </c>
      <c r="E1105" s="1559"/>
      <c r="F1105" s="1559"/>
      <c r="G1105" s="554"/>
    </row>
    <row r="1106" spans="1:7" ht="12.75">
      <c r="A1106" s="355"/>
      <c r="B1106" s="355"/>
      <c r="C1106" s="322"/>
      <c r="D1106" s="1559"/>
      <c r="E1106" s="1559"/>
      <c r="F1106" s="1559"/>
      <c r="G1106" s="554"/>
    </row>
    <row r="1107" spans="1:7" ht="12.75">
      <c r="A1107" s="355"/>
      <c r="B1107" s="355"/>
      <c r="C1107" s="322"/>
      <c r="D1107" s="1559"/>
      <c r="E1107" s="1559"/>
      <c r="F1107" s="1559"/>
      <c r="G1107" s="554"/>
    </row>
    <row r="1108" spans="1:7" ht="12.75">
      <c r="A1108" s="355"/>
      <c r="B1108" s="355"/>
      <c r="C1108" s="322"/>
      <c r="D1108" s="1559"/>
      <c r="E1108" s="1559"/>
      <c r="F1108" s="1559"/>
      <c r="G1108" s="554"/>
    </row>
    <row r="1109" spans="1:7" ht="12.75">
      <c r="A1109" s="355"/>
      <c r="B1109" s="355"/>
      <c r="C1109" s="322"/>
      <c r="D1109" s="1559"/>
      <c r="E1109" s="1559"/>
      <c r="F1109" s="1559"/>
      <c r="G1109" s="554"/>
    </row>
    <row r="1110" spans="1:7" ht="12.75">
      <c r="A1110" s="355"/>
      <c r="B1110" s="355"/>
      <c r="C1110" s="322"/>
      <c r="D1110" s="1559"/>
      <c r="E1110" s="1559"/>
      <c r="F1110" s="1559"/>
      <c r="G1110" s="554"/>
    </row>
    <row r="1111" spans="1:7" ht="12.75">
      <c r="A1111" s="355"/>
      <c r="B1111" s="355"/>
      <c r="C1111" s="322"/>
      <c r="D1111" s="1559"/>
      <c r="E1111" s="1559"/>
      <c r="F1111" s="1559"/>
      <c r="G1111" s="554"/>
    </row>
    <row r="1112" spans="1:7" ht="12.75">
      <c r="A1112" s="355"/>
      <c r="B1112" s="355"/>
      <c r="C1112" s="322"/>
      <c r="D1112" s="296"/>
      <c r="E1112" s="296"/>
      <c r="F1112" s="296"/>
      <c r="G1112" s="554"/>
    </row>
    <row r="1113" spans="1:7" ht="14.25">
      <c r="A1113" s="413"/>
      <c r="B1113" s="1521" t="s">
        <v>134</v>
      </c>
      <c r="C1113" s="322"/>
      <c r="D1113" s="1559" t="s">
        <v>1819</v>
      </c>
      <c r="E1113" s="1559"/>
      <c r="F1113" s="1559"/>
      <c r="G1113" s="554"/>
    </row>
    <row r="1114" spans="1:7" ht="12.75">
      <c r="A1114" s="355"/>
      <c r="B1114" s="355"/>
      <c r="C1114" s="322"/>
      <c r="D1114" s="1559"/>
      <c r="E1114" s="1559"/>
      <c r="F1114" s="1559"/>
      <c r="G1114" s="554"/>
    </row>
    <row r="1115" spans="1:7" ht="12.75">
      <c r="A1115" s="355"/>
      <c r="B1115" s="355"/>
      <c r="C1115" s="322"/>
      <c r="D1115" s="1559"/>
      <c r="E1115" s="1559"/>
      <c r="F1115" s="1559"/>
      <c r="G1115" s="554"/>
    </row>
    <row r="1116" spans="1:7" ht="12.75">
      <c r="A1116" s="355"/>
      <c r="B1116" s="355"/>
      <c r="C1116" s="322"/>
      <c r="D1116" s="1559"/>
      <c r="E1116" s="1559"/>
      <c r="F1116" s="1559"/>
      <c r="G1116" s="554"/>
    </row>
    <row r="1117" spans="1:7" ht="12.75">
      <c r="A1117" s="355"/>
      <c r="B1117" s="355"/>
      <c r="C1117" s="322"/>
      <c r="D1117" s="1559"/>
      <c r="E1117" s="1559"/>
      <c r="F1117" s="1559"/>
      <c r="G1117" s="554"/>
    </row>
    <row r="1118" spans="1:7" ht="12.75">
      <c r="A1118" s="355"/>
      <c r="B1118" s="355"/>
      <c r="C1118" s="322"/>
      <c r="D1118" s="1559"/>
      <c r="E1118" s="1559"/>
      <c r="F1118" s="1559"/>
      <c r="G1118" s="554"/>
    </row>
    <row r="1119" spans="1:7" ht="12.75">
      <c r="A1119" s="355"/>
      <c r="B1119" s="355"/>
      <c r="C1119" s="322"/>
      <c r="D1119" s="1559"/>
      <c r="E1119" s="1559"/>
      <c r="F1119" s="1559"/>
      <c r="G1119" s="554"/>
    </row>
    <row r="1120" spans="1:7" ht="12.75">
      <c r="A1120" s="355"/>
      <c r="B1120" s="355"/>
      <c r="C1120" s="322"/>
      <c r="D1120" s="1080"/>
      <c r="E1120" s="1080"/>
      <c r="F1120" s="1080"/>
      <c r="G1120" s="554"/>
    </row>
    <row r="1121" spans="1:7" ht="12.4" customHeight="1">
      <c r="A1121" s="355"/>
      <c r="B1121" s="1521" t="s">
        <v>134</v>
      </c>
      <c r="C1121" s="322"/>
      <c r="D1121" s="1627" t="s">
        <v>1939</v>
      </c>
      <c r="E1121" s="1625"/>
      <c r="F1121" s="1625"/>
      <c r="G1121" s="554"/>
    </row>
    <row r="1122" spans="1:7" ht="12.4" customHeight="1">
      <c r="A1122" s="355"/>
      <c r="B1122" s="355"/>
      <c r="C1122" s="322"/>
      <c r="D1122" s="1625"/>
      <c r="E1122" s="1625"/>
      <c r="F1122" s="1625"/>
      <c r="G1122" s="554"/>
    </row>
    <row r="1123" spans="1:7" ht="12.75">
      <c r="A1123" s="355"/>
      <c r="B1123" s="355"/>
      <c r="C1123" s="322"/>
      <c r="D1123" s="1625"/>
      <c r="E1123" s="1625"/>
      <c r="F1123" s="1625"/>
      <c r="G1123" s="554"/>
    </row>
    <row r="1124" spans="1:7" ht="12.75">
      <c r="A1124" s="355"/>
      <c r="B1124" s="355"/>
      <c r="C1124" s="322"/>
      <c r="D1124" s="1081"/>
      <c r="E1124" s="1081"/>
      <c r="F1124" s="1081"/>
      <c r="G1124" s="554"/>
    </row>
    <row r="1125" spans="1:7" ht="12.75">
      <c r="A1125" s="140"/>
      <c r="B1125" s="140"/>
      <c r="C1125" s="14"/>
      <c r="D1125" s="1568" t="s">
        <v>1623</v>
      </c>
      <c r="E1125" s="1568"/>
      <c r="F1125" s="1568"/>
    </row>
    <row r="1126" spans="1:7" ht="12.75">
      <c r="A1126" s="996"/>
      <c r="B1126" s="996"/>
      <c r="C1126" s="14"/>
      <c r="D1126" s="991"/>
      <c r="E1126" s="282"/>
      <c r="F1126" s="282"/>
    </row>
    <row r="1127" spans="1:7" ht="14.25">
      <c r="A1127" s="413"/>
      <c r="B1127" s="1521" t="s">
        <v>134</v>
      </c>
      <c r="C1127" s="14"/>
      <c r="D1127" s="1602" t="s">
        <v>1820</v>
      </c>
      <c r="E1127" s="1602"/>
      <c r="F1127" s="1602"/>
    </row>
    <row r="1128" spans="1:7" ht="12.75">
      <c r="A1128" s="140"/>
      <c r="B1128" s="140"/>
      <c r="C1128" s="14"/>
      <c r="D1128" s="1602"/>
      <c r="E1128" s="1602"/>
      <c r="F1128" s="1602"/>
    </row>
    <row r="1129" spans="1:7" ht="12.75">
      <c r="A1129" s="140"/>
      <c r="B1129" s="140"/>
      <c r="C1129" s="14"/>
      <c r="E1129" s="282"/>
      <c r="F1129" s="282"/>
    </row>
    <row r="1130" spans="1:7" ht="14.25">
      <c r="A1130" s="413"/>
      <c r="B1130" s="924" t="s">
        <v>1498</v>
      </c>
      <c r="C1130" s="14"/>
      <c r="D1130" s="1602" t="s">
        <v>1821</v>
      </c>
      <c r="E1130" s="1602"/>
      <c r="F1130" s="1602"/>
    </row>
    <row r="1131" spans="1:7" ht="12.75">
      <c r="A1131" s="140"/>
      <c r="B1131" s="140"/>
      <c r="C1131" s="14"/>
      <c r="D1131" s="1602"/>
      <c r="E1131" s="1602"/>
      <c r="F1131" s="1602"/>
    </row>
    <row r="1132" spans="1:7" ht="12.75">
      <c r="A1132" s="140"/>
      <c r="B1132" s="140"/>
      <c r="C1132" s="14"/>
      <c r="D1132" s="282"/>
      <c r="E1132" s="282"/>
      <c r="F1132" s="282"/>
    </row>
    <row r="1133" spans="1:7" ht="12.75">
      <c r="A1133" s="140"/>
      <c r="B1133" s="140"/>
      <c r="C1133" s="14"/>
      <c r="D1133" s="1568" t="s">
        <v>1624</v>
      </c>
      <c r="E1133" s="1568"/>
      <c r="F1133" s="1568"/>
    </row>
    <row r="1134" spans="1:7" ht="12.75">
      <c r="A1134" s="996"/>
      <c r="B1134" s="996"/>
      <c r="C1134" s="14"/>
      <c r="D1134" s="991"/>
      <c r="E1134" s="282"/>
      <c r="F1134" s="282"/>
    </row>
    <row r="1135" spans="1:7" ht="14.25">
      <c r="A1135" s="413"/>
      <c r="B1135" s="1521" t="s">
        <v>134</v>
      </c>
      <c r="C1135" s="14"/>
      <c r="D1135" s="1561" t="s">
        <v>1822</v>
      </c>
      <c r="E1135" s="1561"/>
      <c r="F1135" s="1561"/>
    </row>
    <row r="1136" spans="1:7" ht="12.75">
      <c r="A1136" s="140"/>
      <c r="B1136" s="140"/>
      <c r="C1136" s="14"/>
      <c r="D1136" s="282"/>
      <c r="E1136" s="282"/>
      <c r="F1136" s="282"/>
    </row>
    <row r="1137" spans="1:7" ht="14.25">
      <c r="A1137" s="413"/>
      <c r="B1137" s="1521" t="s">
        <v>134</v>
      </c>
      <c r="C1137" s="14"/>
      <c r="D1137" s="1559" t="s">
        <v>1823</v>
      </c>
      <c r="E1137" s="1559"/>
      <c r="F1137" s="1559"/>
    </row>
    <row r="1138" spans="1:7" ht="14.25">
      <c r="A1138" s="413"/>
      <c r="B1138" s="413"/>
      <c r="C1138" s="14"/>
      <c r="D1138" s="1559"/>
      <c r="E1138" s="1559"/>
      <c r="F1138" s="1559"/>
    </row>
    <row r="1139" spans="1:7" ht="14.25">
      <c r="A1139" s="413"/>
      <c r="B1139" s="413"/>
      <c r="C1139" s="14"/>
      <c r="D1139" s="1000"/>
      <c r="E1139" s="1000"/>
      <c r="F1139" s="1000"/>
      <c r="G1139" s="2"/>
    </row>
    <row r="1140" spans="1:7" ht="12.75">
      <c r="A1140" s="1002"/>
      <c r="B1140" s="1002"/>
      <c r="C1140" s="14"/>
      <c r="D1140" s="1568" t="s">
        <v>1833</v>
      </c>
      <c r="E1140" s="1568"/>
      <c r="F1140" s="1568"/>
      <c r="G1140" s="2"/>
    </row>
    <row r="1141" spans="1:7" ht="12.75">
      <c r="A1141" s="1002"/>
      <c r="B1141" s="1002"/>
      <c r="C1141" s="14"/>
      <c r="D1141" s="1001"/>
      <c r="E1141" s="282"/>
      <c r="F1141" s="282"/>
      <c r="G1141" s="2"/>
    </row>
    <row r="1142" spans="1:7" ht="14.45" customHeight="1">
      <c r="A1142" s="413"/>
      <c r="B1142" s="1003" t="s">
        <v>134</v>
      </c>
      <c r="C1142" s="14"/>
      <c r="D1142" s="1593" t="s">
        <v>1921</v>
      </c>
      <c r="E1142" s="1559"/>
      <c r="F1142" s="1559"/>
      <c r="G1142" s="2"/>
    </row>
    <row r="1143" spans="1:7" ht="14.25">
      <c r="A1143" s="413"/>
      <c r="B1143" s="413"/>
      <c r="C1143" s="14"/>
      <c r="D1143" s="1559"/>
      <c r="E1143" s="1559"/>
      <c r="F1143" s="1559"/>
      <c r="G1143" s="2"/>
    </row>
    <row r="1144" spans="1:7" ht="14.25">
      <c r="A1144" s="413"/>
      <c r="B1144" s="413"/>
      <c r="C1144" s="14"/>
      <c r="D1144" s="1559"/>
      <c r="E1144" s="1559"/>
      <c r="F1144" s="1559"/>
      <c r="G1144" s="2"/>
    </row>
    <row r="1145" spans="1:7" ht="14.25">
      <c r="A1145" s="413"/>
      <c r="B1145" s="413"/>
      <c r="C1145" s="14"/>
      <c r="D1145" s="1559"/>
      <c r="E1145" s="1559"/>
      <c r="F1145" s="1559"/>
      <c r="G1145" s="2"/>
    </row>
    <row r="1146" spans="1:7" ht="14.25">
      <c r="A1146" s="413"/>
      <c r="B1146" s="413"/>
      <c r="C1146" s="14"/>
      <c r="D1146" s="1559"/>
      <c r="E1146" s="1559"/>
      <c r="F1146" s="1559"/>
      <c r="G1146" s="2"/>
    </row>
    <row r="1147" spans="1:7" ht="14.25">
      <c r="A1147" s="413"/>
      <c r="B1147" s="413"/>
      <c r="C1147" s="14"/>
      <c r="D1147" s="1559"/>
      <c r="E1147" s="1559"/>
      <c r="F1147" s="1559"/>
      <c r="G1147" s="2"/>
    </row>
    <row r="1148" spans="1:7" ht="14.25">
      <c r="A1148" s="413"/>
      <c r="B1148" s="413"/>
      <c r="C1148" s="14"/>
      <c r="D1148" s="1559"/>
      <c r="E1148" s="1559"/>
      <c r="F1148" s="1559"/>
      <c r="G1148" s="2"/>
    </row>
    <row r="1149" spans="1:7" ht="14.25">
      <c r="A1149" s="413"/>
      <c r="B1149" s="413"/>
      <c r="C1149" s="14"/>
      <c r="D1149" s="1559"/>
      <c r="E1149" s="1559"/>
      <c r="F1149" s="1559"/>
      <c r="G1149" s="2"/>
    </row>
    <row r="1150" spans="1:7" ht="14.25">
      <c r="A1150" s="413"/>
      <c r="B1150" s="413"/>
      <c r="C1150" s="14"/>
      <c r="D1150" s="1559"/>
      <c r="E1150" s="1559"/>
      <c r="F1150" s="1559"/>
      <c r="G1150" s="2"/>
    </row>
    <row r="1151" spans="1:7" ht="14.25">
      <c r="A1151" s="413"/>
      <c r="B1151" s="413"/>
      <c r="C1151" s="14"/>
      <c r="D1151" s="1559"/>
      <c r="E1151" s="1559"/>
      <c r="F1151" s="1559"/>
      <c r="G1151" s="2"/>
    </row>
    <row r="1152" spans="1:7" ht="14.25">
      <c r="A1152" s="413"/>
      <c r="B1152" s="413"/>
      <c r="C1152" s="14"/>
      <c r="D1152" s="1559"/>
      <c r="E1152" s="1559"/>
      <c r="F1152" s="1559"/>
      <c r="G1152" s="2"/>
    </row>
    <row r="1153" spans="1:7" ht="14.25">
      <c r="A1153" s="413"/>
      <c r="B1153" s="413"/>
      <c r="C1153" s="14"/>
      <c r="D1153" s="1559"/>
      <c r="E1153" s="1559"/>
      <c r="F1153" s="1559"/>
      <c r="G1153" s="2"/>
    </row>
    <row r="1154" spans="1:7" ht="14.25">
      <c r="A1154" s="413"/>
      <c r="B1154" s="413"/>
      <c r="C1154" s="14"/>
      <c r="D1154" s="1559"/>
      <c r="E1154" s="1559"/>
      <c r="F1154" s="1559"/>
      <c r="G1154" s="2"/>
    </row>
    <row r="1155" spans="1:7" ht="14.25">
      <c r="A1155" s="413"/>
      <c r="B1155" s="413"/>
      <c r="C1155" s="14"/>
      <c r="D1155" s="1559"/>
      <c r="E1155" s="1559"/>
      <c r="F1155" s="1559"/>
    </row>
    <row r="1156" spans="1:7" ht="12.75">
      <c r="A1156" s="140"/>
      <c r="B1156" s="140"/>
      <c r="C1156" s="14"/>
      <c r="D1156" s="282"/>
      <c r="E1156" s="282"/>
      <c r="F1156" s="282"/>
    </row>
    <row r="1157" spans="1:7" ht="12.75">
      <c r="A1157" s="1567" t="s">
        <v>1526</v>
      </c>
      <c r="B1157" s="1567"/>
      <c r="C1157" s="1567"/>
      <c r="D1157" s="1567"/>
      <c r="E1157" s="1567"/>
      <c r="F1157" s="1567"/>
      <c r="G1157" s="1567"/>
    </row>
    <row r="1158" spans="1:7" ht="12.75">
      <c r="A1158" s="143"/>
      <c r="B1158" s="143"/>
      <c r="C1158" s="14"/>
      <c r="D1158" s="282"/>
      <c r="E1158" s="282"/>
      <c r="F1158" s="282"/>
    </row>
    <row r="1159" spans="1:7" ht="12.75">
      <c r="A1159" s="140"/>
      <c r="B1159" s="140"/>
      <c r="C1159" s="322"/>
      <c r="D1159" s="1568" t="s">
        <v>1824</v>
      </c>
      <c r="E1159" s="1568"/>
      <c r="F1159" s="1568"/>
    </row>
    <row r="1160" spans="1:7" ht="12.75">
      <c r="A1160" s="414"/>
      <c r="B1160" s="414"/>
      <c r="C1160" s="298"/>
      <c r="D1160" s="1560" t="s">
        <v>1628</v>
      </c>
      <c r="E1160" s="1561"/>
      <c r="F1160" s="1561"/>
    </row>
    <row r="1161" spans="1:7" ht="12.75">
      <c r="A1161" s="414"/>
      <c r="B1161" s="414"/>
      <c r="C1161" s="298"/>
      <c r="D1161" s="282"/>
      <c r="E1161" s="282"/>
      <c r="F1161" s="296"/>
      <c r="G1161" s="2"/>
    </row>
    <row r="1162" spans="1:7" ht="13.7" customHeight="1">
      <c r="A1162" s="140"/>
      <c r="B1162" s="924" t="s">
        <v>1498</v>
      </c>
      <c r="C1162" s="14"/>
      <c r="D1162" s="1556" t="s">
        <v>2326</v>
      </c>
      <c r="E1162" s="1556"/>
      <c r="F1162" s="1556"/>
      <c r="G1162" s="2"/>
    </row>
    <row r="1163" spans="1:7" ht="12.75">
      <c r="A1163" s="140"/>
      <c r="B1163" s="140"/>
      <c r="C1163" s="14"/>
      <c r="D1163" s="1556"/>
      <c r="E1163" s="1556"/>
      <c r="F1163" s="1556"/>
      <c r="G1163" s="2"/>
    </row>
    <row r="1164" spans="1:7" ht="12.75">
      <c r="A1164" s="140"/>
      <c r="B1164" s="140"/>
      <c r="C1164" s="14"/>
      <c r="D1164" s="22"/>
      <c r="E1164" s="1503" t="s">
        <v>2327</v>
      </c>
      <c r="F1164" s="22"/>
      <c r="G1164" s="2"/>
    </row>
    <row r="1165" spans="1:7" ht="12.75">
      <c r="A1165" s="150"/>
      <c r="B1165" s="150"/>
      <c r="D1165" s="22"/>
      <c r="E1165" s="22"/>
      <c r="F1165" s="22"/>
      <c r="G1165" s="2"/>
    </row>
    <row r="1166" spans="1:7" ht="12.75">
      <c r="A1166" s="150"/>
      <c r="B1166" s="150"/>
      <c r="D1166" s="1555" t="s">
        <v>2325</v>
      </c>
      <c r="E1166" s="1555"/>
      <c r="F1166" s="1555"/>
      <c r="G1166" s="2"/>
    </row>
    <row r="1167" spans="1:7" ht="12.75">
      <c r="A1167" s="415"/>
      <c r="B1167" s="415"/>
      <c r="C1167" s="299"/>
      <c r="D1167" s="1555"/>
      <c r="E1167" s="1555"/>
      <c r="F1167" s="1555"/>
      <c r="G1167" s="2"/>
    </row>
    <row r="1168" spans="1:7" ht="14.45" customHeight="1">
      <c r="A1168" s="415"/>
      <c r="B1168" s="415"/>
      <c r="C1168" s="299"/>
      <c r="D1168" s="1555"/>
      <c r="E1168" s="1555"/>
      <c r="F1168" s="1555"/>
      <c r="G1168" s="2"/>
    </row>
    <row r="1169" spans="1:7" ht="12.75">
      <c r="A1169" s="415"/>
      <c r="B1169" s="415"/>
      <c r="C1169" s="299"/>
      <c r="D1169" s="990"/>
      <c r="E1169" s="990"/>
      <c r="F1169" s="990"/>
      <c r="G1169" s="2"/>
    </row>
    <row r="1170" spans="1:7" ht="12.75">
      <c r="A1170" s="415"/>
      <c r="B1170" s="1007" t="s">
        <v>1498</v>
      </c>
      <c r="C1170" s="299"/>
      <c r="D1170" s="1602" t="s">
        <v>1834</v>
      </c>
      <c r="E1170" s="1602"/>
      <c r="F1170" s="1602"/>
      <c r="G1170" s="2"/>
    </row>
    <row r="1171" spans="1:7" ht="12.75">
      <c r="A1171" s="415"/>
      <c r="B1171" s="415"/>
      <c r="C1171" s="299"/>
      <c r="D1171" s="1602"/>
      <c r="E1171" s="1602"/>
      <c r="F1171" s="1602"/>
      <c r="G1171" s="2"/>
    </row>
    <row r="1172" spans="1:7" ht="12.75">
      <c r="A1172" s="415"/>
      <c r="B1172" s="415"/>
      <c r="C1172" s="299"/>
      <c r="D1172" s="1602"/>
      <c r="E1172" s="1602"/>
      <c r="F1172" s="1602"/>
      <c r="G1172" s="2"/>
    </row>
    <row r="1173" spans="1:7" ht="12.75">
      <c r="A1173" s="415"/>
      <c r="B1173" s="415"/>
      <c r="C1173" s="299"/>
      <c r="D1173" s="1602"/>
      <c r="E1173" s="1602"/>
      <c r="F1173" s="1602"/>
      <c r="G1173" s="2"/>
    </row>
    <row r="1174" spans="1:7" ht="12.75">
      <c r="A1174" s="415"/>
      <c r="B1174" s="415"/>
      <c r="C1174" s="299"/>
      <c r="D1174" s="1067"/>
      <c r="E1174" s="1067"/>
      <c r="F1174" s="1067"/>
      <c r="G1174" s="2"/>
    </row>
    <row r="1175" spans="1:7" ht="12.75">
      <c r="A1175" s="415"/>
      <c r="B1175" s="1521" t="s">
        <v>134</v>
      </c>
      <c r="C1175" s="299"/>
      <c r="D1175" s="1569" t="s">
        <v>1922</v>
      </c>
      <c r="E1175" s="1602"/>
      <c r="F1175" s="1602"/>
      <c r="G1175" s="2"/>
    </row>
    <row r="1176" spans="1:7" ht="12.75">
      <c r="A1176" s="415"/>
      <c r="B1176" s="415"/>
      <c r="C1176" s="299"/>
      <c r="D1176" s="1602"/>
      <c r="E1176" s="1602"/>
      <c r="F1176" s="1602"/>
      <c r="G1176" s="2"/>
    </row>
    <row r="1177" spans="1:7" ht="12.75">
      <c r="A1177" s="415"/>
      <c r="B1177" s="415"/>
      <c r="C1177" s="299"/>
      <c r="D1177" s="1067"/>
      <c r="E1177" s="1067"/>
      <c r="F1177" s="1067"/>
      <c r="G1177" s="2"/>
    </row>
    <row r="1178" spans="1:7" ht="14.25">
      <c r="A1178" s="413"/>
      <c r="B1178" s="924" t="s">
        <v>1498</v>
      </c>
      <c r="C1178" s="14"/>
      <c r="D1178" s="1561" t="s">
        <v>1825</v>
      </c>
      <c r="E1178" s="1561"/>
      <c r="F1178" s="1561"/>
      <c r="G1178" s="2"/>
    </row>
    <row r="1179" spans="1:7" ht="12.75">
      <c r="A1179" s="140"/>
      <c r="B1179" s="140"/>
      <c r="C1179" s="14"/>
      <c r="D1179" s="282"/>
      <c r="E1179" s="282"/>
      <c r="F1179" s="282"/>
      <c r="G1179" s="2"/>
    </row>
    <row r="1180" spans="1:7" ht="14.25">
      <c r="A1180" s="413"/>
      <c r="B1180" s="924" t="s">
        <v>134</v>
      </c>
      <c r="C1180" s="14"/>
      <c r="D1180" s="1561" t="s">
        <v>1826</v>
      </c>
      <c r="E1180" s="1561"/>
      <c r="F1180" s="1561"/>
      <c r="G1180" s="2"/>
    </row>
    <row r="1181" spans="1:7" ht="12.75">
      <c r="A1181" s="140"/>
      <c r="B1181" s="140"/>
      <c r="C1181" s="14"/>
      <c r="D1181" s="287"/>
      <c r="E1181" s="282"/>
      <c r="F1181" s="282"/>
      <c r="G1181" s="2"/>
    </row>
    <row r="1182" spans="1:7" ht="14.25">
      <c r="A1182" s="413"/>
      <c r="B1182" s="1521" t="s">
        <v>1498</v>
      </c>
      <c r="C1182" s="14"/>
      <c r="D1182" s="1561" t="s">
        <v>1827</v>
      </c>
      <c r="E1182" s="1561"/>
      <c r="F1182" s="1561"/>
      <c r="G1182" s="2"/>
    </row>
    <row r="1183" spans="1:7" ht="12.75">
      <c r="A1183" s="140"/>
      <c r="B1183" s="140"/>
      <c r="C1183" s="14"/>
      <c r="D1183" s="287"/>
      <c r="E1183" s="282"/>
      <c r="F1183" s="282"/>
      <c r="G1183" s="2"/>
    </row>
    <row r="1184" spans="1:7" ht="14.25">
      <c r="A1184" s="413"/>
      <c r="B1184" s="1521" t="s">
        <v>134</v>
      </c>
      <c r="C1184" s="14"/>
      <c r="D1184" s="1559" t="s">
        <v>1828</v>
      </c>
      <c r="E1184" s="1559"/>
      <c r="F1184" s="1559"/>
      <c r="G1184" s="2"/>
    </row>
    <row r="1185" spans="1:7" ht="14.25">
      <c r="A1185" s="413"/>
      <c r="B1185" s="413"/>
      <c r="C1185" s="14"/>
      <c r="D1185" s="1559"/>
      <c r="E1185" s="1559"/>
      <c r="F1185" s="1559"/>
      <c r="G1185" s="2"/>
    </row>
    <row r="1186" spans="1:7" ht="14.25">
      <c r="A1186" s="413"/>
      <c r="B1186" s="413"/>
      <c r="C1186" s="14"/>
      <c r="D1186" s="287"/>
      <c r="E1186" s="282"/>
      <c r="F1186" s="282"/>
    </row>
    <row r="1187" spans="1:7" s="685" customFormat="1" ht="14.25">
      <c r="A1187" s="448"/>
      <c r="B1187" s="1521" t="s">
        <v>134</v>
      </c>
      <c r="C1187" s="449"/>
      <c r="D1187" s="1610" t="s">
        <v>1829</v>
      </c>
      <c r="E1187" s="1610"/>
      <c r="F1187" s="1610"/>
      <c r="G1187" s="686"/>
    </row>
    <row r="1188" spans="1:7" s="685" customFormat="1" ht="12.75">
      <c r="A1188" s="449"/>
      <c r="B1188" s="449"/>
      <c r="C1188" s="449"/>
      <c r="D1188" s="1610"/>
      <c r="E1188" s="1610"/>
      <c r="F1188" s="1610"/>
      <c r="G1188" s="686"/>
    </row>
    <row r="1189" spans="1:7" s="685" customFormat="1" ht="12.75">
      <c r="A1189" s="449"/>
      <c r="B1189" s="449"/>
      <c r="C1189" s="449"/>
      <c r="D1189" s="450"/>
      <c r="E1189" s="451"/>
      <c r="F1189" s="451"/>
      <c r="G1189" s="686"/>
    </row>
    <row r="1190" spans="1:7" s="685" customFormat="1" ht="14.25">
      <c r="A1190" s="448"/>
      <c r="B1190" s="1521" t="s">
        <v>134</v>
      </c>
      <c r="C1190" s="449"/>
      <c r="D1190" s="1659" t="s">
        <v>1830</v>
      </c>
      <c r="E1190" s="1659"/>
      <c r="F1190" s="1659"/>
      <c r="G1190" s="686"/>
    </row>
    <row r="1191" spans="1:7" s="685" customFormat="1" ht="12.75">
      <c r="A1191" s="449"/>
      <c r="B1191" s="449"/>
      <c r="C1191" s="449"/>
      <c r="D1191" s="450"/>
      <c r="E1191" s="451"/>
      <c r="F1191" s="451"/>
      <c r="G1191" s="686"/>
    </row>
    <row r="1192" spans="1:7" ht="14.25">
      <c r="A1192" s="413"/>
      <c r="B1192" s="1521" t="s">
        <v>134</v>
      </c>
      <c r="C1192" s="14"/>
      <c r="D1192" s="1561" t="s">
        <v>1831</v>
      </c>
      <c r="E1192" s="1561"/>
      <c r="F1192" s="1561"/>
    </row>
    <row r="1193" spans="1:7" ht="14.25">
      <c r="A1193" s="413"/>
      <c r="B1193" s="413"/>
      <c r="C1193" s="14"/>
      <c r="D1193" s="287"/>
      <c r="E1193" s="282"/>
      <c r="F1193" s="282"/>
    </row>
    <row r="1194" spans="1:7" ht="14.25">
      <c r="A1194" s="413"/>
      <c r="B1194" s="1521" t="s">
        <v>134</v>
      </c>
      <c r="C1194" s="14"/>
      <c r="D1194" s="1559" t="s">
        <v>1832</v>
      </c>
      <c r="E1194" s="1559"/>
      <c r="F1194" s="1559"/>
    </row>
    <row r="1195" spans="1:7" ht="14.25">
      <c r="A1195" s="413"/>
      <c r="B1195" s="413"/>
      <c r="C1195" s="14"/>
      <c r="D1195" s="1559"/>
      <c r="E1195" s="1559"/>
      <c r="F1195" s="1559"/>
    </row>
    <row r="1196" spans="1:7" ht="12.75">
      <c r="A1196" s="140"/>
      <c r="B1196" s="140"/>
      <c r="C1196" s="14"/>
      <c r="D1196" s="282"/>
      <c r="E1196" s="282"/>
      <c r="F1196" s="282"/>
    </row>
    <row r="1197" spans="1:7" ht="12.75">
      <c r="A1197" s="1567" t="s">
        <v>2229</v>
      </c>
      <c r="B1197" s="1567"/>
      <c r="C1197" s="1567"/>
      <c r="D1197" s="1567"/>
      <c r="E1197" s="1567"/>
      <c r="F1197" s="1567"/>
      <c r="G1197" s="1567"/>
    </row>
    <row r="1198" spans="1:7" ht="12.75">
      <c r="A1198" s="140"/>
      <c r="B1198" s="140"/>
      <c r="C1198" s="14"/>
      <c r="D1198" s="282"/>
      <c r="E1198" s="282"/>
      <c r="F1198" s="282"/>
    </row>
    <row r="1199" spans="1:7" ht="12.75">
      <c r="A1199" s="1567" t="s">
        <v>1527</v>
      </c>
      <c r="B1199" s="1567"/>
      <c r="C1199" s="1567"/>
      <c r="D1199" s="1567"/>
      <c r="E1199" s="1567"/>
      <c r="F1199" s="1567"/>
      <c r="G1199" s="1567"/>
    </row>
    <row r="1200" spans="1:7" ht="12.75">
      <c r="A1200" s="140"/>
      <c r="B1200" s="140"/>
      <c r="C1200" s="14"/>
      <c r="D1200" s="282"/>
      <c r="E1200" s="282"/>
      <c r="F1200" s="282"/>
    </row>
    <row r="1201" spans="1:7" ht="12.75">
      <c r="A1201" s="150"/>
      <c r="B1201" s="150"/>
      <c r="D1201" s="1621" t="s">
        <v>1648</v>
      </c>
      <c r="E1201" s="1621"/>
      <c r="F1201" s="1621"/>
    </row>
    <row r="1202" spans="1:7" ht="12.75">
      <c r="A1202" s="150"/>
      <c r="B1202" s="150"/>
      <c r="D1202" s="1622" t="s">
        <v>2116</v>
      </c>
      <c r="E1202" s="1622"/>
      <c r="F1202" s="1622"/>
    </row>
    <row r="1203" spans="1:7" ht="12.75">
      <c r="A1203" s="430"/>
      <c r="B1203" s="430"/>
      <c r="C1203" s="406"/>
    </row>
    <row r="1204" spans="1:7" ht="14.25">
      <c r="A1204" s="413"/>
      <c r="B1204" s="413"/>
      <c r="C1204" s="299"/>
      <c r="D1204" s="1621" t="s">
        <v>1649</v>
      </c>
      <c r="E1204" s="1621"/>
      <c r="F1204" s="1621"/>
    </row>
    <row r="1205" spans="1:7" ht="12.75">
      <c r="A1205" s="140"/>
      <c r="B1205" s="924" t="s">
        <v>1498</v>
      </c>
      <c r="C1205" s="14"/>
      <c r="D1205" s="1624" t="s">
        <v>1650</v>
      </c>
      <c r="E1205" s="1624"/>
      <c r="F1205" s="1624"/>
    </row>
    <row r="1206" spans="1:7" ht="12.75">
      <c r="A1206" s="140"/>
      <c r="B1206" s="140"/>
      <c r="C1206" s="14"/>
      <c r="D1206" s="1622" t="s">
        <v>2117</v>
      </c>
      <c r="E1206" s="1622"/>
      <c r="F1206" s="1622"/>
    </row>
    <row r="1207" spans="1:7" ht="12.75">
      <c r="A1207" s="150"/>
      <c r="B1207" s="150"/>
      <c r="G1207" s="2"/>
    </row>
    <row r="1208" spans="1:7" ht="12.75" customHeight="1">
      <c r="A1208" s="150"/>
      <c r="B1208" s="1260" t="s">
        <v>1498</v>
      </c>
      <c r="D1208" s="1579" t="s">
        <v>2008</v>
      </c>
      <c r="E1208" s="1579"/>
      <c r="F1208" s="1579"/>
      <c r="G1208" s="2"/>
    </row>
    <row r="1209" spans="1:7" ht="12.75">
      <c r="A1209" s="150"/>
      <c r="B1209" s="150"/>
      <c r="D1209" s="1579"/>
      <c r="E1209" s="1579"/>
      <c r="F1209" s="1579"/>
      <c r="G1209" s="2"/>
    </row>
    <row r="1210" spans="1:7" ht="12.75">
      <c r="A1210" s="150"/>
      <c r="B1210" s="150"/>
      <c r="G1210" s="2"/>
    </row>
    <row r="1211" spans="1:7" ht="12.75" customHeight="1">
      <c r="A1211" s="150"/>
      <c r="B1211" s="150"/>
    </row>
    <row r="1212" spans="1:7" ht="12.75">
      <c r="A1212" s="1607" t="s">
        <v>1529</v>
      </c>
      <c r="B1212" s="1607"/>
      <c r="C1212" s="1607"/>
      <c r="D1212" s="1607"/>
      <c r="E1212" s="1607"/>
      <c r="F1212" s="1607"/>
      <c r="G1212" s="1607"/>
    </row>
    <row r="1213" spans="1:7" ht="12.75">
      <c r="A1213" s="76"/>
      <c r="B1213" s="76"/>
      <c r="C1213" s="285"/>
      <c r="D1213" s="288"/>
      <c r="E1213" s="288"/>
      <c r="F1213" s="288"/>
      <c r="G1213" s="288"/>
    </row>
    <row r="1214" spans="1:7" ht="12.75" customHeight="1">
      <c r="A1214" s="76"/>
      <c r="B1214" s="76"/>
      <c r="C1214" s="285"/>
      <c r="D1214" s="1619" t="s">
        <v>1528</v>
      </c>
      <c r="E1214" s="1619"/>
      <c r="F1214" s="1619"/>
      <c r="G1214" s="288"/>
    </row>
    <row r="1215" spans="1:7" ht="12.75" customHeight="1">
      <c r="A1215" s="76"/>
      <c r="B1215" s="76"/>
      <c r="C1215" s="285"/>
      <c r="D1215" s="1620" t="s">
        <v>1537</v>
      </c>
      <c r="E1215" s="1620"/>
      <c r="F1215" s="1620"/>
      <c r="G1215" s="288"/>
    </row>
    <row r="1216" spans="1:7" ht="12.75" customHeight="1">
      <c r="A1216" s="76"/>
      <c r="B1216" s="76"/>
      <c r="C1216" s="285"/>
      <c r="D1216" s="288"/>
      <c r="E1216" s="288"/>
      <c r="F1216" s="288"/>
      <c r="G1216" s="288"/>
    </row>
    <row r="1217" spans="1:7" ht="14.25">
      <c r="A1217" s="413"/>
      <c r="B1217" s="924" t="s">
        <v>85</v>
      </c>
      <c r="C1217" s="14"/>
      <c r="D1217" s="1566" t="s">
        <v>1096</v>
      </c>
      <c r="E1217" s="1566"/>
      <c r="F1217" s="1566"/>
    </row>
    <row r="1218" spans="1:7" ht="12.75">
      <c r="A1218" s="140"/>
      <c r="B1218" s="140"/>
      <c r="C1218" s="14"/>
      <c r="D1218" s="1561" t="s">
        <v>1224</v>
      </c>
      <c r="E1218" s="1561"/>
      <c r="F1218" s="1561"/>
    </row>
    <row r="1219" spans="1:7" ht="12.75">
      <c r="A1219" s="140"/>
      <c r="B1219" s="140"/>
      <c r="C1219" s="14"/>
      <c r="D1219" s="282"/>
      <c r="E1219" s="1587" t="s">
        <v>2328</v>
      </c>
      <c r="F1219" s="1587"/>
    </row>
    <row r="1220" spans="1:7" ht="12.75">
      <c r="A1220" s="140"/>
      <c r="B1220" s="140"/>
      <c r="C1220" s="14"/>
      <c r="D1220" s="6"/>
      <c r="E1220" s="282"/>
      <c r="F1220" s="282"/>
    </row>
    <row r="1221" spans="1:7" ht="12.75">
      <c r="A1221" s="140"/>
      <c r="B1221" s="140"/>
      <c r="C1221" s="14"/>
      <c r="D1221" s="1618" t="s">
        <v>1375</v>
      </c>
      <c r="E1221" s="1618"/>
      <c r="F1221" s="1618"/>
    </row>
    <row r="1222" spans="1:7" ht="12.75">
      <c r="A1222" s="140"/>
      <c r="B1222" s="924" t="s">
        <v>85</v>
      </c>
      <c r="C1222" s="140"/>
      <c r="D1222" s="1593" t="s">
        <v>2329</v>
      </c>
      <c r="E1222" s="1559"/>
      <c r="F1222" s="1559"/>
      <c r="G1222" s="2"/>
    </row>
    <row r="1223" spans="1:7" ht="12.75">
      <c r="A1223" s="140"/>
      <c r="B1223" s="140"/>
      <c r="C1223" s="14"/>
      <c r="D1223" s="1559"/>
      <c r="E1223" s="1559"/>
      <c r="F1223" s="1559"/>
      <c r="G1223" s="2"/>
    </row>
    <row r="1224" spans="1:7" ht="12.75">
      <c r="A1224" s="140"/>
      <c r="B1224" s="140"/>
      <c r="C1224" s="14"/>
      <c r="D1224" s="784" t="s">
        <v>1378</v>
      </c>
      <c r="E1224" s="2"/>
      <c r="F1224" s="2"/>
      <c r="G1224" s="2"/>
    </row>
    <row r="1225" spans="1:7" ht="13.7" customHeight="1">
      <c r="A1225" s="140"/>
      <c r="B1225" s="140"/>
      <c r="C1225" s="14"/>
      <c r="D1225" s="1593" t="s">
        <v>2330</v>
      </c>
      <c r="E1225" s="1559"/>
      <c r="F1225" s="1559"/>
      <c r="G1225" s="2"/>
    </row>
    <row r="1226" spans="1:7" ht="12.75">
      <c r="A1226" s="140"/>
      <c r="B1226" s="140"/>
      <c r="C1226" s="14"/>
      <c r="D1226" s="1559"/>
      <c r="E1226" s="1559"/>
      <c r="F1226" s="1559"/>
      <c r="G1226" s="2"/>
    </row>
    <row r="1227" spans="1:7" ht="12.75">
      <c r="A1227" s="140"/>
      <c r="B1227" s="140"/>
      <c r="C1227" s="14"/>
      <c r="D1227" s="1559"/>
      <c r="E1227" s="1559"/>
      <c r="F1227" s="1559"/>
      <c r="G1227" s="2"/>
    </row>
    <row r="1228" spans="1:7" ht="12.75">
      <c r="A1228" s="140"/>
      <c r="B1228" s="140"/>
      <c r="C1228" s="14"/>
      <c r="D1228" s="1559"/>
      <c r="E1228" s="1559"/>
      <c r="F1228" s="1559"/>
      <c r="G1228" s="2"/>
    </row>
    <row r="1229" spans="1:7" ht="12.75">
      <c r="A1229" s="140"/>
      <c r="B1229" s="140"/>
      <c r="C1229" s="14"/>
      <c r="D1229" s="1587" t="s">
        <v>1099</v>
      </c>
      <c r="E1229" s="1587"/>
      <c r="F1229" s="1587"/>
      <c r="G1229" s="2"/>
    </row>
    <row r="1230" spans="1:7" ht="12.75">
      <c r="A1230" s="140"/>
      <c r="B1230" s="924" t="s">
        <v>85</v>
      </c>
      <c r="C1230" s="140"/>
      <c r="D1230" s="1566" t="s">
        <v>1376</v>
      </c>
      <c r="E1230" s="1566"/>
      <c r="F1230" s="1566"/>
      <c r="G1230" s="2"/>
    </row>
    <row r="1231" spans="1:7" ht="12.75">
      <c r="A1231" s="140"/>
      <c r="B1231" s="140"/>
      <c r="C1231" s="14"/>
      <c r="D1231" s="282"/>
      <c r="E1231" s="2"/>
      <c r="F1231" s="2"/>
      <c r="G1231" s="2"/>
    </row>
    <row r="1232" spans="1:7" ht="12.75">
      <c r="A1232" s="140"/>
      <c r="B1232" s="140"/>
      <c r="C1232" s="14"/>
      <c r="D1232" s="1578" t="s">
        <v>1377</v>
      </c>
      <c r="E1232" s="1578"/>
      <c r="F1232" s="1578"/>
      <c r="G1232" s="2"/>
    </row>
    <row r="1233" spans="1:7" ht="12.75">
      <c r="A1233" s="140"/>
      <c r="B1233" s="140"/>
      <c r="C1233" s="14"/>
      <c r="D1233" s="6" t="s">
        <v>1097</v>
      </c>
      <c r="E1233" s="2"/>
      <c r="F1233" s="2"/>
      <c r="G1233" s="2"/>
    </row>
    <row r="1234" spans="1:7" ht="14.45" customHeight="1">
      <c r="A1234" s="413"/>
      <c r="B1234" s="924" t="s">
        <v>85</v>
      </c>
      <c r="C1234" s="140"/>
      <c r="D1234" s="1559" t="s">
        <v>1651</v>
      </c>
      <c r="E1234" s="1559"/>
      <c r="F1234" s="1559"/>
      <c r="G1234" s="2"/>
    </row>
    <row r="1235" spans="1:7" ht="14.25">
      <c r="A1235" s="413"/>
      <c r="B1235" s="413"/>
      <c r="C1235" s="140"/>
      <c r="D1235" s="1559"/>
      <c r="E1235" s="1559"/>
      <c r="F1235" s="1559"/>
      <c r="G1235" s="2"/>
    </row>
    <row r="1236" spans="1:7" ht="14.25">
      <c r="A1236" s="413"/>
      <c r="B1236" s="413"/>
      <c r="C1236" s="140"/>
      <c r="D1236" s="1559"/>
      <c r="E1236" s="1559"/>
      <c r="F1236" s="1559"/>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85</v>
      </c>
      <c r="C1239" s="14"/>
      <c r="D1239" s="1559" t="s">
        <v>1652</v>
      </c>
      <c r="E1239" s="1559"/>
      <c r="F1239" s="1559"/>
    </row>
    <row r="1240" spans="1:7" ht="14.25">
      <c r="A1240" s="413"/>
      <c r="B1240" s="413"/>
      <c r="C1240" s="14"/>
      <c r="D1240" s="1559"/>
      <c r="E1240" s="1559"/>
      <c r="F1240" s="1559"/>
    </row>
    <row r="1241" spans="1:7" ht="14.25">
      <c r="A1241" s="413"/>
      <c r="B1241" s="413"/>
      <c r="C1241" s="14"/>
      <c r="D1241" s="1559"/>
      <c r="E1241" s="1559"/>
      <c r="F1241" s="1559"/>
    </row>
    <row r="1242" spans="1:7" ht="14.25">
      <c r="A1242" s="413"/>
      <c r="B1242" s="413"/>
      <c r="C1242" s="14"/>
      <c r="D1242" s="1559"/>
      <c r="E1242" s="1559"/>
      <c r="F1242" s="1559"/>
    </row>
    <row r="1243" spans="1:7" ht="14.25">
      <c r="A1243" s="413"/>
      <c r="B1243" s="413"/>
      <c r="C1243" s="14"/>
      <c r="D1243" s="1559"/>
      <c r="E1243" s="1559"/>
      <c r="F1243" s="1559"/>
    </row>
    <row r="1244" spans="1:7" ht="12.75" customHeight="1">
      <c r="A1244" s="76"/>
      <c r="B1244" s="76"/>
      <c r="C1244" s="285"/>
      <c r="D1244" s="288"/>
      <c r="E1244" s="288"/>
      <c r="F1244" s="288"/>
      <c r="G1244" s="288"/>
    </row>
    <row r="1245" spans="1:7" ht="12.75">
      <c r="A1245" s="1607" t="s">
        <v>1566</v>
      </c>
      <c r="B1245" s="1607"/>
      <c r="C1245" s="1607"/>
      <c r="D1245" s="1607"/>
      <c r="E1245" s="1607"/>
      <c r="F1245" s="1607"/>
      <c r="G1245" s="1607"/>
    </row>
    <row r="1246" spans="1:7" ht="12.75">
      <c r="A1246" s="76"/>
      <c r="B1246" s="76"/>
      <c r="C1246" s="285"/>
      <c r="D1246" s="288"/>
      <c r="E1246" s="288"/>
      <c r="F1246" s="288"/>
      <c r="G1246" s="288"/>
    </row>
    <row r="1247" spans="1:7" ht="12.75">
      <c r="A1247" s="76"/>
      <c r="B1247" s="76"/>
      <c r="C1247" s="285"/>
      <c r="D1247" s="1603" t="s">
        <v>1567</v>
      </c>
      <c r="E1247" s="1603"/>
      <c r="F1247" s="1603"/>
      <c r="G1247" s="288"/>
    </row>
    <row r="1248" spans="1:7" ht="12.75">
      <c r="A1248" s="419"/>
      <c r="B1248" s="419"/>
      <c r="C1248" s="407"/>
      <c r="D1248" s="1604" t="s">
        <v>1583</v>
      </c>
      <c r="E1248" s="1604"/>
      <c r="F1248" s="1604"/>
      <c r="G1248" s="408"/>
    </row>
    <row r="1249" spans="1:7" ht="10.5" customHeight="1">
      <c r="A1249" s="150"/>
      <c r="B1249" s="150"/>
    </row>
    <row r="1250" spans="1:7" ht="14.25">
      <c r="A1250" s="413"/>
      <c r="B1250" s="924" t="s">
        <v>85</v>
      </c>
      <c r="D1250" s="1566" t="s">
        <v>1225</v>
      </c>
      <c r="E1250" s="1566"/>
      <c r="F1250" s="1566"/>
    </row>
    <row r="1251" spans="1:7" ht="12.75">
      <c r="A1251" s="150"/>
      <c r="B1251" s="150"/>
      <c r="D1251" s="282"/>
      <c r="E1251" s="1587" t="s">
        <v>2331</v>
      </c>
      <c r="F1251" s="1587"/>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984" zoomScale="130" zoomScaleNormal="130" workbookViewId="0">
      <selection activeCell="AF984" sqref="AF984:AI98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1">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00" t="s">
        <v>859</v>
      </c>
      <c r="B9" s="2000"/>
      <c r="C9" s="2000"/>
      <c r="D9" s="2000"/>
      <c r="E9" s="2000"/>
      <c r="F9" s="2000"/>
      <c r="G9" s="2000"/>
      <c r="H9" s="2000"/>
      <c r="I9" s="2000"/>
      <c r="J9" s="2000"/>
      <c r="K9" s="2000"/>
      <c r="L9" s="2000"/>
      <c r="M9" s="2000"/>
      <c r="N9" s="2000"/>
      <c r="O9" s="2000"/>
      <c r="P9" s="2000"/>
      <c r="Q9" s="2000"/>
      <c r="R9" s="2000"/>
      <c r="S9" s="2000"/>
      <c r="T9" s="2000"/>
      <c r="U9" s="2000"/>
      <c r="V9" s="2000"/>
      <c r="W9" s="2000"/>
      <c r="X9" s="2000"/>
      <c r="Y9" s="2000"/>
      <c r="Z9" s="2000"/>
      <c r="AA9" s="2000"/>
      <c r="AB9" s="2000"/>
      <c r="AC9" s="2000"/>
      <c r="AD9" s="2000"/>
      <c r="AE9" s="2000"/>
      <c r="AF9" s="2000"/>
      <c r="AG9" s="2000"/>
      <c r="AH9" s="2000"/>
      <c r="AI9" s="2000"/>
      <c r="AJ9" s="2000"/>
      <c r="AK9" s="2000"/>
      <c r="AL9" s="2000"/>
    </row>
    <row r="10" spans="1:45" ht="15" customHeight="1">
      <c r="A10" s="2002" t="s">
        <v>2283</v>
      </c>
      <c r="B10" s="2002"/>
      <c r="C10" s="2002"/>
      <c r="D10" s="2002"/>
      <c r="E10" s="2002"/>
      <c r="F10" s="2002"/>
      <c r="G10" s="2002"/>
      <c r="H10" s="2002"/>
      <c r="I10" s="2002"/>
      <c r="J10" s="2002"/>
      <c r="K10" s="2002"/>
      <c r="L10" s="2002"/>
      <c r="M10" s="2002"/>
      <c r="N10" s="2002"/>
      <c r="O10" s="2002"/>
      <c r="P10" s="2002"/>
      <c r="Q10" s="2002"/>
      <c r="R10" s="2002"/>
      <c r="S10" s="2002"/>
      <c r="T10" s="2002"/>
      <c r="U10" s="2002"/>
      <c r="V10" s="2002"/>
      <c r="W10" s="2002"/>
      <c r="X10" s="2002"/>
      <c r="Y10" s="2002"/>
      <c r="Z10" s="2002"/>
      <c r="AA10" s="2002"/>
      <c r="AB10" s="2002"/>
      <c r="AC10" s="2002"/>
      <c r="AD10" s="2002"/>
      <c r="AE10" s="2002"/>
      <c r="AF10" s="2002"/>
      <c r="AG10" s="2002"/>
      <c r="AH10" s="2002"/>
      <c r="AI10" s="2002"/>
      <c r="AJ10" s="2002"/>
      <c r="AK10" s="2002"/>
      <c r="AL10" s="2002"/>
    </row>
    <row r="11" spans="1:45" s="622" customFormat="1" ht="12.75">
      <c r="A11" s="2003" t="s">
        <v>2336</v>
      </c>
      <c r="B11" s="2004"/>
      <c r="C11" s="2004"/>
      <c r="D11" s="2004"/>
      <c r="E11" s="2004"/>
      <c r="F11" s="2004"/>
      <c r="G11" s="2004"/>
      <c r="H11" s="2004"/>
      <c r="I11" s="2004"/>
      <c r="J11" s="2004"/>
      <c r="K11" s="2004"/>
      <c r="L11" s="2004"/>
      <c r="M11" s="2004"/>
      <c r="N11" s="2004"/>
      <c r="O11" s="2004"/>
      <c r="P11" s="2004"/>
      <c r="Q11" s="2004"/>
      <c r="R11" s="2004"/>
      <c r="S11" s="2004"/>
      <c r="T11" s="2004"/>
      <c r="U11" s="2004"/>
      <c r="V11" s="2004"/>
      <c r="W11" s="2004"/>
      <c r="X11" s="2004"/>
      <c r="Y11" s="2004"/>
      <c r="Z11" s="2004"/>
      <c r="AA11" s="2004"/>
      <c r="AB11" s="2004"/>
      <c r="AC11" s="2004"/>
      <c r="AD11" s="2004"/>
      <c r="AE11" s="2004"/>
      <c r="AF11" s="2004"/>
      <c r="AG11" s="2004"/>
      <c r="AH11" s="2004"/>
      <c r="AI11" s="2004"/>
      <c r="AJ11" s="2004"/>
      <c r="AK11" s="2004"/>
      <c r="AL11" s="2004"/>
    </row>
    <row r="12" spans="1:45" ht="12.75">
      <c r="A12" s="1524" t="s">
        <v>2067</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45"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679" t="s">
        <v>2337</v>
      </c>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row>
    <row r="16" spans="1:45" ht="12.75" customHeight="1"/>
    <row r="17" spans="1:40" ht="12.75" customHeight="1">
      <c r="A17" s="142" t="s">
        <v>860</v>
      </c>
      <c r="C17" s="8"/>
      <c r="D17" s="8"/>
      <c r="E17" s="8"/>
      <c r="F17" s="8"/>
      <c r="G17" s="8"/>
      <c r="H17" s="1673" t="s">
        <v>2338</v>
      </c>
      <c r="I17" s="1668"/>
      <c r="J17" s="1668"/>
      <c r="K17" s="1668"/>
      <c r="L17" s="1668"/>
      <c r="M17" s="1668"/>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row>
    <row r="18" spans="1:40" ht="12.75" customHeight="1"/>
    <row r="19" spans="1:40" ht="15" customHeight="1">
      <c r="A19" s="1545" t="s">
        <v>1188</v>
      </c>
      <c r="B19" s="1545"/>
      <c r="C19" s="1545"/>
      <c r="D19" s="1545"/>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545"/>
    </row>
    <row r="20" spans="1:40" ht="12.75" customHeight="1">
      <c r="A20" s="2005" t="s">
        <v>1461</v>
      </c>
      <c r="B20" s="2005"/>
      <c r="C20" s="2005"/>
      <c r="D20" s="2005"/>
      <c r="E20" s="2005"/>
      <c r="F20" s="2005"/>
      <c r="G20" s="2005"/>
      <c r="H20" s="2005"/>
      <c r="I20" s="2005"/>
      <c r="J20" s="2005"/>
      <c r="K20" s="2005"/>
      <c r="L20" s="2005"/>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7">
        <f>ROUND('Basis &amp; Credits'!AB55,0)</f>
        <v>2500000</v>
      </c>
      <c r="N25" s="1987"/>
      <c r="O25" s="1987"/>
      <c r="P25" s="1987"/>
      <c r="Q25" s="1987"/>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7">
        <f>'Basis &amp; Credits'!AB76</f>
        <v>4114574</v>
      </c>
      <c r="N27" s="1987"/>
      <c r="O27" s="1987"/>
      <c r="P27" s="1987"/>
      <c r="Q27" s="1987"/>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32" t="s">
        <v>118</v>
      </c>
      <c r="P33" s="1670"/>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7"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7"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7"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7"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7"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8"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7"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7"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0"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851"/>
      <c r="H128" s="1851"/>
      <c r="I128" s="72" t="s">
        <v>457</v>
      </c>
      <c r="J128" s="72"/>
      <c r="L128" s="1842"/>
      <c r="M128" s="1843"/>
      <c r="N128" s="1843"/>
      <c r="O128" s="72" t="s">
        <v>2293</v>
      </c>
      <c r="P128" s="72"/>
      <c r="Q128" s="72"/>
      <c r="R128" s="72"/>
      <c r="S128" s="72"/>
      <c r="T128" s="72"/>
      <c r="U128" s="72"/>
      <c r="V128" s="72"/>
      <c r="W128" s="72"/>
      <c r="X128" s="72" t="s">
        <v>459</v>
      </c>
      <c r="Y128" s="1304"/>
      <c r="Z128" s="1304"/>
      <c r="AA128" s="1304"/>
      <c r="AB128" s="1304"/>
      <c r="AC128" s="1304"/>
      <c r="AD128" s="1304"/>
      <c r="AE128" s="1304"/>
      <c r="AF128" s="1304"/>
      <c r="AG128" s="1304"/>
      <c r="AH128" s="1304"/>
      <c r="AI128" s="1304"/>
      <c r="AJ128" s="1304"/>
      <c r="AK128" s="1304"/>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1843"/>
      <c r="D130" s="1843"/>
      <c r="E130" s="1843"/>
      <c r="F130" s="1843"/>
      <c r="G130" s="1843"/>
      <c r="H130" s="1843"/>
      <c r="I130" s="1843"/>
      <c r="J130" s="1843"/>
      <c r="K130" s="1843"/>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3"/>
      <c r="Z131" s="1668"/>
      <c r="AA131" s="1668"/>
      <c r="AB131" s="1668"/>
      <c r="AC131" s="1668"/>
      <c r="AD131" s="1668"/>
      <c r="AE131" s="1668"/>
      <c r="AF131" s="1668"/>
      <c r="AG131" s="1668"/>
      <c r="AH131" s="1668"/>
      <c r="AI131" s="1668"/>
      <c r="AJ131" s="1668"/>
      <c r="AK131" s="166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8"/>
      <c r="B134" s="1298"/>
      <c r="C134" s="72"/>
      <c r="D134" s="72"/>
      <c r="E134" s="72"/>
      <c r="F134" s="72"/>
      <c r="G134" s="72"/>
      <c r="H134" s="72"/>
      <c r="I134" s="72"/>
      <c r="J134" s="72"/>
      <c r="K134" s="72"/>
      <c r="L134" s="72"/>
      <c r="M134" s="72"/>
      <c r="N134" s="72"/>
      <c r="O134" s="72"/>
      <c r="P134" s="72"/>
      <c r="Q134" s="72"/>
      <c r="R134" s="72"/>
      <c r="S134" s="72"/>
      <c r="T134" s="72"/>
      <c r="U134" s="72"/>
      <c r="V134" s="72"/>
      <c r="W134" s="72"/>
      <c r="X134" s="72"/>
      <c r="Y134" s="1673"/>
      <c r="Z134" s="1668"/>
      <c r="AA134" s="1668"/>
      <c r="AB134" s="1668"/>
      <c r="AC134" s="1668"/>
      <c r="AD134" s="1668"/>
      <c r="AE134" s="1668"/>
      <c r="AF134" s="1668"/>
      <c r="AG134" s="1668"/>
      <c r="AH134" s="1668"/>
      <c r="AI134" s="1668"/>
      <c r="AJ134" s="1668"/>
      <c r="AK134" s="1668"/>
      <c r="AL134" s="1289"/>
      <c r="AM134" s="1289"/>
      <c r="AN134" s="1289"/>
      <c r="AO134" s="1289"/>
      <c r="AP134" s="1289"/>
      <c r="AQ134" s="1289"/>
      <c r="AR134" s="1289"/>
      <c r="AS134" s="1289"/>
      <c r="AT134" s="1289"/>
      <c r="AU134" s="1289"/>
      <c r="AV134" s="1289"/>
      <c r="AW134" s="1289"/>
      <c r="AX134" s="1289"/>
      <c r="AY134" s="1289"/>
      <c r="AZ134" s="1289"/>
      <c r="BA134" s="1289"/>
      <c r="BB134" s="1289"/>
      <c r="BC134" s="1289"/>
      <c r="BD134" s="1289"/>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73" t="s">
        <v>2339</v>
      </c>
      <c r="P156" s="1668"/>
      <c r="Q156" s="1668"/>
      <c r="R156" s="1668"/>
      <c r="S156" s="1668"/>
      <c r="T156" s="1668"/>
      <c r="U156" s="1668"/>
      <c r="V156" s="1668"/>
      <c r="W156" s="1668"/>
      <c r="X156" s="1668"/>
      <c r="Y156" s="1668"/>
      <c r="Z156" s="1668"/>
      <c r="AA156" s="1668"/>
      <c r="AB156" s="1668"/>
      <c r="AC156" s="1668"/>
      <c r="AD156" s="1668"/>
      <c r="AE156" s="1668"/>
      <c r="AF156" s="1668"/>
      <c r="AG156" s="1668"/>
      <c r="AH156" s="1668"/>
      <c r="BT156" s="16" t="s">
        <v>85</v>
      </c>
    </row>
    <row r="157" spans="1:72" ht="12.75" customHeight="1">
      <c r="D157" s="711" t="s">
        <v>598</v>
      </c>
      <c r="F157" s="42"/>
      <c r="G157" s="42"/>
      <c r="H157" s="42"/>
      <c r="I157" s="42"/>
      <c r="J157" s="42"/>
      <c r="K157" s="42"/>
      <c r="L157" s="42"/>
      <c r="M157" s="42"/>
      <c r="N157" s="42"/>
      <c r="O157" s="1665" t="s">
        <v>2340</v>
      </c>
      <c r="P157" s="1676"/>
      <c r="Q157" s="1676"/>
      <c r="R157" s="1676"/>
      <c r="S157" s="1676"/>
      <c r="T157" s="1676"/>
      <c r="U157" s="1676"/>
      <c r="V157" s="1676"/>
      <c r="W157" s="1676"/>
      <c r="X157" s="1676"/>
      <c r="Y157" s="1676"/>
      <c r="Z157" s="1676"/>
      <c r="AA157" s="1676"/>
      <c r="AB157" s="1676"/>
      <c r="AC157" s="1676"/>
      <c r="AD157" s="1676"/>
      <c r="AE157" s="1676"/>
      <c r="AF157" s="1676"/>
      <c r="AG157" s="1676"/>
      <c r="AH157" s="1676"/>
      <c r="AI157" s="16" t="s">
        <v>770</v>
      </c>
      <c r="BN157" s="47" t="s">
        <v>467</v>
      </c>
      <c r="BT157" s="16" t="s">
        <v>32</v>
      </c>
    </row>
    <row r="158" spans="1:72" ht="12.75" customHeight="1">
      <c r="D158" s="17" t="s">
        <v>599</v>
      </c>
      <c r="F158" s="17"/>
      <c r="G158" s="17"/>
      <c r="H158" s="17"/>
      <c r="I158" s="17"/>
      <c r="J158" s="17"/>
      <c r="K158" s="17"/>
      <c r="L158" s="17"/>
      <c r="M158" s="17"/>
      <c r="N158" s="17"/>
      <c r="O158" s="1839" t="s">
        <v>600</v>
      </c>
      <c r="P158" s="1840"/>
      <c r="Q158" s="1840"/>
      <c r="R158" s="1840"/>
      <c r="S158" s="1840"/>
      <c r="T158" s="1840"/>
      <c r="U158" s="1840"/>
      <c r="V158" s="1840"/>
      <c r="W158" s="1840"/>
      <c r="X158" s="1840"/>
      <c r="Y158" s="1840"/>
      <c r="Z158" s="1840"/>
      <c r="AA158" s="1840"/>
      <c r="AB158" s="1840"/>
      <c r="AC158" s="1840"/>
      <c r="AD158" s="1840"/>
      <c r="AE158" s="1840"/>
      <c r="AF158" s="1840"/>
      <c r="AG158" s="1840"/>
      <c r="AH158" s="1840"/>
      <c r="BN158" s="47" t="s">
        <v>468</v>
      </c>
      <c r="BT158" s="16" t="s">
        <v>33</v>
      </c>
    </row>
    <row r="159" spans="1:72" ht="12.75" customHeight="1">
      <c r="D159" s="42" t="s">
        <v>708</v>
      </c>
      <c r="F159" s="42"/>
      <c r="G159" s="42"/>
      <c r="H159" s="42"/>
      <c r="I159" s="42"/>
      <c r="J159" s="42"/>
      <c r="K159" s="42"/>
      <c r="L159" s="42"/>
      <c r="M159" s="42"/>
      <c r="N159" s="42"/>
      <c r="O159" s="1673" t="s">
        <v>2341</v>
      </c>
      <c r="P159" s="1672"/>
      <c r="Q159" s="1672"/>
      <c r="R159" s="1672"/>
      <c r="S159" s="1672"/>
      <c r="T159" s="1672"/>
      <c r="U159" s="1672"/>
      <c r="V159" s="1672"/>
      <c r="W159" s="1672"/>
      <c r="X159" s="1672"/>
      <c r="Y159" s="1672"/>
      <c r="Z159" s="1672"/>
      <c r="AA159" s="1672"/>
      <c r="AB159" s="1672"/>
      <c r="AC159" s="1672"/>
      <c r="AD159" s="1672"/>
      <c r="AE159" s="1672"/>
      <c r="AF159" s="1672"/>
      <c r="AG159" s="1672"/>
      <c r="AH159" s="1672"/>
      <c r="BN159" s="47" t="s">
        <v>79</v>
      </c>
      <c r="BT159" s="16" t="s">
        <v>428</v>
      </c>
    </row>
    <row r="160" spans="1:72" ht="12.75" customHeight="1">
      <c r="D160" s="42" t="s">
        <v>709</v>
      </c>
      <c r="F160" s="42"/>
      <c r="G160" s="42"/>
      <c r="H160" s="42"/>
      <c r="I160" s="42"/>
      <c r="J160" s="42"/>
      <c r="K160" s="42"/>
      <c r="L160" s="42"/>
      <c r="M160" s="42"/>
      <c r="N160" s="42"/>
      <c r="O160" s="1673" t="s">
        <v>2342</v>
      </c>
      <c r="P160" s="1668"/>
      <c r="Q160" s="1668"/>
      <c r="R160" s="1668"/>
      <c r="S160" s="1668"/>
      <c r="T160" s="1668"/>
      <c r="U160" s="1668"/>
      <c r="V160" s="1668"/>
      <c r="W160" s="1668"/>
      <c r="X160" s="1668"/>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1846">
        <v>94301</v>
      </c>
      <c r="P161" s="1846"/>
      <c r="Q161" s="1846"/>
      <c r="R161" s="1846"/>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1515" t="s">
        <v>2343</v>
      </c>
      <c r="P162" s="1516"/>
      <c r="Q162" s="1516"/>
      <c r="R162" s="1516"/>
      <c r="S162" s="1516"/>
      <c r="T162" s="1516"/>
      <c r="V162" s="271" t="s">
        <v>12</v>
      </c>
      <c r="W162" s="1847"/>
      <c r="X162" s="1847"/>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1516" t="s">
        <v>2360</v>
      </c>
      <c r="P163" s="1516"/>
      <c r="Q163" s="1516"/>
      <c r="R163" s="1516"/>
      <c r="S163" s="1516"/>
      <c r="T163" s="1516"/>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1682" t="s">
        <v>2344</v>
      </c>
      <c r="P164" s="1682"/>
      <c r="Q164" s="1682"/>
      <c r="R164" s="1682"/>
      <c r="S164" s="1682"/>
      <c r="T164" s="1682"/>
      <c r="U164" s="1682"/>
      <c r="V164" s="1682"/>
      <c r="W164" s="1682"/>
      <c r="X164" s="1682"/>
      <c r="Y164" s="1682"/>
      <c r="Z164" s="1682"/>
      <c r="AA164" s="1682"/>
      <c r="AB164" s="1682"/>
      <c r="AC164" s="1682"/>
      <c r="AD164" s="1682"/>
      <c r="AE164" s="1682"/>
      <c r="AF164" s="1682"/>
      <c r="AG164" s="1682"/>
      <c r="AH164" s="1682"/>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5" t="s">
        <v>2125</v>
      </c>
      <c r="E167" s="1845"/>
      <c r="F167" s="1845"/>
      <c r="G167" s="1845"/>
      <c r="H167" s="1845"/>
      <c r="I167" s="1845"/>
      <c r="J167" s="1845"/>
      <c r="K167" s="1845"/>
      <c r="L167" s="1845"/>
      <c r="M167" s="1845"/>
      <c r="N167" s="1845"/>
      <c r="O167" s="1845"/>
      <c r="P167" s="1845"/>
      <c r="Q167" s="1845"/>
      <c r="R167" s="1845"/>
      <c r="S167" s="1845"/>
      <c r="T167" s="1845"/>
      <c r="U167" s="1845"/>
      <c r="V167" s="1845"/>
      <c r="W167" s="1845"/>
      <c r="X167" s="1845"/>
      <c r="Y167" s="1845"/>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1677" t="s">
        <v>419</v>
      </c>
      <c r="B169" s="1677"/>
      <c r="C169" s="1677"/>
      <c r="D169" s="1677"/>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D169" s="1677"/>
      <c r="AE169" s="1677"/>
      <c r="AF169" s="1677"/>
      <c r="AG169" s="1677"/>
      <c r="AH169" s="1677"/>
      <c r="AI169" s="1677"/>
      <c r="AJ169" s="1677"/>
      <c r="AK169" s="1677"/>
      <c r="AL169" s="1677"/>
      <c r="BN169" s="47" t="s">
        <v>531</v>
      </c>
      <c r="BT169" s="16" t="s">
        <v>438</v>
      </c>
    </row>
    <row r="170" spans="1:72" ht="12.75" customHeight="1" thickBot="1">
      <c r="A170" s="1678"/>
      <c r="B170" s="1678"/>
      <c r="C170" s="1678"/>
      <c r="D170" s="1678"/>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D170" s="1678"/>
      <c r="AE170" s="1678"/>
      <c r="AF170" s="1678"/>
      <c r="AG170" s="1678"/>
      <c r="AH170" s="1678"/>
      <c r="AI170" s="1678"/>
      <c r="AJ170" s="1678"/>
      <c r="AK170" s="1678"/>
      <c r="AL170" s="1678"/>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1841" t="s">
        <v>559</v>
      </c>
      <c r="K173" s="1841"/>
      <c r="L173" s="1841"/>
      <c r="M173" s="1841"/>
      <c r="N173" s="1841"/>
      <c r="O173" s="1841"/>
      <c r="P173" s="1841"/>
      <c r="Q173" s="1841"/>
      <c r="R173" s="1841"/>
      <c r="S173" s="1841"/>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670"/>
      <c r="V174" s="1670"/>
      <c r="W174" s="3"/>
      <c r="X174" s="3"/>
      <c r="Y174" s="3"/>
      <c r="Z174" s="3"/>
      <c r="AA174" s="3"/>
      <c r="AH174" s="35"/>
      <c r="AJ174" s="3"/>
      <c r="AK174" s="3"/>
      <c r="AL174" s="3"/>
      <c r="BN174" s="47" t="s">
        <v>655</v>
      </c>
      <c r="BT174" s="16" t="s">
        <v>443</v>
      </c>
    </row>
    <row r="175" spans="1:72" ht="12.75">
      <c r="A175" s="35"/>
      <c r="C175" s="17"/>
      <c r="D175" s="52"/>
      <c r="E175" s="16" t="s">
        <v>254</v>
      </c>
      <c r="O175" s="53"/>
      <c r="P175" s="35" t="s">
        <v>255</v>
      </c>
      <c r="Q175" s="35"/>
      <c r="R175" s="35"/>
      <c r="S175" s="35" t="s">
        <v>256</v>
      </c>
      <c r="U175" s="1828"/>
      <c r="V175" s="1828"/>
      <c r="W175" s="4" t="s">
        <v>257</v>
      </c>
      <c r="X175" s="1844"/>
      <c r="Y175" s="1844"/>
      <c r="Z175" s="35"/>
      <c r="AC175" s="35"/>
      <c r="AD175" s="35"/>
      <c r="AE175" s="35"/>
      <c r="AF175" s="35"/>
      <c r="AH175" s="35"/>
      <c r="AJ175" s="3"/>
      <c r="AK175" s="3"/>
      <c r="AL175" s="3"/>
      <c r="BN175" s="47" t="s">
        <v>656</v>
      </c>
      <c r="BT175" s="16" t="s">
        <v>444</v>
      </c>
    </row>
    <row r="176" spans="1:72" ht="12.75">
      <c r="A176" s="35"/>
      <c r="C176" s="54"/>
      <c r="D176" s="35" t="s">
        <v>305</v>
      </c>
      <c r="E176" s="35"/>
      <c r="F176" s="35"/>
      <c r="G176" s="35"/>
      <c r="H176" s="35"/>
      <c r="I176" s="35"/>
      <c r="J176" s="35"/>
      <c r="K176" s="35"/>
      <c r="L176" s="35"/>
      <c r="M176" s="35"/>
      <c r="N176" s="35"/>
      <c r="O176" s="35"/>
      <c r="S176" s="35"/>
      <c r="T176" s="3"/>
      <c r="U176" s="1670"/>
      <c r="V176" s="1670"/>
      <c r="W176" s="3"/>
      <c r="X176" s="3"/>
      <c r="Y176" s="3"/>
      <c r="AD176" s="35"/>
      <c r="AF176" s="35"/>
      <c r="AH176" s="35"/>
      <c r="AJ176" s="3"/>
      <c r="AK176" s="3"/>
      <c r="AL176" s="3"/>
      <c r="BN176" s="47" t="s">
        <v>658</v>
      </c>
      <c r="BT176" s="16" t="s">
        <v>445</v>
      </c>
    </row>
    <row r="177" spans="1:72" ht="12.75">
      <c r="A177" s="35"/>
      <c r="C177" s="54"/>
      <c r="D177" s="578" t="s">
        <v>1332</v>
      </c>
      <c r="AD177" s="35"/>
      <c r="AF177" s="35"/>
      <c r="AH177" s="35"/>
      <c r="AJ177" s="3"/>
      <c r="AK177" s="3"/>
      <c r="AL177" s="3"/>
      <c r="BN177" s="47" t="s">
        <v>659</v>
      </c>
      <c r="BT177" s="16" t="s">
        <v>446</v>
      </c>
    </row>
    <row r="178" spans="1:72" ht="12.75">
      <c r="A178" s="35"/>
      <c r="C178" s="54"/>
      <c r="E178" s="759" t="s">
        <v>255</v>
      </c>
      <c r="F178" s="579"/>
      <c r="G178" s="759"/>
      <c r="H178" s="759" t="s">
        <v>256</v>
      </c>
      <c r="I178" s="579"/>
      <c r="J178" s="1996"/>
      <c r="K178" s="1996"/>
      <c r="L178" s="758" t="s">
        <v>257</v>
      </c>
      <c r="M178" s="1850"/>
      <c r="N178" s="1850"/>
      <c r="O178" s="579"/>
      <c r="P178" s="579"/>
      <c r="Q178" s="579"/>
      <c r="R178" s="579"/>
      <c r="U178" s="720" t="s">
        <v>1333</v>
      </c>
      <c r="V178" s="579"/>
      <c r="W178" s="759"/>
      <c r="X178" s="759"/>
      <c r="Y178" s="759"/>
      <c r="Z178" s="759"/>
      <c r="AA178" s="759"/>
      <c r="AB178" s="759"/>
      <c r="AD178" s="1997"/>
      <c r="AE178" s="1997"/>
      <c r="AF178" s="1997"/>
      <c r="AG178" s="1997"/>
      <c r="AH178" s="1997"/>
      <c r="AJ178" s="3"/>
      <c r="AK178" s="3"/>
      <c r="AL178" s="3"/>
      <c r="BN178" s="47" t="s">
        <v>660</v>
      </c>
      <c r="BT178" s="16" t="s">
        <v>447</v>
      </c>
    </row>
    <row r="179" spans="1:72" ht="12.75">
      <c r="A179" s="35"/>
      <c r="C179" s="54"/>
      <c r="AE179" s="35"/>
      <c r="AJ179" s="3"/>
      <c r="AK179" s="3"/>
      <c r="AL179" s="3"/>
      <c r="BN179" s="47" t="s">
        <v>661</v>
      </c>
      <c r="BT179" s="16" t="s">
        <v>448</v>
      </c>
    </row>
    <row r="180" spans="1:72" ht="12.75">
      <c r="A180" s="35"/>
      <c r="C180" s="55"/>
      <c r="D180" s="3" t="s">
        <v>601</v>
      </c>
      <c r="O180" s="579"/>
      <c r="P180" s="759"/>
      <c r="Q180" s="579"/>
      <c r="R180" s="579"/>
      <c r="Y180" s="1670"/>
      <c r="Z180" s="1831"/>
      <c r="AE180" s="35"/>
      <c r="AJ180" s="3"/>
      <c r="AK180" s="3"/>
      <c r="AL180" s="3"/>
      <c r="BN180" s="47" t="s">
        <v>663</v>
      </c>
      <c r="BT180" s="16" t="s">
        <v>449</v>
      </c>
    </row>
    <row r="181" spans="1:72" ht="12.75">
      <c r="A181" s="35"/>
      <c r="C181" s="55"/>
      <c r="D181" s="57"/>
      <c r="E181" s="578" t="s">
        <v>1331</v>
      </c>
      <c r="R181" s="579"/>
      <c r="Z181" s="35"/>
      <c r="AA181" s="35"/>
      <c r="AE181" s="35"/>
      <c r="AF181" s="35"/>
      <c r="AH181" s="35"/>
      <c r="AJ181" s="3"/>
      <c r="AK181" s="3"/>
      <c r="AL181" s="3"/>
      <c r="BN181" s="47" t="s">
        <v>664</v>
      </c>
      <c r="BT181" s="16" t="s">
        <v>450</v>
      </c>
    </row>
    <row r="182" spans="1:72" ht="12.75">
      <c r="A182" s="35"/>
      <c r="C182" s="55"/>
      <c r="D182" s="56"/>
      <c r="E182" s="35"/>
      <c r="AJ182" s="3"/>
      <c r="AK182" s="3"/>
      <c r="AL182" s="3"/>
      <c r="BN182" s="47" t="s">
        <v>665</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2.75">
      <c r="A184" s="35"/>
      <c r="C184" s="58"/>
      <c r="D184" s="35" t="s">
        <v>10</v>
      </c>
      <c r="E184" s="35"/>
      <c r="F184" s="35"/>
      <c r="G184" s="35"/>
      <c r="H184" s="35"/>
      <c r="I184" s="1834" t="str">
        <f>H17</f>
        <v>Mitchell Park Place</v>
      </c>
      <c r="J184" s="1834"/>
      <c r="K184" s="1834"/>
      <c r="L184" s="1834"/>
      <c r="M184" s="1834"/>
      <c r="N184" s="1834"/>
      <c r="O184" s="1834"/>
      <c r="P184" s="1834"/>
      <c r="Q184" s="1834"/>
      <c r="R184" s="1834"/>
      <c r="S184" s="1834"/>
      <c r="T184" s="1834"/>
      <c r="U184" s="1834"/>
      <c r="V184" s="1834"/>
      <c r="W184" s="1834"/>
      <c r="X184" s="1834"/>
      <c r="Y184" s="1834"/>
      <c r="Z184" s="1834"/>
      <c r="AA184" s="1834"/>
      <c r="AB184" s="1834"/>
      <c r="AC184" s="1834"/>
      <c r="AD184" s="1834"/>
      <c r="AE184" s="1834"/>
      <c r="AF184" s="35"/>
      <c r="AH184" s="35"/>
      <c r="AJ184" s="3"/>
      <c r="AK184" s="3"/>
      <c r="AL184" s="3"/>
      <c r="BC184" s="35" t="s">
        <v>130</v>
      </c>
      <c r="BN184" s="47" t="s">
        <v>630</v>
      </c>
      <c r="BT184" s="16" t="s">
        <v>453</v>
      </c>
    </row>
    <row r="185" spans="1:72" ht="12.75">
      <c r="A185" s="35"/>
      <c r="C185" s="58"/>
      <c r="D185" s="35" t="s">
        <v>474</v>
      </c>
      <c r="E185" s="35"/>
      <c r="F185" s="35"/>
      <c r="G185" s="35"/>
      <c r="H185" s="35"/>
      <c r="I185" s="1665" t="s">
        <v>2345</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131</v>
      </c>
      <c r="BN185" s="47" t="s">
        <v>631</v>
      </c>
      <c r="BT185" s="16" t="s">
        <v>912</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98"/>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633</v>
      </c>
      <c r="BT187" s="16" t="s">
        <v>914</v>
      </c>
    </row>
    <row r="188" spans="1:72" ht="12.75">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635</v>
      </c>
      <c r="BT188" s="16" t="s">
        <v>915</v>
      </c>
    </row>
    <row r="189" spans="1:72" ht="12.75">
      <c r="A189" s="35"/>
      <c r="C189" s="58"/>
      <c r="D189" s="35" t="s">
        <v>475</v>
      </c>
      <c r="E189" s="35"/>
      <c r="I189" s="1673" t="s">
        <v>2342</v>
      </c>
      <c r="J189" s="1672"/>
      <c r="K189" s="1672"/>
      <c r="L189" s="1672"/>
      <c r="M189" s="1672"/>
      <c r="N189" s="1672"/>
      <c r="O189" s="1672"/>
      <c r="P189" s="1672"/>
      <c r="Q189" s="35" t="s">
        <v>477</v>
      </c>
      <c r="T189" s="1672" t="s">
        <v>877</v>
      </c>
      <c r="U189" s="1672"/>
      <c r="V189" s="1672"/>
      <c r="W189" s="1672"/>
      <c r="X189" s="1672"/>
      <c r="Y189" s="1672"/>
      <c r="Z189" s="1672"/>
      <c r="AA189" s="1672"/>
      <c r="AB189" s="1672"/>
      <c r="AC189" s="1672"/>
      <c r="AD189" s="1672"/>
      <c r="AE189" s="1672"/>
      <c r="AH189" s="35"/>
      <c r="AJ189" s="3"/>
      <c r="AK189" s="3"/>
      <c r="AL189" s="3"/>
      <c r="BC189" s="16" t="s">
        <v>85</v>
      </c>
      <c r="BH189" s="72" t="s">
        <v>134</v>
      </c>
      <c r="BN189" s="47" t="s">
        <v>636</v>
      </c>
      <c r="BT189" s="16" t="s">
        <v>119</v>
      </c>
    </row>
    <row r="190" spans="1:72" ht="12.75">
      <c r="A190" s="35"/>
      <c r="C190" s="59"/>
      <c r="D190" s="35" t="s">
        <v>478</v>
      </c>
      <c r="E190" s="35"/>
      <c r="F190" s="35"/>
      <c r="G190" s="35"/>
      <c r="I190" s="1666">
        <v>94306</v>
      </c>
      <c r="J190" s="1666"/>
      <c r="K190" s="1666"/>
      <c r="L190" s="1666"/>
      <c r="M190" s="1666"/>
      <c r="N190" s="1666"/>
      <c r="O190" s="35" t="s">
        <v>480</v>
      </c>
      <c r="P190" s="35"/>
      <c r="Q190" s="35"/>
      <c r="R190" s="35"/>
      <c r="S190" s="35"/>
      <c r="T190" s="1829">
        <v>5108.03</v>
      </c>
      <c r="U190" s="1829"/>
      <c r="V190" s="1829"/>
      <c r="W190" s="1829"/>
      <c r="X190" s="1829"/>
      <c r="Y190" s="1829"/>
      <c r="Z190" s="1829"/>
      <c r="AA190" s="1829"/>
      <c r="AB190" s="1829"/>
      <c r="AC190" s="1829"/>
      <c r="AD190" s="1829"/>
      <c r="AE190" s="1829"/>
      <c r="AF190" s="35"/>
      <c r="AH190" s="35"/>
      <c r="AJ190" s="3"/>
      <c r="AK190" s="3"/>
      <c r="AL190" s="3"/>
      <c r="BC190" s="16" t="s">
        <v>724</v>
      </c>
      <c r="BH190" s="16" t="s">
        <v>724</v>
      </c>
      <c r="BN190" s="47" t="s">
        <v>466</v>
      </c>
      <c r="BT190" s="16" t="s">
        <v>120</v>
      </c>
    </row>
    <row r="191" spans="1:72" ht="12.75">
      <c r="A191" s="35"/>
      <c r="C191" s="59"/>
      <c r="D191" s="35" t="s">
        <v>91</v>
      </c>
      <c r="E191" s="35"/>
      <c r="F191" s="35"/>
      <c r="G191" s="35"/>
      <c r="H191" s="35"/>
      <c r="I191" s="35"/>
      <c r="J191" s="35"/>
      <c r="K191" s="35"/>
      <c r="L191" s="35"/>
      <c r="M191" s="35"/>
      <c r="N191" s="2007" t="s">
        <v>2347</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1548</v>
      </c>
      <c r="BH191" s="16" t="s">
        <v>1548</v>
      </c>
      <c r="BN191" s="47" t="s">
        <v>638</v>
      </c>
      <c r="BT191" s="16" t="s">
        <v>121</v>
      </c>
    </row>
    <row r="192" spans="1:72" ht="12.75">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725</v>
      </c>
      <c r="BH192" s="8" t="s">
        <v>1555</v>
      </c>
      <c r="BN192" s="47" t="s">
        <v>639</v>
      </c>
      <c r="BT192" s="16" t="s">
        <v>122</v>
      </c>
    </row>
    <row r="193" spans="1:73" ht="12.75">
      <c r="A193" s="35"/>
      <c r="C193" s="59"/>
      <c r="D193" s="3" t="s">
        <v>481</v>
      </c>
      <c r="E193" s="3"/>
      <c r="F193" s="3"/>
      <c r="G193" s="3"/>
      <c r="H193" s="3"/>
      <c r="I193" s="3"/>
      <c r="J193" s="3"/>
      <c r="K193" s="3"/>
      <c r="L193" s="3"/>
      <c r="M193" s="3"/>
      <c r="N193" s="35"/>
      <c r="O193" s="35"/>
      <c r="P193" s="35"/>
      <c r="Q193" s="35"/>
      <c r="R193" s="35"/>
      <c r="T193" s="1670" t="s">
        <v>118</v>
      </c>
      <c r="U193" s="1670"/>
      <c r="W193" s="72" t="s">
        <v>2084</v>
      </c>
      <c r="AA193" s="1837">
        <v>2022</v>
      </c>
      <c r="AB193" s="1837"/>
      <c r="AC193" s="1837"/>
      <c r="AJ193" s="3"/>
      <c r="AK193" s="3"/>
      <c r="AL193" s="3"/>
      <c r="BC193" s="16" t="s">
        <v>620</v>
      </c>
      <c r="BH193" s="8" t="s">
        <v>1556</v>
      </c>
      <c r="BN193" s="47" t="s">
        <v>640</v>
      </c>
      <c r="BT193" s="16" t="s">
        <v>123</v>
      </c>
    </row>
    <row r="194" spans="1:73" ht="12.75">
      <c r="A194" s="35"/>
      <c r="C194" s="59"/>
      <c r="D194" s="3" t="s">
        <v>128</v>
      </c>
      <c r="E194" s="3"/>
      <c r="F194" s="3"/>
      <c r="G194" s="3"/>
      <c r="H194" s="3"/>
      <c r="I194" s="3"/>
      <c r="J194" s="3"/>
      <c r="K194" s="3"/>
      <c r="L194" s="3"/>
      <c r="M194" s="3"/>
      <c r="N194" s="35"/>
      <c r="O194" s="35"/>
      <c r="P194" s="35"/>
      <c r="Q194" s="35"/>
      <c r="R194" s="35"/>
      <c r="T194" s="1725" t="s">
        <v>527</v>
      </c>
      <c r="U194" s="1725"/>
      <c r="W194" s="35" t="s">
        <v>67</v>
      </c>
      <c r="X194" s="35"/>
      <c r="Y194" s="35"/>
      <c r="Z194" s="35"/>
      <c r="AA194" s="35"/>
      <c r="AB194" s="35"/>
      <c r="AC194" s="35"/>
      <c r="AD194" s="35"/>
      <c r="AE194" s="35"/>
      <c r="AF194" s="35"/>
      <c r="AG194" s="35"/>
      <c r="AH194" s="35"/>
      <c r="AI194" s="1670" t="s">
        <v>527</v>
      </c>
      <c r="AJ194" s="1670"/>
      <c r="AK194" s="3"/>
      <c r="AL194" s="3"/>
      <c r="AX194" s="8" t="s">
        <v>134</v>
      </c>
      <c r="BC194" s="16" t="s">
        <v>676</v>
      </c>
      <c r="BN194" s="47" t="s">
        <v>816</v>
      </c>
      <c r="BT194" s="16" t="s">
        <v>124</v>
      </c>
    </row>
    <row r="195" spans="1:73" ht="12.75">
      <c r="A195" s="35"/>
      <c r="C195" s="59"/>
      <c r="D195" s="1069" t="s">
        <v>1898</v>
      </c>
      <c r="E195" s="3"/>
      <c r="F195" s="3"/>
      <c r="G195" s="3"/>
      <c r="H195" s="3"/>
      <c r="I195" s="3"/>
      <c r="J195" s="3"/>
      <c r="K195" s="3"/>
      <c r="L195" s="3"/>
      <c r="M195" s="3"/>
      <c r="N195" s="35"/>
      <c r="O195" s="35"/>
      <c r="P195" s="35"/>
      <c r="Q195" s="35"/>
      <c r="R195" s="35"/>
      <c r="T195" s="1725" t="s">
        <v>527</v>
      </c>
      <c r="U195" s="1725"/>
      <c r="X195" s="1307" t="s">
        <v>2106</v>
      </c>
      <c r="AJ195" s="3"/>
      <c r="AK195" s="3"/>
      <c r="AL195" s="3"/>
      <c r="AX195" s="8" t="s">
        <v>1243</v>
      </c>
      <c r="BN195" s="47" t="s">
        <v>817</v>
      </c>
      <c r="BT195" s="16" t="s">
        <v>125</v>
      </c>
    </row>
    <row r="196" spans="1:73" ht="12.75">
      <c r="A196" s="35"/>
      <c r="C196" s="59"/>
      <c r="D196" s="74" t="s">
        <v>1249</v>
      </c>
      <c r="E196" s="35"/>
      <c r="F196" s="35"/>
      <c r="G196" s="35"/>
      <c r="H196" s="35"/>
      <c r="I196" s="35"/>
      <c r="J196" s="35"/>
      <c r="K196" s="35"/>
      <c r="L196" s="35"/>
      <c r="M196" s="35"/>
      <c r="N196" s="35"/>
      <c r="O196" s="35"/>
      <c r="P196" s="35"/>
      <c r="Q196" s="35"/>
      <c r="R196" s="35"/>
      <c r="T196" s="1725" t="s">
        <v>118</v>
      </c>
      <c r="U196" s="1725"/>
      <c r="W196" s="3"/>
      <c r="X196" s="3"/>
      <c r="Y196" s="3"/>
      <c r="Z196" s="3"/>
      <c r="AA196" s="3"/>
      <c r="AB196" s="3"/>
      <c r="AC196" s="3"/>
      <c r="AD196" s="3"/>
      <c r="AE196" s="3"/>
      <c r="AF196" s="3"/>
      <c r="AG196" s="3"/>
      <c r="AH196" s="3"/>
      <c r="AI196" s="3"/>
      <c r="AJ196" s="3"/>
      <c r="AK196" s="1836"/>
      <c r="AL196" s="1836"/>
      <c r="AX196" s="8" t="s">
        <v>1244</v>
      </c>
      <c r="BN196" s="47" t="s">
        <v>818</v>
      </c>
      <c r="BT196" s="16" t="s">
        <v>126</v>
      </c>
    </row>
    <row r="197" spans="1:73" ht="12.75">
      <c r="A197" s="35"/>
      <c r="C197" s="59"/>
      <c r="D197" s="72" t="s">
        <v>2085</v>
      </c>
      <c r="T197" s="1670" t="s">
        <v>527</v>
      </c>
      <c r="U197" s="1670"/>
      <c r="AJ197" s="3"/>
      <c r="AK197" s="3"/>
      <c r="AL197" s="3"/>
      <c r="AX197" s="8" t="s">
        <v>1245</v>
      </c>
      <c r="BC197" s="16" t="s">
        <v>85</v>
      </c>
      <c r="BN197" s="47" t="s">
        <v>819</v>
      </c>
      <c r="BT197" s="16" t="s">
        <v>127</v>
      </c>
    </row>
    <row r="198" spans="1:73" ht="12.75">
      <c r="A198" s="35"/>
      <c r="C198" s="59"/>
      <c r="D198" s="1069" t="s">
        <v>2115</v>
      </c>
      <c r="W198" s="1832" t="s">
        <v>527</v>
      </c>
      <c r="X198" s="1670"/>
      <c r="AG198" s="35"/>
      <c r="AH198" s="3"/>
      <c r="AI198" s="3"/>
      <c r="AJ198" s="3"/>
      <c r="AK198" s="3"/>
      <c r="AL198" s="3"/>
      <c r="AX198" s="8" t="s">
        <v>1246</v>
      </c>
      <c r="BC198" s="623" t="s">
        <v>1190</v>
      </c>
      <c r="BN198" s="47" t="s">
        <v>820</v>
      </c>
      <c r="BT198" s="16" t="s">
        <v>876</v>
      </c>
    </row>
    <row r="199" spans="1:73" ht="12.75">
      <c r="A199" s="35"/>
      <c r="C199" s="59"/>
      <c r="D199" s="1069" t="s">
        <v>2248</v>
      </c>
      <c r="L199" s="1456"/>
      <c r="M199" s="1456"/>
      <c r="N199" s="1456"/>
      <c r="O199" s="1456"/>
      <c r="P199" s="1456"/>
      <c r="Q199" s="1456"/>
      <c r="R199" s="1835" t="s">
        <v>2240</v>
      </c>
      <c r="S199" s="1835"/>
      <c r="T199" s="1835"/>
      <c r="U199" s="1835"/>
      <c r="V199" s="1835"/>
      <c r="W199" s="1835"/>
      <c r="X199" s="1835"/>
      <c r="Y199" s="1835"/>
      <c r="Z199" s="1835"/>
      <c r="AA199" s="1835"/>
      <c r="AB199" s="1835"/>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616</v>
      </c>
      <c r="AB200" s="35"/>
      <c r="AC200" s="35"/>
      <c r="AE200" s="35"/>
      <c r="AF200" s="35"/>
      <c r="AG200" s="35"/>
      <c r="AH200" s="390"/>
      <c r="AI200" s="390"/>
      <c r="AJ200" s="3"/>
      <c r="AK200" s="3"/>
      <c r="AL200" s="3"/>
      <c r="AX200" s="72" t="s">
        <v>2281</v>
      </c>
      <c r="BC200" s="1056" t="s">
        <v>2282</v>
      </c>
      <c r="BN200" s="1490" t="s">
        <v>719</v>
      </c>
      <c r="BO200" s="65"/>
      <c r="BP200" s="68"/>
      <c r="BQ200" s="68"/>
      <c r="BR200" s="68"/>
      <c r="BS200" s="68"/>
      <c r="BT200" s="68" t="s">
        <v>878</v>
      </c>
    </row>
    <row r="201" spans="1:73" ht="12.75" customHeight="1">
      <c r="A201" s="35"/>
      <c r="C201" s="59"/>
      <c r="G201" s="1455"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2.75">
      <c r="A203" s="35"/>
      <c r="C203" s="35"/>
      <c r="D203" s="1834" t="str">
        <f>IF(AND(M25&gt;0,M27&gt;0),"Federal and State","Federal Only")</f>
        <v>Federal and State</v>
      </c>
      <c r="E203" s="1834"/>
      <c r="F203" s="1834"/>
      <c r="G203" s="1834"/>
      <c r="H203" s="1834"/>
      <c r="I203" s="1834"/>
      <c r="J203" s="1834"/>
      <c r="K203" s="1834"/>
      <c r="L203" s="1834"/>
      <c r="M203" s="1834"/>
      <c r="P203" s="2001">
        <f>M25</f>
        <v>2500000</v>
      </c>
      <c r="Q203" s="2001"/>
      <c r="R203" s="2001"/>
      <c r="S203" s="2001"/>
      <c r="T203" s="2001"/>
      <c r="U203" s="2001"/>
      <c r="V203" s="35"/>
      <c r="W203" s="2001">
        <f>M27</f>
        <v>4114574</v>
      </c>
      <c r="X203" s="2001"/>
      <c r="Y203" s="2001"/>
      <c r="Z203" s="2001"/>
      <c r="AA203" s="2001"/>
      <c r="AB203" s="2001"/>
      <c r="AD203" s="35"/>
      <c r="AE203" s="35"/>
      <c r="AF203" s="35"/>
      <c r="AG203" s="35"/>
      <c r="AH203" s="35"/>
      <c r="AI203" s="35"/>
      <c r="AJ203" s="3"/>
      <c r="AK203" s="3"/>
      <c r="AL203" s="3"/>
      <c r="AV203" s="16" t="s">
        <v>134</v>
      </c>
      <c r="AX203" s="8" t="s">
        <v>725</v>
      </c>
      <c r="BC203" s="3" t="s">
        <v>1562</v>
      </c>
      <c r="BN203" s="47" t="s">
        <v>722</v>
      </c>
      <c r="BT203" s="69" t="s">
        <v>881</v>
      </c>
      <c r="BU203" s="65"/>
    </row>
    <row r="204" spans="1:73" ht="12.75">
      <c r="A204" s="35"/>
      <c r="C204" s="58"/>
      <c r="E204" s="35"/>
      <c r="F204" s="35"/>
      <c r="G204" s="35"/>
      <c r="P204" s="1989" t="s">
        <v>190</v>
      </c>
      <c r="Q204" s="1989"/>
      <c r="R204" s="1989"/>
      <c r="S204" s="1989"/>
      <c r="T204" s="1989"/>
      <c r="U204" s="1989"/>
      <c r="V204" s="60"/>
      <c r="W204" s="1989" t="s">
        <v>191</v>
      </c>
      <c r="X204" s="1989"/>
      <c r="Y204" s="1989"/>
      <c r="Z204" s="1989"/>
      <c r="AA204" s="1989"/>
      <c r="AB204" s="1989"/>
      <c r="AD204" s="35"/>
      <c r="AE204" s="35"/>
      <c r="AF204" s="35"/>
      <c r="AG204" s="35"/>
      <c r="AH204" s="35"/>
      <c r="AI204" s="35"/>
      <c r="AJ204" s="3"/>
      <c r="AK204" s="3"/>
      <c r="AL204" s="3"/>
      <c r="AV204" s="16" t="s">
        <v>118</v>
      </c>
      <c r="AX204" s="8" t="s">
        <v>1497</v>
      </c>
      <c r="BC204" s="272" t="s">
        <v>935</v>
      </c>
      <c r="BN204" s="47" t="s">
        <v>723</v>
      </c>
      <c r="BT204" s="69" t="s">
        <v>882</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6"/>
      <c r="Y206" s="1317"/>
      <c r="Z206" s="1317"/>
      <c r="AA206" s="1317"/>
      <c r="AB206" s="1317"/>
      <c r="AC206" s="1317"/>
      <c r="AD206" s="1317"/>
      <c r="AE206" s="1317"/>
      <c r="AF206" s="1317"/>
      <c r="AG206" s="1317"/>
      <c r="AH206" s="1317"/>
      <c r="AI206" s="1317"/>
      <c r="AJ206" s="1317"/>
      <c r="AK206" s="1318"/>
      <c r="AL206" s="3"/>
      <c r="AX206" s="16" t="s">
        <v>85</v>
      </c>
      <c r="BC206" s="273" t="s">
        <v>1565</v>
      </c>
      <c r="BN206" s="47" t="s">
        <v>980</v>
      </c>
      <c r="BT206" s="69" t="s">
        <v>883</v>
      </c>
    </row>
    <row r="207" spans="1:73" ht="12.75">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19"/>
      <c r="Y207" s="1483"/>
      <c r="Z207" s="1320"/>
      <c r="AA207" s="1320"/>
      <c r="AB207" s="1320"/>
      <c r="AC207" s="1320"/>
      <c r="AD207" s="1320"/>
      <c r="AE207" s="1320"/>
      <c r="AF207" s="1320"/>
      <c r="AG207" s="1320"/>
      <c r="AH207" s="1320"/>
      <c r="AI207" s="1320"/>
      <c r="AJ207" s="1320"/>
      <c r="AK207" s="1321"/>
      <c r="AL207" s="3"/>
      <c r="AX207" s="16" t="s">
        <v>2240</v>
      </c>
      <c r="BC207" s="272" t="s">
        <v>1923</v>
      </c>
      <c r="BN207" s="47" t="s">
        <v>1</v>
      </c>
      <c r="BT207" s="69" t="s">
        <v>884</v>
      </c>
    </row>
    <row r="208" spans="1:73" ht="12.75">
      <c r="A208" s="35"/>
      <c r="C208" s="58"/>
      <c r="D208" s="1668" t="s">
        <v>2346</v>
      </c>
      <c r="E208" s="1668"/>
      <c r="F208" s="1668"/>
      <c r="G208" s="1668"/>
      <c r="H208" s="1668"/>
      <c r="I208" s="1668"/>
      <c r="J208" s="1668"/>
      <c r="K208" s="1668"/>
      <c r="L208" s="1668"/>
      <c r="M208" s="1668"/>
      <c r="N208" s="35"/>
      <c r="O208" s="35"/>
      <c r="P208" s="35"/>
      <c r="Q208" s="35"/>
      <c r="R208" s="35"/>
      <c r="S208" s="35"/>
      <c r="T208" s="35"/>
      <c r="U208" s="35"/>
      <c r="V208" s="35"/>
      <c r="W208" s="35"/>
      <c r="X208" s="1319"/>
      <c r="Y208" s="1484"/>
      <c r="Z208" s="1320"/>
      <c r="AA208" s="1320"/>
      <c r="AB208" s="1320"/>
      <c r="AC208" s="1320"/>
      <c r="AD208" s="1320"/>
      <c r="AE208" s="1320"/>
      <c r="AF208" s="1320"/>
      <c r="AG208" s="1320"/>
      <c r="AH208" s="1320"/>
      <c r="AI208" s="1320"/>
      <c r="AJ208" s="1320"/>
      <c r="AK208" s="1321"/>
      <c r="AL208" s="3"/>
      <c r="AX208" s="16" t="s">
        <v>2241</v>
      </c>
      <c r="BC208" s="3" t="s">
        <v>1563</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9"/>
      <c r="Y209" s="1485"/>
      <c r="Z209" s="1320"/>
      <c r="AA209" s="1320"/>
      <c r="AB209" s="1320"/>
      <c r="AC209" s="1320"/>
      <c r="AD209" s="1320"/>
      <c r="AE209" s="1320"/>
      <c r="AF209" s="1320"/>
      <c r="AG209" s="1320"/>
      <c r="AH209" s="1320"/>
      <c r="AI209" s="1320"/>
      <c r="AJ209" s="1320"/>
      <c r="AK209" s="1321"/>
      <c r="AL209" s="3"/>
      <c r="AX209" s="16" t="s">
        <v>2242</v>
      </c>
      <c r="BC209" s="272" t="s">
        <v>80</v>
      </c>
      <c r="BN209" s="47" t="s">
        <v>3</v>
      </c>
      <c r="BT209" s="69" t="s">
        <v>886</v>
      </c>
    </row>
    <row r="210" spans="1:72" ht="12.75">
      <c r="A210" s="63" t="s">
        <v>133</v>
      </c>
      <c r="C210" s="63" t="s">
        <v>1241</v>
      </c>
      <c r="X210" s="1319"/>
      <c r="Y210" s="1486"/>
      <c r="Z210" s="1320"/>
      <c r="AA210" s="1320"/>
      <c r="AB210" s="1320"/>
      <c r="AC210" s="1320"/>
      <c r="AD210" s="1320"/>
      <c r="AE210" s="1320"/>
      <c r="AF210" s="1320"/>
      <c r="AG210" s="1320"/>
      <c r="AH210" s="1320"/>
      <c r="AI210" s="1320"/>
      <c r="AJ210" s="1320"/>
      <c r="AK210" s="1321"/>
      <c r="AL210" s="3"/>
      <c r="AX210" s="16" t="s">
        <v>2243</v>
      </c>
      <c r="BN210" s="47" t="s">
        <v>4</v>
      </c>
      <c r="BT210" s="69" t="s">
        <v>887</v>
      </c>
    </row>
    <row r="211" spans="1:72" ht="12.75">
      <c r="C211" s="58"/>
      <c r="D211" s="1668" t="s">
        <v>1243</v>
      </c>
      <c r="E211" s="1668"/>
      <c r="F211" s="1668"/>
      <c r="G211" s="1668"/>
      <c r="H211" s="1668"/>
      <c r="I211" s="1668"/>
      <c r="J211" s="1668"/>
      <c r="K211" s="1668"/>
      <c r="L211" s="1668"/>
      <c r="M211" s="1668"/>
      <c r="N211" s="1668"/>
      <c r="O211" s="1668"/>
      <c r="P211" s="1668"/>
      <c r="X211" s="1319"/>
      <c r="Y211" s="1830" t="s">
        <v>527</v>
      </c>
      <c r="Z211" s="1830"/>
      <c r="AA211" s="1320"/>
      <c r="AB211" s="1320"/>
      <c r="AC211" s="1320"/>
      <c r="AD211" s="1320"/>
      <c r="AE211" s="1320"/>
      <c r="AF211" s="1320"/>
      <c r="AG211" s="1320"/>
      <c r="AH211" s="1320"/>
      <c r="AI211" s="1320"/>
      <c r="AJ211" s="1320"/>
      <c r="AK211" s="1321"/>
      <c r="AL211" s="3"/>
      <c r="AX211" s="16" t="s">
        <v>2244</v>
      </c>
      <c r="BN211" s="47" t="s">
        <v>21</v>
      </c>
      <c r="BT211" s="69" t="s">
        <v>22</v>
      </c>
    </row>
    <row r="212" spans="1:72" ht="13.5" thickBot="1">
      <c r="X212" s="1324"/>
      <c r="Y212" s="1322"/>
      <c r="Z212" s="1322"/>
      <c r="AA212" s="1322"/>
      <c r="AB212" s="1322"/>
      <c r="AC212" s="1322"/>
      <c r="AD212" s="1322"/>
      <c r="AE212" s="1322"/>
      <c r="AF212" s="1322"/>
      <c r="AG212" s="1322"/>
      <c r="AH212" s="1322"/>
      <c r="AI212" s="1322"/>
      <c r="AJ212" s="1322"/>
      <c r="AK212" s="1323"/>
      <c r="AL212" s="3"/>
      <c r="AX212" s="16" t="s">
        <v>2245</v>
      </c>
      <c r="BC212" s="727" t="s">
        <v>85</v>
      </c>
      <c r="BN212" s="47" t="s">
        <v>5</v>
      </c>
      <c r="BT212" s="69" t="s">
        <v>888</v>
      </c>
    </row>
    <row r="213" spans="1:72" ht="12.75">
      <c r="A213" s="63" t="s">
        <v>135</v>
      </c>
      <c r="C213" s="63" t="s">
        <v>1549</v>
      </c>
      <c r="AG213" s="3"/>
      <c r="AJ213" s="3"/>
      <c r="AK213" s="3"/>
      <c r="AL213" s="3"/>
      <c r="AX213" s="72" t="s">
        <v>2247</v>
      </c>
      <c r="BC213" s="16" t="s">
        <v>687</v>
      </c>
      <c r="BN213" s="47" t="s">
        <v>6</v>
      </c>
      <c r="BT213" s="69" t="s">
        <v>889</v>
      </c>
    </row>
    <row r="214" spans="1:72" ht="12.75">
      <c r="C214" s="58"/>
      <c r="D214" s="1668" t="s">
        <v>725</v>
      </c>
      <c r="E214" s="1668"/>
      <c r="F214" s="1668"/>
      <c r="G214" s="1668"/>
      <c r="H214" s="1668"/>
      <c r="I214" s="1668"/>
      <c r="J214" s="1668"/>
      <c r="K214" s="1668"/>
      <c r="L214" s="1668"/>
      <c r="M214" s="1668"/>
      <c r="N214" s="1668"/>
      <c r="O214" s="1668"/>
      <c r="P214" s="1668"/>
      <c r="Q214" s="1668"/>
      <c r="R214" s="1668"/>
      <c r="S214" s="1668"/>
      <c r="T214" s="1668"/>
      <c r="U214" s="1668"/>
      <c r="V214" s="1668"/>
      <c r="W214" s="1668"/>
      <c r="X214" s="1668"/>
      <c r="Y214" s="1668"/>
      <c r="Z214" s="1668"/>
      <c r="AG214" s="3"/>
      <c r="AJ214" s="3"/>
      <c r="AK214" s="3"/>
      <c r="AL214" s="3"/>
      <c r="BC214" s="16" t="s">
        <v>691</v>
      </c>
      <c r="BN214" s="47" t="s">
        <v>488</v>
      </c>
      <c r="BT214" s="69" t="s">
        <v>890</v>
      </c>
    </row>
    <row r="215" spans="1:72" ht="12.75">
      <c r="D215" s="64"/>
      <c r="E215" s="8" t="s">
        <v>1561</v>
      </c>
      <c r="AE215" s="1838">
        <v>0.5</v>
      </c>
      <c r="AF215" s="1838"/>
      <c r="AG215" s="3"/>
      <c r="AJ215" s="3"/>
      <c r="AK215" s="3"/>
      <c r="AL215" s="3"/>
      <c r="BC215" s="16" t="s">
        <v>688</v>
      </c>
    </row>
    <row r="216" spans="1:72" ht="12.75" customHeight="1">
      <c r="D216" s="64"/>
      <c r="E216" s="8" t="s">
        <v>1559</v>
      </c>
      <c r="AG216" s="3"/>
      <c r="AJ216" s="3"/>
      <c r="AK216" s="3"/>
      <c r="AL216" s="3"/>
      <c r="BC216" s="16" t="s">
        <v>806</v>
      </c>
    </row>
    <row r="217" spans="1:72" ht="12.75">
      <c r="E217" s="2006" t="s">
        <v>1555</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689</v>
      </c>
    </row>
    <row r="218" spans="1:72" ht="12.75">
      <c r="E218" s="72" t="s">
        <v>2170</v>
      </c>
      <c r="AA218" s="83"/>
      <c r="AC218" s="1833" t="s">
        <v>2356</v>
      </c>
      <c r="AD218" s="1833"/>
      <c r="AE218" s="1833"/>
      <c r="AF218" s="1833"/>
      <c r="AG218" s="1833"/>
      <c r="AH218" s="1833"/>
      <c r="AI218" s="1833"/>
      <c r="AJ218" s="1833"/>
      <c r="AK218" s="1833"/>
      <c r="AL218" s="1833"/>
      <c r="AM218" s="1833"/>
      <c r="BC218" s="16" t="s">
        <v>690</v>
      </c>
      <c r="BI218" s="67"/>
    </row>
    <row r="219" spans="1:72" ht="12.75" customHeight="1">
      <c r="E219" s="72" t="s">
        <v>2171</v>
      </c>
      <c r="AA219" s="83"/>
      <c r="AC219" s="1833" t="s">
        <v>2356</v>
      </c>
      <c r="AD219" s="1833"/>
      <c r="AE219" s="1833"/>
      <c r="AF219" s="1833"/>
      <c r="AG219" s="1833"/>
      <c r="AH219" s="1833"/>
      <c r="AI219" s="1833"/>
      <c r="AJ219" s="1833"/>
      <c r="AK219" s="1833"/>
      <c r="AL219" s="1833"/>
      <c r="AM219" s="1833"/>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3" t="s">
        <v>150</v>
      </c>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1673"/>
      <c r="AD223" s="1673"/>
      <c r="AE223" s="1673"/>
      <c r="AF223" s="1673"/>
      <c r="AG223" s="1673"/>
      <c r="AH223" s="1673"/>
      <c r="AI223" s="1673"/>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70">
        <v>18</v>
      </c>
      <c r="P225" s="1670"/>
    </row>
    <row r="226" spans="1:59" ht="12.75" customHeight="1">
      <c r="D226" s="35" t="s">
        <v>614</v>
      </c>
      <c r="E226" s="35"/>
      <c r="F226" s="35"/>
      <c r="G226" s="35"/>
      <c r="H226" s="35"/>
      <c r="I226" s="35"/>
      <c r="J226" s="35"/>
      <c r="K226" s="35"/>
      <c r="L226" s="35"/>
      <c r="M226" s="35"/>
      <c r="N226" s="35"/>
      <c r="O226" s="1670">
        <v>24</v>
      </c>
      <c r="P226" s="1670"/>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70">
        <v>13</v>
      </c>
      <c r="P227" s="1670"/>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1276</v>
      </c>
      <c r="U229" s="562" t="s">
        <v>1277</v>
      </c>
      <c r="BB229" s="16" t="s">
        <v>699</v>
      </c>
      <c r="BG229" s="624">
        <f>IF(AND(AND($M$251="for profit",$M$259="nonprofit",$M$267="(select one)")),2,0)</f>
        <v>0</v>
      </c>
    </row>
    <row r="230" spans="1:59" ht="12.75">
      <c r="BB230" s="16" t="s">
        <v>699</v>
      </c>
      <c r="BG230" s="625">
        <f>IF(AND(AND($M$251="nonprofit",$M$259="for profit",$M$267="(select one)")),2,0)</f>
        <v>0</v>
      </c>
    </row>
    <row r="231" spans="1:59" ht="12.75">
      <c r="A231" s="1677" t="s">
        <v>540</v>
      </c>
      <c r="B231" s="1677"/>
      <c r="C231" s="1677"/>
      <c r="D231" s="1677"/>
      <c r="E231" s="1677"/>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1677"/>
      <c r="AD231" s="1677"/>
      <c r="AE231" s="1677"/>
      <c r="AF231" s="1677"/>
      <c r="AG231" s="1677"/>
      <c r="AH231" s="1677"/>
      <c r="AI231" s="1677"/>
      <c r="AJ231" s="1677"/>
      <c r="AK231" s="1677"/>
      <c r="AL231" s="1677"/>
    </row>
    <row r="232" spans="1:59" ht="13.5" thickBot="1">
      <c r="A232" s="1678"/>
      <c r="B232" s="1678"/>
      <c r="C232" s="1678"/>
      <c r="D232" s="1678"/>
      <c r="E232" s="1678"/>
      <c r="F232" s="1678"/>
      <c r="G232" s="1678"/>
      <c r="H232" s="1678"/>
      <c r="I232" s="1678"/>
      <c r="J232" s="1678"/>
      <c r="K232" s="1678"/>
      <c r="L232" s="1678"/>
      <c r="M232" s="1678"/>
      <c r="N232" s="1678"/>
      <c r="O232" s="1678"/>
      <c r="P232" s="1678"/>
      <c r="Q232" s="1678"/>
      <c r="R232" s="1678"/>
      <c r="S232" s="1678"/>
      <c r="T232" s="1678"/>
      <c r="U232" s="1678"/>
      <c r="V232" s="1678"/>
      <c r="W232" s="1678"/>
      <c r="X232" s="1678"/>
      <c r="Y232" s="1678"/>
      <c r="Z232" s="1678"/>
      <c r="AA232" s="1678"/>
      <c r="AB232" s="1678"/>
      <c r="AC232" s="1678"/>
      <c r="AD232" s="1678"/>
      <c r="AE232" s="1678"/>
      <c r="AF232" s="1678"/>
      <c r="AG232" s="1678"/>
      <c r="AH232" s="1678"/>
      <c r="AI232" s="1678"/>
      <c r="AJ232" s="1678"/>
      <c r="AK232" s="1678"/>
      <c r="AL232" s="1678"/>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411</v>
      </c>
      <c r="E235" s="71"/>
      <c r="F235" s="71"/>
      <c r="G235" s="71"/>
      <c r="H235" s="71"/>
      <c r="I235" s="71"/>
      <c r="J235" s="71"/>
      <c r="K235" s="8"/>
      <c r="M235" s="1988" t="str">
        <f>H15</f>
        <v>Eden Housing, Inc.</v>
      </c>
      <c r="N235" s="1988"/>
      <c r="O235" s="1988"/>
      <c r="P235" s="1988"/>
      <c r="Q235" s="1988"/>
      <c r="R235" s="1988"/>
      <c r="S235" s="1988"/>
      <c r="T235" s="1988"/>
      <c r="U235" s="1988"/>
      <c r="V235" s="1988"/>
      <c r="W235" s="1988"/>
      <c r="X235" s="1988"/>
      <c r="Y235" s="1988"/>
      <c r="Z235" s="1988"/>
      <c r="AA235" s="1988"/>
      <c r="AB235" s="1988"/>
      <c r="AC235" s="1988"/>
      <c r="AD235" s="1988"/>
      <c r="AE235" s="1988"/>
      <c r="AF235" s="1988"/>
      <c r="AG235" s="1988"/>
      <c r="AH235" s="1988"/>
      <c r="AI235" s="1988"/>
      <c r="AJ235" s="1988"/>
      <c r="AK235" s="1988"/>
      <c r="BB235" s="62"/>
      <c r="BC235" s="35"/>
      <c r="BD235" s="35"/>
      <c r="BE235" s="35"/>
      <c r="BF235" s="35"/>
      <c r="BG235" s="71"/>
    </row>
    <row r="236" spans="1:59" ht="12.75" customHeight="1">
      <c r="D236" s="71" t="s">
        <v>412</v>
      </c>
      <c r="E236" s="71"/>
      <c r="F236" s="71"/>
      <c r="G236" s="71"/>
      <c r="H236" s="71"/>
      <c r="I236" s="71"/>
      <c r="J236" s="71"/>
      <c r="K236" s="8"/>
      <c r="M236" s="1673" t="s">
        <v>2348</v>
      </c>
      <c r="N236" s="1668"/>
      <c r="O236" s="1668"/>
      <c r="P236" s="1668"/>
      <c r="Q236" s="1668"/>
      <c r="R236" s="1668"/>
      <c r="S236" s="1668"/>
      <c r="T236" s="1668"/>
      <c r="U236" s="1668"/>
      <c r="V236" s="1668"/>
      <c r="W236" s="1668"/>
      <c r="X236" s="1668"/>
      <c r="Y236" s="1668"/>
      <c r="Z236" s="1668"/>
      <c r="AA236" s="1668"/>
      <c r="AB236" s="1668"/>
      <c r="AC236" s="1668"/>
      <c r="AD236" s="1668"/>
      <c r="AE236" s="1668"/>
      <c r="AM236" s="72"/>
      <c r="AN236" s="72"/>
      <c r="BB236" s="16" t="s">
        <v>698</v>
      </c>
      <c r="BG236" s="624">
        <f>IF(AND(AND($M$251="nonprofit",$M$259="nonprofit",$M$267="nonprofit")),1,0)</f>
        <v>0</v>
      </c>
    </row>
    <row r="237" spans="1:59" ht="12.75">
      <c r="D237" s="71" t="s">
        <v>475</v>
      </c>
      <c r="E237" s="71"/>
      <c r="M237" s="1673" t="s">
        <v>2349</v>
      </c>
      <c r="N237" s="1668"/>
      <c r="O237" s="1668"/>
      <c r="P237" s="1668"/>
      <c r="Q237" s="1668"/>
      <c r="R237" s="1668"/>
      <c r="S237" s="1668"/>
      <c r="T237" s="1668"/>
      <c r="V237" s="73" t="s">
        <v>413</v>
      </c>
      <c r="W237" s="1665" t="s">
        <v>2350</v>
      </c>
      <c r="X237" s="1676"/>
      <c r="Y237" s="71" t="s">
        <v>478</v>
      </c>
      <c r="AC237" s="1668">
        <v>94541</v>
      </c>
      <c r="AD237" s="1668"/>
      <c r="AE237" s="1668"/>
      <c r="AN237" s="72"/>
      <c r="BB237" s="16" t="s">
        <v>698</v>
      </c>
      <c r="BG237" s="624">
        <f>IF(AND(AND($M$251="nonprofit",$M$259="nonprofit",$M$267="(select one)")),1,0)</f>
        <v>0</v>
      </c>
    </row>
    <row r="238" spans="1:59" ht="12.75">
      <c r="D238" s="74" t="s">
        <v>414</v>
      </c>
      <c r="E238" s="8"/>
      <c r="F238" s="8"/>
      <c r="G238" s="8"/>
      <c r="H238" s="8"/>
      <c r="I238" s="8"/>
      <c r="J238" s="8"/>
      <c r="K238" s="39"/>
      <c r="M238" s="1673" t="s">
        <v>2361</v>
      </c>
      <c r="N238" s="1668"/>
      <c r="O238" s="1668"/>
      <c r="P238" s="1668"/>
      <c r="Q238" s="1668"/>
      <c r="R238" s="1668"/>
      <c r="S238" s="1668"/>
      <c r="T238" s="1668"/>
      <c r="U238" s="1668"/>
      <c r="V238" s="1668"/>
      <c r="W238" s="1668"/>
      <c r="X238" s="1668"/>
      <c r="Y238" s="1668"/>
      <c r="Z238" s="1668"/>
      <c r="AA238" s="1668"/>
      <c r="AB238" s="1668"/>
      <c r="AC238" s="1668"/>
      <c r="AD238" s="1668"/>
      <c r="AE238" s="1668"/>
      <c r="AI238" s="8"/>
      <c r="AJ238" s="8"/>
      <c r="AK238" s="8"/>
      <c r="AL238" s="8"/>
      <c r="AN238" s="72"/>
      <c r="BB238" s="16" t="s">
        <v>698</v>
      </c>
      <c r="BG238" s="624">
        <f>IF(AND(AND($M$251="nonprofit",$M$259="(select one)",$M$267="(select one)")),1,0)</f>
        <v>0</v>
      </c>
    </row>
    <row r="239" spans="1:59" ht="12.75">
      <c r="D239" s="74" t="s">
        <v>415</v>
      </c>
      <c r="E239" s="8"/>
      <c r="F239" s="8"/>
      <c r="M239" s="1675" t="s">
        <v>2362</v>
      </c>
      <c r="N239" s="1669"/>
      <c r="O239" s="1669"/>
      <c r="P239" s="1669"/>
      <c r="Q239" s="1669"/>
      <c r="R239" s="1669"/>
      <c r="S239" s="8" t="s">
        <v>891</v>
      </c>
      <c r="T239" s="8"/>
      <c r="U239" s="1676"/>
      <c r="V239" s="1676"/>
      <c r="W239" s="1676"/>
      <c r="X239" s="8" t="s">
        <v>416</v>
      </c>
      <c r="Z239" s="1669"/>
      <c r="AA239" s="1669"/>
      <c r="AB239" s="1669"/>
      <c r="AC239" s="1669"/>
      <c r="AD239" s="1669"/>
      <c r="AE239" s="1669"/>
      <c r="AM239" s="72"/>
      <c r="AN239" s="72"/>
      <c r="BB239" s="16" t="s">
        <v>1092</v>
      </c>
      <c r="BG239" s="624">
        <f>IF(AND(AND($M$251="for profit",$M$259="for profit",$M$267="for profit")),3,0)</f>
        <v>0</v>
      </c>
    </row>
    <row r="240" spans="1:59" ht="12.75">
      <c r="D240" s="74" t="s">
        <v>417</v>
      </c>
      <c r="E240" s="8"/>
      <c r="F240" s="8"/>
      <c r="M240" s="1682" t="s">
        <v>2363</v>
      </c>
      <c r="N240" s="1682"/>
      <c r="O240" s="1682"/>
      <c r="P240" s="1682"/>
      <c r="Q240" s="1682"/>
      <c r="R240" s="1682"/>
      <c r="S240" s="1682"/>
      <c r="T240" s="1682"/>
      <c r="U240" s="1682"/>
      <c r="V240" s="1682"/>
      <c r="W240" s="1682"/>
      <c r="X240" s="1682"/>
      <c r="Y240" s="1682"/>
      <c r="Z240" s="1682"/>
      <c r="AA240" s="1682"/>
      <c r="AB240" s="1682"/>
      <c r="AC240" s="1682"/>
      <c r="AD240" s="1682"/>
      <c r="AE240" s="1682"/>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666" t="s">
        <v>539</v>
      </c>
      <c r="N241" s="1666"/>
      <c r="O241" s="1666"/>
      <c r="P241" s="1666"/>
      <c r="Q241" s="1666"/>
      <c r="R241" s="1666"/>
      <c r="S241" s="1666"/>
      <c r="T241" s="1666"/>
      <c r="U241" s="8" t="s">
        <v>1235</v>
      </c>
      <c r="AA241" s="1667"/>
      <c r="AB241" s="1667"/>
      <c r="AC241" s="1667"/>
      <c r="AD241" s="1667"/>
      <c r="AE241" s="1667"/>
      <c r="AF241" s="1667"/>
      <c r="AG241" s="1667"/>
      <c r="AH241" s="1667"/>
      <c r="AI241" s="1667"/>
      <c r="AJ241" s="1667"/>
      <c r="AK241" s="1667"/>
      <c r="AL241" s="72"/>
      <c r="AM241" s="8"/>
      <c r="AN241" s="72"/>
      <c r="AO241" s="72"/>
      <c r="BB241" s="16" t="s">
        <v>1092</v>
      </c>
      <c r="BC241" s="35"/>
      <c r="BD241" s="35"/>
      <c r="BE241" s="35"/>
      <c r="BF241" s="35"/>
      <c r="BG241" s="625">
        <f>IF(AND(AND($M$251="for profit",$M$259="(select one)",$M$267="(select one)")),3,0)</f>
        <v>0</v>
      </c>
    </row>
    <row r="242" spans="1:67" ht="12.75">
      <c r="D242" s="16" t="s">
        <v>692</v>
      </c>
      <c r="M242" s="1672"/>
      <c r="N242" s="1672"/>
      <c r="O242" s="1672"/>
      <c r="P242" s="1672"/>
      <c r="Q242" s="1672"/>
      <c r="R242" s="1672"/>
      <c r="S242" s="1672"/>
      <c r="T242" s="1672"/>
      <c r="U242" s="1672"/>
      <c r="V242" s="1672"/>
      <c r="W242" s="1672"/>
      <c r="X242" s="1672"/>
      <c r="Y242" s="1672"/>
      <c r="Z242" s="1672"/>
      <c r="AA242" s="1672"/>
      <c r="AB242" s="1672"/>
      <c r="AC242" s="1672"/>
      <c r="AD242" s="1672"/>
      <c r="AE242" s="1672"/>
      <c r="AF242" s="8"/>
      <c r="AG242" s="8"/>
      <c r="AH242" s="8"/>
      <c r="AI242" s="8"/>
      <c r="AJ242" s="8"/>
      <c r="AK242" s="72"/>
      <c r="AL242" s="72"/>
    </row>
    <row r="243" spans="1:67" ht="12.75">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2.75">
      <c r="A245" s="39"/>
      <c r="C245" s="147" t="s">
        <v>1599</v>
      </c>
      <c r="D245" s="71" t="s">
        <v>693</v>
      </c>
      <c r="E245" s="71"/>
      <c r="F245" s="71"/>
      <c r="G245" s="71"/>
      <c r="H245" s="71"/>
      <c r="I245" s="71"/>
      <c r="J245" s="71"/>
      <c r="K245" s="71"/>
      <c r="L245" s="8"/>
      <c r="M245" s="1679" t="s">
        <v>2501</v>
      </c>
      <c r="N245" s="1679"/>
      <c r="O245" s="1679"/>
      <c r="P245" s="1679"/>
      <c r="Q245" s="1679"/>
      <c r="R245" s="1679"/>
      <c r="S245" s="1679"/>
      <c r="T245" s="1679"/>
      <c r="U245" s="1679"/>
      <c r="V245" s="1679"/>
      <c r="W245" s="1679"/>
      <c r="X245" s="1679"/>
      <c r="Y245" s="1679"/>
      <c r="Z245" s="1679"/>
      <c r="AA245" s="1679"/>
      <c r="AB245" s="1679"/>
      <c r="AC245" s="1679"/>
      <c r="AD245" s="1679"/>
      <c r="AE245" s="1679"/>
      <c r="AF245" s="1680" t="s">
        <v>2351</v>
      </c>
      <c r="AG245" s="1680"/>
      <c r="AH245" s="1680"/>
      <c r="AI245" s="1680"/>
      <c r="AJ245" s="1680"/>
      <c r="AK245" s="1680"/>
      <c r="AM245" s="8"/>
      <c r="AN245" s="72"/>
      <c r="BB245" s="8" t="s">
        <v>972</v>
      </c>
      <c r="BH245" s="16">
        <v>2</v>
      </c>
      <c r="BI245" s="16" t="s">
        <v>806</v>
      </c>
      <c r="BO245" s="626" t="e">
        <f>VLOOKUP(AZ260,BH244:BI246,2,FALSE)</f>
        <v>#N/A</v>
      </c>
    </row>
    <row r="246" spans="1:67" ht="12.75">
      <c r="A246" s="39"/>
      <c r="B246" s="8"/>
      <c r="C246" s="8"/>
      <c r="D246" s="71" t="s">
        <v>412</v>
      </c>
      <c r="E246" s="71"/>
      <c r="F246" s="71"/>
      <c r="G246" s="71"/>
      <c r="H246" s="71"/>
      <c r="I246" s="71"/>
      <c r="J246" s="71"/>
      <c r="K246" s="71"/>
      <c r="L246" s="8"/>
      <c r="M246" s="1673" t="s">
        <v>2348</v>
      </c>
      <c r="N246" s="1668"/>
      <c r="O246" s="1668"/>
      <c r="P246" s="1668"/>
      <c r="Q246" s="1668"/>
      <c r="R246" s="1668"/>
      <c r="S246" s="1668"/>
      <c r="T246" s="1668"/>
      <c r="U246" s="1668"/>
      <c r="V246" s="1668"/>
      <c r="W246" s="1668"/>
      <c r="X246" s="1668"/>
      <c r="Y246" s="1668"/>
      <c r="Z246" s="1668"/>
      <c r="AA246" s="1668"/>
      <c r="AB246" s="1668"/>
      <c r="AC246" s="1668"/>
      <c r="AD246" s="1668"/>
      <c r="AE246" s="1668"/>
      <c r="AL246" s="8"/>
      <c r="AN246" s="72"/>
      <c r="BB246" s="8" t="s">
        <v>499</v>
      </c>
      <c r="BH246" s="16">
        <v>3</v>
      </c>
      <c r="BI246" s="16" t="s">
        <v>697</v>
      </c>
    </row>
    <row r="247" spans="1:67" ht="12.75">
      <c r="A247" s="39"/>
      <c r="B247" s="8"/>
      <c r="C247" s="8"/>
      <c r="D247" s="71" t="s">
        <v>475</v>
      </c>
      <c r="E247" s="71"/>
      <c r="M247" s="1673" t="s">
        <v>2349</v>
      </c>
      <c r="N247" s="1668"/>
      <c r="O247" s="1668"/>
      <c r="P247" s="1668"/>
      <c r="Q247" s="1668"/>
      <c r="R247" s="1668"/>
      <c r="S247" s="1668"/>
      <c r="T247" s="1668"/>
      <c r="V247" s="73" t="s">
        <v>413</v>
      </c>
      <c r="W247" s="1665" t="s">
        <v>2350</v>
      </c>
      <c r="X247" s="1676"/>
      <c r="Y247" s="71" t="s">
        <v>478</v>
      </c>
      <c r="AC247" s="1668">
        <v>94541</v>
      </c>
      <c r="AD247" s="1668"/>
      <c r="AE247" s="1668"/>
      <c r="AN247" s="72"/>
    </row>
    <row r="248" spans="1:67" ht="12.75">
      <c r="A248" s="39"/>
      <c r="B248" s="8"/>
      <c r="C248" s="8"/>
      <c r="D248" s="74" t="s">
        <v>414</v>
      </c>
      <c r="E248" s="8"/>
      <c r="F248" s="8"/>
      <c r="G248" s="8"/>
      <c r="H248" s="8"/>
      <c r="I248" s="8"/>
      <c r="J248" s="8"/>
      <c r="K248" s="8"/>
      <c r="L248" s="39"/>
      <c r="M248" s="1673" t="s">
        <v>2361</v>
      </c>
      <c r="N248" s="1668"/>
      <c r="O248" s="1668"/>
      <c r="P248" s="1668"/>
      <c r="Q248" s="1668"/>
      <c r="R248" s="1668"/>
      <c r="S248" s="1668"/>
      <c r="T248" s="1668"/>
      <c r="U248" s="1668"/>
      <c r="V248" s="1668"/>
      <c r="W248" s="1668"/>
      <c r="X248" s="1668"/>
      <c r="Y248" s="1668"/>
      <c r="Z248" s="1668"/>
      <c r="AA248" s="1668"/>
      <c r="AB248" s="1668"/>
      <c r="AC248" s="1668"/>
      <c r="AD248" s="1668"/>
      <c r="AE248" s="1668"/>
      <c r="AJ248" s="8"/>
      <c r="AK248" s="8"/>
      <c r="AL248" s="8"/>
      <c r="AN248" s="72"/>
    </row>
    <row r="249" spans="1:67" ht="12.75">
      <c r="A249" s="39"/>
      <c r="B249" s="8"/>
      <c r="C249" s="8"/>
      <c r="D249" s="74" t="s">
        <v>415</v>
      </c>
      <c r="E249" s="8"/>
      <c r="F249" s="8"/>
      <c r="M249" s="1675" t="s">
        <v>2362</v>
      </c>
      <c r="N249" s="1669"/>
      <c r="O249" s="1669"/>
      <c r="P249" s="1669"/>
      <c r="Q249" s="1669"/>
      <c r="R249" s="1669"/>
      <c r="S249" s="8" t="s">
        <v>891</v>
      </c>
      <c r="T249" s="8"/>
      <c r="U249" s="1676"/>
      <c r="V249" s="1676"/>
      <c r="W249" s="1676"/>
      <c r="X249" s="8" t="s">
        <v>416</v>
      </c>
      <c r="Z249" s="1669"/>
      <c r="AA249" s="1669"/>
      <c r="AB249" s="1669"/>
      <c r="AC249" s="1669"/>
      <c r="AD249" s="1669"/>
      <c r="AE249" s="1669"/>
      <c r="AM249" s="8"/>
      <c r="AN249" s="72"/>
    </row>
    <row r="250" spans="1:67" ht="12.75">
      <c r="A250" s="39"/>
      <c r="B250" s="8"/>
      <c r="C250" s="8"/>
      <c r="D250" s="74" t="s">
        <v>417</v>
      </c>
      <c r="E250" s="8"/>
      <c r="F250" s="8"/>
      <c r="M250" s="1682" t="s">
        <v>2363</v>
      </c>
      <c r="N250" s="1682"/>
      <c r="O250" s="1682"/>
      <c r="P250" s="1682"/>
      <c r="Q250" s="1682"/>
      <c r="R250" s="1682"/>
      <c r="S250" s="1682"/>
      <c r="T250" s="1682"/>
      <c r="U250" s="1682"/>
      <c r="V250" s="1682"/>
      <c r="W250" s="1682"/>
      <c r="X250" s="1682"/>
      <c r="Y250" s="1682"/>
      <c r="Z250" s="1682"/>
      <c r="AA250" s="1682"/>
      <c r="AB250" s="1682"/>
      <c r="AC250" s="1682"/>
      <c r="AD250" s="1682"/>
      <c r="AE250" s="1682"/>
      <c r="AG250" s="8"/>
      <c r="AH250" s="8"/>
      <c r="AI250" s="8"/>
      <c r="AJ250" s="8"/>
      <c r="AK250" s="8"/>
      <c r="AL250" s="8"/>
    </row>
    <row r="251" spans="1:67" ht="12.75">
      <c r="A251" s="33"/>
      <c r="B251" s="8"/>
      <c r="C251" s="147"/>
      <c r="D251" s="74" t="s">
        <v>696</v>
      </c>
      <c r="E251" s="8"/>
      <c r="F251" s="8"/>
      <c r="G251" s="8"/>
      <c r="H251" s="8"/>
      <c r="I251" s="8"/>
      <c r="J251" s="8"/>
      <c r="K251" s="8"/>
      <c r="L251" s="8"/>
      <c r="M251" s="1666" t="s">
        <v>539</v>
      </c>
      <c r="N251" s="1666"/>
      <c r="O251" s="1666"/>
      <c r="P251" s="1666"/>
      <c r="Q251" s="1666"/>
      <c r="R251" s="1666"/>
      <c r="S251" s="1666"/>
      <c r="T251" s="1666"/>
      <c r="U251" s="8" t="s">
        <v>1235</v>
      </c>
      <c r="AA251" s="1674" t="s">
        <v>2337</v>
      </c>
      <c r="AB251" s="1667"/>
      <c r="AC251" s="1667"/>
      <c r="AD251" s="1667"/>
      <c r="AE251" s="1667"/>
      <c r="AF251" s="1667"/>
      <c r="AG251" s="1667"/>
      <c r="AH251" s="1667"/>
      <c r="AI251" s="1667"/>
      <c r="AJ251" s="1667"/>
      <c r="AK251" s="166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1679" t="s">
        <v>2356</v>
      </c>
      <c r="N253" s="1679"/>
      <c r="O253" s="1679"/>
      <c r="P253" s="1679"/>
      <c r="Q253" s="1679"/>
      <c r="R253" s="1679"/>
      <c r="S253" s="1679"/>
      <c r="T253" s="1679"/>
      <c r="U253" s="1679"/>
      <c r="V253" s="1679"/>
      <c r="W253" s="1679"/>
      <c r="X253" s="1679"/>
      <c r="Y253" s="1679"/>
      <c r="Z253" s="1679"/>
      <c r="AA253" s="1679"/>
      <c r="AB253" s="1679"/>
      <c r="AC253" s="1679"/>
      <c r="AD253" s="1679"/>
      <c r="AE253" s="1679"/>
      <c r="AF253" s="1680" t="s">
        <v>85</v>
      </c>
      <c r="AG253" s="1680"/>
      <c r="AH253" s="1680"/>
      <c r="AI253" s="1680"/>
      <c r="AJ253" s="1680"/>
      <c r="AK253" s="1680"/>
      <c r="AM253" s="8"/>
    </row>
    <row r="254" spans="1:67" ht="12.75">
      <c r="A254" s="39"/>
      <c r="B254" s="8"/>
      <c r="C254" s="8"/>
      <c r="D254" s="71" t="s">
        <v>412</v>
      </c>
      <c r="E254" s="71"/>
      <c r="F254" s="71"/>
      <c r="G254" s="71"/>
      <c r="H254" s="71"/>
      <c r="I254" s="71"/>
      <c r="J254" s="71"/>
      <c r="K254" s="71"/>
      <c r="L254" s="8"/>
      <c r="M254" s="1668"/>
      <c r="N254" s="1668"/>
      <c r="O254" s="1668"/>
      <c r="P254" s="1668"/>
      <c r="Q254" s="1668"/>
      <c r="R254" s="1668"/>
      <c r="S254" s="1668"/>
      <c r="T254" s="1668"/>
      <c r="U254" s="1668"/>
      <c r="V254" s="1668"/>
      <c r="W254" s="1668"/>
      <c r="X254" s="1668"/>
      <c r="Y254" s="1668"/>
      <c r="Z254" s="1668"/>
      <c r="AA254" s="1668"/>
      <c r="AB254" s="1668"/>
      <c r="AC254" s="1668"/>
      <c r="AD254" s="1668"/>
      <c r="AE254" s="1668"/>
      <c r="AL254" s="8"/>
    </row>
    <row r="255" spans="1:67" ht="12.75">
      <c r="A255" s="39"/>
      <c r="B255" s="8"/>
      <c r="C255" s="8"/>
      <c r="D255" s="71" t="s">
        <v>475</v>
      </c>
      <c r="E255" s="71"/>
      <c r="M255" s="1668"/>
      <c r="N255" s="1668"/>
      <c r="O255" s="1668"/>
      <c r="P255" s="1668"/>
      <c r="Q255" s="1668"/>
      <c r="R255" s="1668"/>
      <c r="S255" s="1668"/>
      <c r="T255" s="1668"/>
      <c r="V255" s="73" t="s">
        <v>413</v>
      </c>
      <c r="W255" s="1676"/>
      <c r="X255" s="1676"/>
      <c r="Y255" s="71" t="s">
        <v>478</v>
      </c>
      <c r="AC255" s="1668"/>
      <c r="AD255" s="1668"/>
      <c r="AE255" s="1668"/>
    </row>
    <row r="256" spans="1:67" ht="12.75">
      <c r="A256" s="39"/>
      <c r="B256" s="8"/>
      <c r="C256" s="8"/>
      <c r="D256" s="74" t="s">
        <v>414</v>
      </c>
      <c r="E256" s="8"/>
      <c r="F256" s="8"/>
      <c r="G256" s="8"/>
      <c r="H256" s="8"/>
      <c r="I256" s="8"/>
      <c r="J256" s="8"/>
      <c r="K256" s="8"/>
      <c r="L256" s="39"/>
      <c r="M256" s="1668"/>
      <c r="N256" s="1668"/>
      <c r="O256" s="1668"/>
      <c r="P256" s="1668"/>
      <c r="Q256" s="1668"/>
      <c r="R256" s="1668"/>
      <c r="S256" s="1668"/>
      <c r="T256" s="1668"/>
      <c r="U256" s="1668"/>
      <c r="V256" s="1668"/>
      <c r="W256" s="1668"/>
      <c r="X256" s="1668"/>
      <c r="Y256" s="1668"/>
      <c r="Z256" s="1668"/>
      <c r="AA256" s="1668"/>
      <c r="AB256" s="1668"/>
      <c r="AC256" s="1668"/>
      <c r="AD256" s="1668"/>
      <c r="AE256" s="1668"/>
      <c r="AJ256" s="8"/>
      <c r="AK256" s="8"/>
      <c r="AL256" s="8"/>
    </row>
    <row r="257" spans="1:53" ht="12.75">
      <c r="A257" s="39"/>
      <c r="B257" s="8"/>
      <c r="C257" s="8"/>
      <c r="D257" s="74" t="s">
        <v>415</v>
      </c>
      <c r="E257" s="8"/>
      <c r="F257" s="8"/>
      <c r="M257" s="1669"/>
      <c r="N257" s="1669"/>
      <c r="O257" s="1669"/>
      <c r="P257" s="1669"/>
      <c r="Q257" s="1669"/>
      <c r="R257" s="1669"/>
      <c r="S257" s="8" t="s">
        <v>891</v>
      </c>
      <c r="T257" s="8"/>
      <c r="U257" s="1676"/>
      <c r="V257" s="1676"/>
      <c r="W257" s="1676"/>
      <c r="X257" s="8" t="s">
        <v>416</v>
      </c>
      <c r="Z257" s="1669"/>
      <c r="AA257" s="1669"/>
      <c r="AB257" s="1669"/>
      <c r="AC257" s="1669"/>
      <c r="AD257" s="1669"/>
      <c r="AE257" s="1669"/>
      <c r="BA257" s="75"/>
    </row>
    <row r="258" spans="1:53" ht="12.75">
      <c r="A258" s="39"/>
      <c r="B258" s="8"/>
      <c r="C258" s="8"/>
      <c r="D258" s="74" t="s">
        <v>417</v>
      </c>
      <c r="E258" s="8"/>
      <c r="F258" s="8"/>
      <c r="M258" s="1682"/>
      <c r="N258" s="1682"/>
      <c r="O258" s="1682"/>
      <c r="P258" s="1682"/>
      <c r="Q258" s="1682"/>
      <c r="R258" s="1682"/>
      <c r="S258" s="1682"/>
      <c r="T258" s="1682"/>
      <c r="U258" s="1682"/>
      <c r="V258" s="1682"/>
      <c r="W258" s="1682"/>
      <c r="X258" s="1682"/>
      <c r="Y258" s="1682"/>
      <c r="Z258" s="1682"/>
      <c r="AA258" s="1682"/>
      <c r="AB258" s="1682"/>
      <c r="AC258" s="1682"/>
      <c r="AD258" s="1682"/>
      <c r="AE258" s="1682"/>
      <c r="AG258" s="8"/>
      <c r="AH258" s="8"/>
      <c r="AI258" s="8"/>
      <c r="AJ258" s="8"/>
      <c r="AK258" s="8"/>
      <c r="AL258" s="8"/>
      <c r="BA258" s="35"/>
    </row>
    <row r="259" spans="1:53" ht="12.75">
      <c r="A259" s="33"/>
      <c r="B259" s="8"/>
      <c r="C259" s="147"/>
      <c r="D259" s="74" t="s">
        <v>696</v>
      </c>
      <c r="E259" s="8"/>
      <c r="F259" s="8"/>
      <c r="G259" s="8"/>
      <c r="H259" s="8"/>
      <c r="I259" s="8"/>
      <c r="J259" s="8"/>
      <c r="K259" s="8"/>
      <c r="L259" s="8"/>
      <c r="M259" s="1666" t="s">
        <v>85</v>
      </c>
      <c r="N259" s="1666"/>
      <c r="O259" s="1666"/>
      <c r="P259" s="1666"/>
      <c r="Q259" s="1666"/>
      <c r="R259" s="1666"/>
      <c r="S259" s="1666"/>
      <c r="T259" s="1666"/>
      <c r="U259" s="8" t="s">
        <v>1235</v>
      </c>
      <c r="AA259" s="1667"/>
      <c r="AB259" s="1667"/>
      <c r="AC259" s="1667"/>
      <c r="AD259" s="1667"/>
      <c r="AE259" s="1667"/>
      <c r="AF259" s="1667"/>
      <c r="AG259" s="1667"/>
      <c r="AH259" s="1667"/>
      <c r="AI259" s="1667"/>
      <c r="AJ259" s="1667"/>
      <c r="AK259" s="166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0</v>
      </c>
      <c r="BA260" s="3"/>
    </row>
    <row r="261" spans="1:53" ht="12.75">
      <c r="A261" s="33"/>
      <c r="B261" s="8"/>
      <c r="C261" s="147" t="s">
        <v>2083</v>
      </c>
      <c r="D261" s="71" t="s">
        <v>693</v>
      </c>
      <c r="E261" s="71"/>
      <c r="F261" s="71"/>
      <c r="G261" s="71"/>
      <c r="H261" s="71"/>
      <c r="I261" s="71"/>
      <c r="J261" s="71"/>
      <c r="K261" s="71"/>
      <c r="L261" s="8"/>
      <c r="M261" s="1679" t="s">
        <v>2356</v>
      </c>
      <c r="N261" s="1680"/>
      <c r="O261" s="1680"/>
      <c r="P261" s="1680"/>
      <c r="Q261" s="1680"/>
      <c r="R261" s="1680"/>
      <c r="S261" s="1680"/>
      <c r="T261" s="1680"/>
      <c r="U261" s="1680"/>
      <c r="V261" s="1680"/>
      <c r="W261" s="1680"/>
      <c r="X261" s="1680"/>
      <c r="Y261" s="1680"/>
      <c r="Z261" s="1680"/>
      <c r="AA261" s="1680"/>
      <c r="AB261" s="1680"/>
      <c r="AC261" s="1680"/>
      <c r="AD261" s="1680"/>
      <c r="AE261" s="1680"/>
      <c r="AF261" s="1680" t="s">
        <v>85</v>
      </c>
      <c r="AG261" s="1680"/>
      <c r="AH261" s="1680"/>
      <c r="AI261" s="1680"/>
      <c r="AJ261" s="1680"/>
      <c r="AK261" s="1680"/>
      <c r="AL261" s="72"/>
      <c r="BA261" s="3"/>
    </row>
    <row r="262" spans="1:53" ht="12.75">
      <c r="A262" s="33"/>
      <c r="B262" s="8"/>
      <c r="C262" s="8"/>
      <c r="D262" s="71" t="s">
        <v>412</v>
      </c>
      <c r="E262" s="71"/>
      <c r="F262" s="71"/>
      <c r="G262" s="71"/>
      <c r="H262" s="71"/>
      <c r="I262" s="71"/>
      <c r="J262" s="71"/>
      <c r="K262" s="71"/>
      <c r="L262" s="8"/>
      <c r="M262" s="1668"/>
      <c r="N262" s="1668"/>
      <c r="O262" s="1668"/>
      <c r="P262" s="1668"/>
      <c r="Q262" s="1668"/>
      <c r="R262" s="1668"/>
      <c r="S262" s="1668"/>
      <c r="T262" s="1668"/>
      <c r="U262" s="1668"/>
      <c r="V262" s="1668"/>
      <c r="W262" s="1668"/>
      <c r="X262" s="1668"/>
      <c r="Y262" s="1668"/>
      <c r="Z262" s="1668"/>
      <c r="AA262" s="1668"/>
      <c r="AB262" s="1668"/>
      <c r="AC262" s="1668"/>
      <c r="AD262" s="1668"/>
      <c r="AE262" s="1668"/>
      <c r="AL262" s="72"/>
      <c r="BA262" s="629"/>
    </row>
    <row r="263" spans="1:53" ht="12.75">
      <c r="A263" s="33"/>
      <c r="B263" s="8"/>
      <c r="C263" s="8"/>
      <c r="D263" s="71" t="s">
        <v>475</v>
      </c>
      <c r="E263" s="71"/>
      <c r="M263" s="1668"/>
      <c r="N263" s="1668"/>
      <c r="O263" s="1668"/>
      <c r="P263" s="1668"/>
      <c r="Q263" s="1668"/>
      <c r="R263" s="1668"/>
      <c r="S263" s="1668"/>
      <c r="T263" s="1668"/>
      <c r="V263" s="73" t="s">
        <v>413</v>
      </c>
      <c r="W263" s="1676"/>
      <c r="X263" s="1676"/>
      <c r="Y263" s="71" t="s">
        <v>478</v>
      </c>
      <c r="AC263" s="1668"/>
      <c r="AD263" s="1668"/>
      <c r="AE263" s="1668"/>
      <c r="AL263" s="72"/>
      <c r="BA263" s="75"/>
    </row>
    <row r="264" spans="1:53" ht="12.75">
      <c r="A264" s="33"/>
      <c r="B264" s="8"/>
      <c r="C264" s="8"/>
      <c r="D264" s="74" t="s">
        <v>414</v>
      </c>
      <c r="E264" s="8"/>
      <c r="F264" s="8"/>
      <c r="G264" s="8"/>
      <c r="H264" s="8"/>
      <c r="I264" s="8"/>
      <c r="J264" s="8"/>
      <c r="K264" s="8"/>
      <c r="L264" s="39"/>
      <c r="M264" s="1668"/>
      <c r="N264" s="1668"/>
      <c r="O264" s="1668"/>
      <c r="P264" s="1668"/>
      <c r="Q264" s="1668"/>
      <c r="R264" s="1668"/>
      <c r="S264" s="1668"/>
      <c r="T264" s="1668"/>
      <c r="U264" s="1668"/>
      <c r="V264" s="1668"/>
      <c r="W264" s="1668"/>
      <c r="X264" s="1668"/>
      <c r="Y264" s="1668"/>
      <c r="Z264" s="1668"/>
      <c r="AA264" s="1668"/>
      <c r="AB264" s="1668"/>
      <c r="AC264" s="1668"/>
      <c r="AD264" s="1668"/>
      <c r="AE264" s="1668"/>
      <c r="AJ264" s="8"/>
      <c r="AK264" s="8"/>
      <c r="AL264" s="72"/>
      <c r="BA264" s="75"/>
    </row>
    <row r="265" spans="1:53" ht="12.75">
      <c r="A265" s="33"/>
      <c r="B265" s="8"/>
      <c r="C265" s="8"/>
      <c r="D265" s="74" t="s">
        <v>415</v>
      </c>
      <c r="E265" s="8"/>
      <c r="F265" s="8"/>
      <c r="M265" s="1669"/>
      <c r="N265" s="1669"/>
      <c r="O265" s="1669"/>
      <c r="P265" s="1669"/>
      <c r="Q265" s="1669"/>
      <c r="R265" s="1669"/>
      <c r="S265" s="8" t="s">
        <v>891</v>
      </c>
      <c r="T265" s="8"/>
      <c r="U265" s="1676"/>
      <c r="V265" s="1676"/>
      <c r="W265" s="1676"/>
      <c r="X265" s="8" t="s">
        <v>416</v>
      </c>
      <c r="Z265" s="1669"/>
      <c r="AA265" s="1669"/>
      <c r="AB265" s="1669"/>
      <c r="AC265" s="1669"/>
      <c r="AD265" s="1669"/>
      <c r="AE265" s="1669"/>
      <c r="AL265" s="72"/>
      <c r="BA265" s="75"/>
    </row>
    <row r="266" spans="1:53" ht="12.75">
      <c r="A266" s="33"/>
      <c r="B266" s="8"/>
      <c r="C266" s="8"/>
      <c r="D266" s="74" t="s">
        <v>417</v>
      </c>
      <c r="E266" s="8"/>
      <c r="F266" s="8"/>
      <c r="M266" s="1682"/>
      <c r="N266" s="1682"/>
      <c r="O266" s="1682"/>
      <c r="P266" s="1682"/>
      <c r="Q266" s="1682"/>
      <c r="R266" s="1682"/>
      <c r="S266" s="1682"/>
      <c r="T266" s="1682"/>
      <c r="U266" s="1682"/>
      <c r="V266" s="1682"/>
      <c r="W266" s="1682"/>
      <c r="X266" s="1682"/>
      <c r="Y266" s="1682"/>
      <c r="Z266" s="1682"/>
      <c r="AA266" s="1682"/>
      <c r="AB266" s="1682"/>
      <c r="AC266" s="1682"/>
      <c r="AD266" s="1682"/>
      <c r="AE266" s="1682"/>
      <c r="AG266" s="8"/>
      <c r="AH266" s="8"/>
      <c r="AI266" s="8"/>
      <c r="AJ266" s="8"/>
      <c r="AK266" s="8"/>
      <c r="AL266" s="72"/>
      <c r="BA266" s="75"/>
    </row>
    <row r="267" spans="1:53" ht="12.75">
      <c r="A267" s="33"/>
      <c r="B267" s="8"/>
      <c r="C267" s="147"/>
      <c r="D267" s="74" t="s">
        <v>696</v>
      </c>
      <c r="E267" s="8"/>
      <c r="F267" s="8"/>
      <c r="G267" s="8"/>
      <c r="H267" s="8"/>
      <c r="I267" s="8"/>
      <c r="J267" s="8"/>
      <c r="K267" s="8"/>
      <c r="L267" s="8"/>
      <c r="M267" s="1666" t="s">
        <v>85</v>
      </c>
      <c r="N267" s="1666"/>
      <c r="O267" s="1666"/>
      <c r="P267" s="1666"/>
      <c r="Q267" s="1666"/>
      <c r="R267" s="1666"/>
      <c r="S267" s="1666"/>
      <c r="T267" s="1666"/>
      <c r="U267" s="8" t="s">
        <v>1235</v>
      </c>
      <c r="AA267" s="1667"/>
      <c r="AB267" s="1667"/>
      <c r="AC267" s="1667"/>
      <c r="AD267" s="1667"/>
      <c r="AE267" s="1667"/>
      <c r="AF267" s="1667"/>
      <c r="AG267" s="1667"/>
      <c r="AH267" s="1667"/>
      <c r="AI267" s="1667"/>
      <c r="AJ267" s="1667"/>
      <c r="AK267" s="166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1681" t="e">
        <f>BO245</f>
        <v>#N/A</v>
      </c>
      <c r="U269" s="1681"/>
      <c r="V269" s="1681"/>
      <c r="W269" s="1681"/>
      <c r="X269" s="1681"/>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1668" t="s">
        <v>972</v>
      </c>
      <c r="E272" s="1668"/>
      <c r="F272" s="1668"/>
      <c r="G272" s="1668"/>
      <c r="H272" s="1668"/>
      <c r="J272" s="16" t="s">
        <v>971</v>
      </c>
      <c r="X272" s="1827"/>
      <c r="Y272" s="1827"/>
      <c r="Z272" s="1827"/>
      <c r="AA272" s="1827"/>
      <c r="AB272" s="1827"/>
      <c r="AC272" s="1827"/>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 customHeight="1">
      <c r="D276" s="71" t="s">
        <v>294</v>
      </c>
      <c r="E276" s="71"/>
      <c r="F276" s="71"/>
      <c r="G276" s="71"/>
      <c r="H276" s="71"/>
      <c r="I276" s="71"/>
      <c r="J276" s="71"/>
      <c r="K276" s="8"/>
      <c r="L276" s="1679" t="s">
        <v>2337</v>
      </c>
      <c r="M276" s="1680"/>
      <c r="N276" s="1680"/>
      <c r="O276" s="1680"/>
      <c r="P276" s="1680"/>
      <c r="Q276" s="1680"/>
      <c r="R276" s="1680"/>
      <c r="S276" s="1680"/>
      <c r="T276" s="1680"/>
      <c r="U276" s="1680"/>
      <c r="V276" s="1680"/>
      <c r="W276" s="1680"/>
      <c r="X276" s="1680"/>
      <c r="Y276" s="1680"/>
      <c r="Z276" s="1680"/>
      <c r="AA276" s="1680"/>
      <c r="AB276" s="1680"/>
      <c r="AC276" s="1680"/>
      <c r="AD276" s="1680"/>
      <c r="AE276" s="1680"/>
      <c r="AF276" s="1680"/>
      <c r="AG276" s="1680"/>
      <c r="AH276" s="1680"/>
      <c r="AI276" s="1680"/>
      <c r="AJ276" s="1680"/>
      <c r="AK276" s="72"/>
      <c r="AL276" s="72"/>
      <c r="BA276" s="75"/>
    </row>
    <row r="277" spans="1:53" ht="12.75" customHeight="1">
      <c r="D277" s="71" t="s">
        <v>412</v>
      </c>
      <c r="E277" s="71"/>
      <c r="F277" s="71"/>
      <c r="G277" s="71"/>
      <c r="H277" s="71"/>
      <c r="I277" s="71"/>
      <c r="J277" s="71"/>
      <c r="K277" s="8"/>
      <c r="L277" s="1673" t="s">
        <v>2348</v>
      </c>
      <c r="M277" s="1668"/>
      <c r="N277" s="1668"/>
      <c r="O277" s="1668"/>
      <c r="P277" s="1668"/>
      <c r="Q277" s="1668"/>
      <c r="R277" s="1668"/>
      <c r="S277" s="1668"/>
      <c r="T277" s="1668"/>
      <c r="U277" s="1668"/>
      <c r="V277" s="1668"/>
      <c r="W277" s="1668"/>
      <c r="X277" s="1668"/>
      <c r="Y277" s="1668"/>
      <c r="Z277" s="1668"/>
      <c r="AA277" s="1668"/>
      <c r="AB277" s="1668"/>
      <c r="AC277" s="1668"/>
      <c r="AD277" s="1668"/>
      <c r="AK277" s="72"/>
      <c r="AL277" s="72"/>
      <c r="BA277" s="75"/>
    </row>
    <row r="278" spans="1:53" ht="12.75">
      <c r="D278" s="71" t="s">
        <v>475</v>
      </c>
      <c r="E278" s="71"/>
      <c r="L278" s="1673" t="s">
        <v>2349</v>
      </c>
      <c r="M278" s="1668"/>
      <c r="N278" s="1668"/>
      <c r="O278" s="1668"/>
      <c r="P278" s="1668"/>
      <c r="Q278" s="1668"/>
      <c r="R278" s="1668"/>
      <c r="S278" s="1668"/>
      <c r="U278" s="73" t="s">
        <v>413</v>
      </c>
      <c r="V278" s="1665" t="s">
        <v>2350</v>
      </c>
      <c r="W278" s="1676"/>
      <c r="X278" s="71" t="s">
        <v>478</v>
      </c>
      <c r="AB278" s="1668">
        <v>94541</v>
      </c>
      <c r="AC278" s="1668"/>
      <c r="AD278" s="1668"/>
      <c r="AK278" s="72"/>
      <c r="AL278" s="72"/>
      <c r="BA278" s="75"/>
    </row>
    <row r="279" spans="1:53" ht="12.75">
      <c r="D279" s="74" t="s">
        <v>414</v>
      </c>
      <c r="E279" s="8"/>
      <c r="F279" s="8"/>
      <c r="G279" s="8"/>
      <c r="H279" s="8"/>
      <c r="I279" s="8"/>
      <c r="J279" s="8"/>
      <c r="K279" s="39"/>
      <c r="L279" s="1673" t="s">
        <v>2352</v>
      </c>
      <c r="M279" s="1668"/>
      <c r="N279" s="1668"/>
      <c r="O279" s="1668"/>
      <c r="P279" s="1668"/>
      <c r="Q279" s="1668"/>
      <c r="R279" s="1668"/>
      <c r="S279" s="1668"/>
      <c r="T279" s="1668"/>
      <c r="U279" s="1668"/>
      <c r="V279" s="1668"/>
      <c r="W279" s="1668"/>
      <c r="X279" s="1668"/>
      <c r="Y279" s="1668"/>
      <c r="Z279" s="1668"/>
      <c r="AA279" s="1668"/>
      <c r="AB279" s="1668"/>
      <c r="AC279" s="1668"/>
      <c r="AD279" s="1668"/>
      <c r="AI279" s="8"/>
      <c r="AJ279" s="8"/>
      <c r="AK279" s="72"/>
      <c r="AL279" s="72"/>
      <c r="BA279" s="75"/>
    </row>
    <row r="280" spans="1:53" ht="12.75">
      <c r="D280" s="74" t="s">
        <v>415</v>
      </c>
      <c r="E280" s="8"/>
      <c r="F280" s="8"/>
      <c r="L280" s="1675" t="s">
        <v>2353</v>
      </c>
      <c r="M280" s="1669"/>
      <c r="N280" s="1669"/>
      <c r="O280" s="1669"/>
      <c r="P280" s="1669"/>
      <c r="Q280" s="1669"/>
      <c r="R280" s="8" t="s">
        <v>891</v>
      </c>
      <c r="S280" s="8"/>
      <c r="T280" s="1676"/>
      <c r="U280" s="1676"/>
      <c r="V280" s="1676"/>
      <c r="W280" s="8" t="s">
        <v>416</v>
      </c>
      <c r="Y280" s="1669"/>
      <c r="Z280" s="1669"/>
      <c r="AA280" s="1669"/>
      <c r="AB280" s="1669"/>
      <c r="AC280" s="1669"/>
      <c r="AD280" s="1669"/>
      <c r="BA280" s="75"/>
    </row>
    <row r="281" spans="1:53" ht="12.75">
      <c r="D281" s="74" t="s">
        <v>417</v>
      </c>
      <c r="E281" s="8"/>
      <c r="F281" s="8"/>
      <c r="L281" s="1682" t="s">
        <v>2354</v>
      </c>
      <c r="M281" s="1682"/>
      <c r="N281" s="1682"/>
      <c r="O281" s="1682"/>
      <c r="P281" s="1682"/>
      <c r="Q281" s="1682"/>
      <c r="R281" s="1682"/>
      <c r="S281" s="1682"/>
      <c r="T281" s="1682"/>
      <c r="U281" s="1682"/>
      <c r="V281" s="1682"/>
      <c r="W281" s="1682"/>
      <c r="X281" s="1682"/>
      <c r="Y281" s="1682"/>
      <c r="Z281" s="1682"/>
      <c r="AA281" s="1682"/>
      <c r="AB281" s="1682"/>
      <c r="AC281" s="1682"/>
      <c r="AD281" s="1682"/>
      <c r="AF281" s="8"/>
      <c r="AG281" s="8"/>
      <c r="AH281" s="8"/>
      <c r="AI281" s="8"/>
      <c r="AJ281" s="8"/>
      <c r="BA281" s="75"/>
    </row>
    <row r="282" spans="1:53" ht="12.75">
      <c r="D282" s="72" t="s">
        <v>201</v>
      </c>
      <c r="E282" s="72"/>
      <c r="F282" s="72"/>
      <c r="G282" s="72"/>
      <c r="H282" s="72"/>
      <c r="I282" s="72"/>
      <c r="L282" s="1665" t="s">
        <v>2364</v>
      </c>
      <c r="M282" s="1665"/>
      <c r="N282" s="1665"/>
      <c r="O282" s="1665"/>
      <c r="P282" s="1665"/>
      <c r="Q282" s="1665"/>
      <c r="R282" s="1665"/>
      <c r="S282" s="1665"/>
      <c r="T282" s="1665"/>
      <c r="U282" s="1665"/>
      <c r="V282" s="1665"/>
      <c r="W282" s="1665"/>
      <c r="X282" s="1665"/>
      <c r="Y282" s="1665"/>
      <c r="Z282" s="1665"/>
      <c r="AA282" s="1665"/>
      <c r="AB282" s="1665"/>
      <c r="AC282" s="1665"/>
      <c r="AD282" s="1665"/>
      <c r="AK282" s="72"/>
      <c r="AL282" s="72"/>
      <c r="BA282" s="75"/>
    </row>
    <row r="283" spans="1:53" ht="12.75">
      <c r="L283" s="46" t="s">
        <v>202</v>
      </c>
      <c r="BA283" s="75"/>
    </row>
    <row r="284" spans="1:53" ht="12.75">
      <c r="A284" s="1677" t="s">
        <v>541</v>
      </c>
      <c r="B284" s="1677"/>
      <c r="C284" s="1677"/>
      <c r="D284" s="1677"/>
      <c r="E284" s="1677"/>
      <c r="F284" s="1677"/>
      <c r="G284" s="1677"/>
      <c r="H284" s="1677"/>
      <c r="I284" s="1677"/>
      <c r="J284" s="1677"/>
      <c r="K284" s="1677"/>
      <c r="L284" s="1677"/>
      <c r="M284" s="1677"/>
      <c r="N284" s="1677"/>
      <c r="O284" s="1677"/>
      <c r="P284" s="1677"/>
      <c r="Q284" s="1677"/>
      <c r="R284" s="1677"/>
      <c r="S284" s="1677"/>
      <c r="T284" s="1677"/>
      <c r="U284" s="1677"/>
      <c r="V284" s="1677"/>
      <c r="W284" s="1677"/>
      <c r="X284" s="1677"/>
      <c r="Y284" s="1677"/>
      <c r="Z284" s="1677"/>
      <c r="AA284" s="1677"/>
      <c r="AB284" s="1677"/>
      <c r="AC284" s="1677"/>
      <c r="AD284" s="1677"/>
      <c r="AE284" s="1677"/>
      <c r="AF284" s="1677"/>
      <c r="AG284" s="1677"/>
      <c r="AH284" s="1677"/>
      <c r="AI284" s="1677"/>
      <c r="AJ284" s="1677"/>
      <c r="AK284" s="1677"/>
      <c r="AL284" s="1677"/>
      <c r="BA284" s="75"/>
    </row>
    <row r="285" spans="1:53" ht="13.5" thickBot="1">
      <c r="A285" s="1678"/>
      <c r="B285" s="1678"/>
      <c r="C285" s="1678"/>
      <c r="D285" s="1678"/>
      <c r="E285" s="1678"/>
      <c r="F285" s="1678"/>
      <c r="G285" s="1678"/>
      <c r="H285" s="1678"/>
      <c r="I285" s="1678"/>
      <c r="J285" s="1678"/>
      <c r="K285" s="1678"/>
      <c r="L285" s="1678"/>
      <c r="M285" s="1678"/>
      <c r="N285" s="1678"/>
      <c r="O285" s="1678"/>
      <c r="P285" s="1678"/>
      <c r="Q285" s="1678"/>
      <c r="R285" s="1678"/>
      <c r="S285" s="1678"/>
      <c r="T285" s="1678"/>
      <c r="U285" s="1678"/>
      <c r="V285" s="1678"/>
      <c r="W285" s="1678"/>
      <c r="X285" s="1678"/>
      <c r="Y285" s="1678"/>
      <c r="Z285" s="1678"/>
      <c r="AA285" s="1678"/>
      <c r="AB285" s="1678"/>
      <c r="AC285" s="1678"/>
      <c r="AD285" s="1678"/>
      <c r="AE285" s="1678"/>
      <c r="AF285" s="1678"/>
      <c r="AG285" s="1678"/>
      <c r="AH285" s="1678"/>
      <c r="AI285" s="1678"/>
      <c r="AJ285" s="1678"/>
      <c r="AK285" s="1678"/>
      <c r="AL285" s="167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72" t="s">
        <v>2337</v>
      </c>
      <c r="I289" s="1672"/>
      <c r="J289" s="1672"/>
      <c r="K289" s="1672"/>
      <c r="L289" s="1672"/>
      <c r="M289" s="1672"/>
      <c r="N289" s="1672"/>
      <c r="O289" s="1672"/>
      <c r="P289" s="1672"/>
      <c r="Q289" s="1672"/>
      <c r="R289" s="1672"/>
      <c r="T289" s="72" t="s">
        <v>807</v>
      </c>
      <c r="V289" s="72"/>
      <c r="W289" s="72"/>
      <c r="X289" s="72"/>
      <c r="Y289" s="72"/>
      <c r="AA289" s="1672" t="s">
        <v>2358</v>
      </c>
      <c r="AB289" s="1672"/>
      <c r="AC289" s="1672"/>
      <c r="AD289" s="1672"/>
      <c r="AE289" s="1672"/>
      <c r="AF289" s="1672"/>
      <c r="AG289" s="1672"/>
      <c r="AH289" s="1672"/>
      <c r="AI289" s="1672"/>
      <c r="AJ289" s="1672"/>
      <c r="AK289" s="1672"/>
      <c r="BA289" s="75"/>
    </row>
    <row r="290" spans="2:53" ht="12.75">
      <c r="B290" s="72" t="s">
        <v>760</v>
      </c>
      <c r="C290" s="72"/>
      <c r="D290" s="72"/>
      <c r="E290" s="72"/>
      <c r="F290" s="72"/>
      <c r="H290" s="1666" t="s">
        <v>2365</v>
      </c>
      <c r="I290" s="1666"/>
      <c r="J290" s="1666"/>
      <c r="K290" s="1666"/>
      <c r="L290" s="1666"/>
      <c r="M290" s="1666"/>
      <c r="N290" s="1666"/>
      <c r="O290" s="1666"/>
      <c r="P290" s="1666"/>
      <c r="Q290" s="1666"/>
      <c r="R290" s="1666"/>
      <c r="T290" s="72" t="s">
        <v>760</v>
      </c>
      <c r="V290" s="72"/>
      <c r="W290" s="72"/>
      <c r="X290" s="72"/>
      <c r="Y290" s="72"/>
      <c r="AA290" s="1665" t="s">
        <v>2375</v>
      </c>
      <c r="AB290" s="1666"/>
      <c r="AC290" s="1666"/>
      <c r="AD290" s="1666"/>
      <c r="AE290" s="1666"/>
      <c r="AF290" s="1666"/>
      <c r="AG290" s="1666"/>
      <c r="AH290" s="1666"/>
      <c r="AI290" s="1666"/>
      <c r="AJ290" s="1666"/>
      <c r="AK290" s="1666"/>
      <c r="BA290" s="75"/>
    </row>
    <row r="291" spans="2:53" ht="12.75">
      <c r="B291" s="72" t="s">
        <v>762</v>
      </c>
      <c r="C291" s="72"/>
      <c r="D291" s="72"/>
      <c r="E291" s="72"/>
      <c r="F291" s="72"/>
      <c r="H291" s="1666" t="s">
        <v>2366</v>
      </c>
      <c r="I291" s="1666"/>
      <c r="J291" s="1666"/>
      <c r="K291" s="1666"/>
      <c r="L291" s="1666"/>
      <c r="M291" s="1666"/>
      <c r="N291" s="1666"/>
      <c r="O291" s="1666"/>
      <c r="P291" s="1666"/>
      <c r="Q291" s="1666"/>
      <c r="R291" s="1666"/>
      <c r="T291" s="72" t="s">
        <v>761</v>
      </c>
      <c r="V291" s="72"/>
      <c r="W291" s="72"/>
      <c r="X291" s="72"/>
      <c r="Y291" s="72"/>
      <c r="AA291" s="1665" t="s">
        <v>2376</v>
      </c>
      <c r="AB291" s="1666"/>
      <c r="AC291" s="1666"/>
      <c r="AD291" s="1666"/>
      <c r="AE291" s="1666"/>
      <c r="AF291" s="1666"/>
      <c r="AG291" s="1666"/>
      <c r="AH291" s="1666"/>
      <c r="AI291" s="1666"/>
      <c r="AJ291" s="1666"/>
      <c r="AK291" s="1666"/>
      <c r="BA291" s="75"/>
    </row>
    <row r="292" spans="2:53" ht="12.75">
      <c r="B292" s="72" t="s">
        <v>414</v>
      </c>
      <c r="C292" s="72"/>
      <c r="D292" s="72"/>
      <c r="E292" s="72"/>
      <c r="F292" s="72"/>
      <c r="H292" s="1665" t="s">
        <v>2352</v>
      </c>
      <c r="I292" s="1666"/>
      <c r="J292" s="1666"/>
      <c r="K292" s="1666"/>
      <c r="L292" s="1666"/>
      <c r="M292" s="1666"/>
      <c r="N292" s="1666"/>
      <c r="O292" s="1666"/>
      <c r="P292" s="1666"/>
      <c r="Q292" s="1666"/>
      <c r="R292" s="1666"/>
      <c r="T292" s="72" t="s">
        <v>414</v>
      </c>
      <c r="V292" s="72"/>
      <c r="W292" s="72"/>
      <c r="X292" s="72"/>
      <c r="Y292" s="72"/>
      <c r="AA292" s="1665" t="s">
        <v>2377</v>
      </c>
      <c r="AB292" s="1666"/>
      <c r="AC292" s="1666"/>
      <c r="AD292" s="1666"/>
      <c r="AE292" s="1666"/>
      <c r="AF292" s="1666"/>
      <c r="AG292" s="1666"/>
      <c r="AH292" s="1666"/>
      <c r="AI292" s="1666"/>
      <c r="AJ292" s="1666"/>
      <c r="AK292" s="1666"/>
      <c r="BA292" s="75"/>
    </row>
    <row r="293" spans="2:53" ht="12.75" customHeight="1">
      <c r="B293" s="72" t="s">
        <v>415</v>
      </c>
      <c r="C293" s="72"/>
      <c r="D293" s="72"/>
      <c r="E293" s="72"/>
      <c r="F293" s="72"/>
      <c r="G293" s="72"/>
      <c r="H293" s="1675" t="s">
        <v>2353</v>
      </c>
      <c r="I293" s="1669"/>
      <c r="J293" s="1669"/>
      <c r="K293" s="1669"/>
      <c r="L293" s="1669"/>
      <c r="M293" s="1669"/>
      <c r="N293" s="8" t="s">
        <v>891</v>
      </c>
      <c r="O293" s="8"/>
      <c r="P293" s="1668"/>
      <c r="Q293" s="1668"/>
      <c r="R293" s="1668"/>
      <c r="S293" s="72"/>
      <c r="T293" s="72" t="s">
        <v>415</v>
      </c>
      <c r="V293" s="72"/>
      <c r="W293" s="72"/>
      <c r="X293" s="72"/>
      <c r="Y293" s="72"/>
      <c r="AA293" s="1674" t="s">
        <v>2378</v>
      </c>
      <c r="AB293" s="1667"/>
      <c r="AC293" s="1667"/>
      <c r="AD293" s="1667"/>
      <c r="AE293" s="1667"/>
      <c r="AF293" s="1667"/>
      <c r="AG293" s="8" t="s">
        <v>891</v>
      </c>
      <c r="AH293" s="8"/>
      <c r="AI293" s="1668"/>
      <c r="AJ293" s="1668"/>
      <c r="AK293" s="1668"/>
      <c r="BA293" s="75"/>
    </row>
    <row r="294" spans="2:53" ht="12.75">
      <c r="B294" s="72" t="s">
        <v>416</v>
      </c>
      <c r="C294" s="72"/>
      <c r="D294" s="72"/>
      <c r="E294" s="72"/>
      <c r="F294" s="72"/>
      <c r="G294" s="72"/>
      <c r="H294" s="1675" t="s">
        <v>2367</v>
      </c>
      <c r="I294" s="1675"/>
      <c r="J294" s="1675"/>
      <c r="K294" s="1675"/>
      <c r="L294" s="1675"/>
      <c r="M294" s="1675"/>
      <c r="N294" s="74"/>
      <c r="O294" s="74"/>
      <c r="P294" s="76"/>
      <c r="Q294" s="76"/>
      <c r="R294" s="76"/>
      <c r="S294" s="72"/>
      <c r="T294" s="72" t="s">
        <v>416</v>
      </c>
      <c r="V294" s="72"/>
      <c r="W294" s="72"/>
      <c r="X294" s="72"/>
      <c r="Y294" s="72"/>
      <c r="AA294" s="1669"/>
      <c r="AB294" s="1669"/>
      <c r="AC294" s="1669"/>
      <c r="AD294" s="1669"/>
      <c r="AE294" s="1669"/>
      <c r="AF294" s="1669"/>
      <c r="AG294" s="74"/>
      <c r="AH294" s="74"/>
      <c r="AI294" s="76"/>
      <c r="AJ294" s="76"/>
      <c r="AK294" s="76"/>
      <c r="BA294" s="75"/>
    </row>
    <row r="295" spans="2:53" ht="12.75">
      <c r="B295" s="72" t="s">
        <v>763</v>
      </c>
      <c r="C295" s="72"/>
      <c r="D295" s="72"/>
      <c r="E295" s="72"/>
      <c r="F295" s="72"/>
      <c r="G295" s="72"/>
      <c r="H295" s="1666" t="s">
        <v>2354</v>
      </c>
      <c r="I295" s="1666"/>
      <c r="J295" s="1666"/>
      <c r="K295" s="1666"/>
      <c r="L295" s="1666"/>
      <c r="M295" s="1666"/>
      <c r="N295" s="1672"/>
      <c r="O295" s="1672"/>
      <c r="P295" s="1672"/>
      <c r="Q295" s="1672"/>
      <c r="R295" s="1672"/>
      <c r="S295" s="72"/>
      <c r="T295" s="72" t="s">
        <v>763</v>
      </c>
      <c r="V295" s="72"/>
      <c r="W295" s="72"/>
      <c r="X295" s="72"/>
      <c r="Y295" s="72"/>
      <c r="AA295" s="1665" t="s">
        <v>2379</v>
      </c>
      <c r="AB295" s="1666"/>
      <c r="AC295" s="1666"/>
      <c r="AD295" s="1666"/>
      <c r="AE295" s="1666"/>
      <c r="AF295" s="1666"/>
      <c r="AG295" s="1672"/>
      <c r="AH295" s="1672"/>
      <c r="AI295" s="1672"/>
      <c r="AJ295" s="1672"/>
      <c r="AK295" s="167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673" t="s">
        <v>2368</v>
      </c>
      <c r="I297" s="1672"/>
      <c r="J297" s="1672"/>
      <c r="K297" s="1672"/>
      <c r="L297" s="1672"/>
      <c r="M297" s="1672"/>
      <c r="N297" s="1672"/>
      <c r="O297" s="1672"/>
      <c r="P297" s="1672"/>
      <c r="Q297" s="1672"/>
      <c r="R297" s="1672"/>
      <c r="T297" s="72" t="s">
        <v>40</v>
      </c>
      <c r="V297" s="72"/>
      <c r="W297" s="72"/>
      <c r="X297" s="72"/>
      <c r="Y297" s="72"/>
      <c r="AA297" s="1673" t="s">
        <v>2380</v>
      </c>
      <c r="AB297" s="1672"/>
      <c r="AC297" s="1672"/>
      <c r="AD297" s="1672"/>
      <c r="AE297" s="1672"/>
      <c r="AF297" s="1672"/>
      <c r="AG297" s="1672"/>
      <c r="AH297" s="1672"/>
      <c r="AI297" s="1672"/>
      <c r="AJ297" s="1672"/>
      <c r="AK297" s="1672"/>
      <c r="BA297" s="75"/>
    </row>
    <row r="298" spans="2:53" ht="12.75">
      <c r="B298" s="72" t="s">
        <v>760</v>
      </c>
      <c r="C298" s="72"/>
      <c r="D298" s="72"/>
      <c r="E298" s="72"/>
      <c r="F298" s="72"/>
      <c r="H298" s="1666" t="s">
        <v>2369</v>
      </c>
      <c r="I298" s="1666"/>
      <c r="J298" s="1666"/>
      <c r="K298" s="1666"/>
      <c r="L298" s="1666"/>
      <c r="M298" s="1666"/>
      <c r="N298" s="1666"/>
      <c r="O298" s="1666"/>
      <c r="P298" s="1666"/>
      <c r="Q298" s="1666"/>
      <c r="R298" s="1666"/>
      <c r="T298" s="72" t="s">
        <v>760</v>
      </c>
      <c r="V298" s="72"/>
      <c r="W298" s="72"/>
      <c r="X298" s="72"/>
      <c r="Y298" s="72"/>
      <c r="AA298" s="1665" t="s">
        <v>2381</v>
      </c>
      <c r="AB298" s="1666"/>
      <c r="AC298" s="1666"/>
      <c r="AD298" s="1666"/>
      <c r="AE298" s="1666"/>
      <c r="AF298" s="1666"/>
      <c r="AG298" s="1666"/>
      <c r="AH298" s="1666"/>
      <c r="AI298" s="1666"/>
      <c r="AJ298" s="1666"/>
      <c r="AK298" s="1666"/>
      <c r="BA298" s="75"/>
    </row>
    <row r="299" spans="2:53" ht="12.75">
      <c r="B299" s="72" t="s">
        <v>762</v>
      </c>
      <c r="C299" s="72"/>
      <c r="D299" s="72"/>
      <c r="E299" s="72"/>
      <c r="F299" s="72"/>
      <c r="H299" s="1666" t="s">
        <v>2370</v>
      </c>
      <c r="I299" s="1666"/>
      <c r="J299" s="1666"/>
      <c r="K299" s="1666"/>
      <c r="L299" s="1666"/>
      <c r="M299" s="1666"/>
      <c r="N299" s="1666"/>
      <c r="O299" s="1666"/>
      <c r="P299" s="1666"/>
      <c r="Q299" s="1666"/>
      <c r="R299" s="1666"/>
      <c r="T299" s="72" t="s">
        <v>761</v>
      </c>
      <c r="V299" s="72"/>
      <c r="W299" s="72"/>
      <c r="X299" s="72"/>
      <c r="Y299" s="72"/>
      <c r="AA299" s="1665" t="s">
        <v>2382</v>
      </c>
      <c r="AB299" s="1666"/>
      <c r="AC299" s="1666"/>
      <c r="AD299" s="1666"/>
      <c r="AE299" s="1666"/>
      <c r="AF299" s="1666"/>
      <c r="AG299" s="1666"/>
      <c r="AH299" s="1666"/>
      <c r="AI299" s="1666"/>
      <c r="AJ299" s="1666"/>
      <c r="AK299" s="1666"/>
      <c r="BA299" s="75"/>
    </row>
    <row r="300" spans="2:53" ht="12.75">
      <c r="B300" s="72" t="s">
        <v>414</v>
      </c>
      <c r="C300" s="72"/>
      <c r="D300" s="72"/>
      <c r="E300" s="72"/>
      <c r="F300" s="72"/>
      <c r="H300" s="1666" t="s">
        <v>2371</v>
      </c>
      <c r="I300" s="1666"/>
      <c r="J300" s="1666"/>
      <c r="K300" s="1666"/>
      <c r="L300" s="1666"/>
      <c r="M300" s="1666"/>
      <c r="N300" s="1666"/>
      <c r="O300" s="1666"/>
      <c r="P300" s="1666"/>
      <c r="Q300" s="1666"/>
      <c r="R300" s="1666"/>
      <c r="T300" s="72" t="s">
        <v>414</v>
      </c>
      <c r="V300" s="72"/>
      <c r="W300" s="72"/>
      <c r="X300" s="72"/>
      <c r="Y300" s="72"/>
      <c r="AA300" s="1665" t="s">
        <v>2383</v>
      </c>
      <c r="AB300" s="1666"/>
      <c r="AC300" s="1666"/>
      <c r="AD300" s="1666"/>
      <c r="AE300" s="1666"/>
      <c r="AF300" s="1666"/>
      <c r="AG300" s="1666"/>
      <c r="AH300" s="1666"/>
      <c r="AI300" s="1666"/>
      <c r="AJ300" s="1666"/>
      <c r="AK300" s="1666"/>
      <c r="BA300" s="75"/>
    </row>
    <row r="301" spans="2:53" ht="12.75" customHeight="1">
      <c r="B301" s="72" t="s">
        <v>415</v>
      </c>
      <c r="C301" s="72"/>
      <c r="D301" s="72"/>
      <c r="E301" s="72"/>
      <c r="F301" s="72"/>
      <c r="G301" s="72"/>
      <c r="H301" s="1674" t="s">
        <v>2372</v>
      </c>
      <c r="I301" s="1674"/>
      <c r="J301" s="1674"/>
      <c r="K301" s="1674"/>
      <c r="L301" s="1674"/>
      <c r="M301" s="1674"/>
      <c r="N301" s="8" t="s">
        <v>891</v>
      </c>
      <c r="O301" s="8"/>
      <c r="P301" s="1668"/>
      <c r="Q301" s="1668"/>
      <c r="R301" s="1668"/>
      <c r="S301" s="72"/>
      <c r="T301" s="72" t="s">
        <v>415</v>
      </c>
      <c r="V301" s="72"/>
      <c r="W301" s="72"/>
      <c r="X301" s="72"/>
      <c r="Y301" s="72"/>
      <c r="AA301" s="1674" t="s">
        <v>2384</v>
      </c>
      <c r="AB301" s="1667"/>
      <c r="AC301" s="1667"/>
      <c r="AD301" s="1667"/>
      <c r="AE301" s="1667"/>
      <c r="AF301" s="1667"/>
      <c r="AG301" s="8" t="s">
        <v>891</v>
      </c>
      <c r="AH301" s="8"/>
      <c r="AI301" s="1668"/>
      <c r="AJ301" s="1668"/>
      <c r="AK301" s="1668"/>
      <c r="BA301" s="75"/>
    </row>
    <row r="302" spans="2:53" ht="12.75">
      <c r="B302" s="72" t="s">
        <v>416</v>
      </c>
      <c r="C302" s="72"/>
      <c r="D302" s="72"/>
      <c r="E302" s="72"/>
      <c r="F302" s="72"/>
      <c r="G302" s="72"/>
      <c r="H302" s="1675" t="s">
        <v>2373</v>
      </c>
      <c r="I302" s="1675"/>
      <c r="J302" s="1675"/>
      <c r="K302" s="1675"/>
      <c r="L302" s="1675"/>
      <c r="M302" s="1675"/>
      <c r="N302" s="74"/>
      <c r="O302" s="74"/>
      <c r="P302" s="76"/>
      <c r="Q302" s="76"/>
      <c r="R302" s="76"/>
      <c r="S302" s="72"/>
      <c r="T302" s="72" t="s">
        <v>416</v>
      </c>
      <c r="V302" s="72"/>
      <c r="W302" s="72"/>
      <c r="X302" s="72"/>
      <c r="Y302" s="72"/>
      <c r="AA302" s="1675" t="s">
        <v>2385</v>
      </c>
      <c r="AB302" s="1669"/>
      <c r="AC302" s="1669"/>
      <c r="AD302" s="1669"/>
      <c r="AE302" s="1669"/>
      <c r="AF302" s="1669"/>
      <c r="AG302" s="74"/>
      <c r="AH302" s="74"/>
      <c r="AI302" s="76"/>
      <c r="AJ302" s="76"/>
      <c r="AK302" s="76"/>
      <c r="BA302" s="75"/>
    </row>
    <row r="303" spans="2:53" ht="12.75">
      <c r="B303" s="72" t="s">
        <v>763</v>
      </c>
      <c r="C303" s="72"/>
      <c r="D303" s="72"/>
      <c r="E303" s="72"/>
      <c r="F303" s="72"/>
      <c r="G303" s="72"/>
      <c r="H303" s="1666" t="s">
        <v>2374</v>
      </c>
      <c r="I303" s="1666"/>
      <c r="J303" s="1666"/>
      <c r="K303" s="1666"/>
      <c r="L303" s="1666"/>
      <c r="M303" s="1666"/>
      <c r="N303" s="1672"/>
      <c r="O303" s="1672"/>
      <c r="P303" s="1672"/>
      <c r="Q303" s="1672"/>
      <c r="R303" s="1672"/>
      <c r="S303" s="72"/>
      <c r="T303" s="72" t="s">
        <v>763</v>
      </c>
      <c r="V303" s="72"/>
      <c r="W303" s="72"/>
      <c r="X303" s="72"/>
      <c r="Y303" s="72"/>
      <c r="AA303" s="1665" t="s">
        <v>2386</v>
      </c>
      <c r="AB303" s="1666"/>
      <c r="AC303" s="1666"/>
      <c r="AD303" s="1666"/>
      <c r="AE303" s="1666"/>
      <c r="AF303" s="1666"/>
      <c r="AG303" s="1672"/>
      <c r="AH303" s="1672"/>
      <c r="AI303" s="1672"/>
      <c r="AJ303" s="1672"/>
      <c r="AK303" s="1672"/>
      <c r="BA303" s="75"/>
    </row>
    <row r="304" spans="2:53" ht="12.75">
      <c r="BA304" s="75"/>
    </row>
    <row r="305" spans="1:53" ht="12.75" customHeight="1">
      <c r="B305" s="72" t="s">
        <v>764</v>
      </c>
      <c r="C305" s="72"/>
      <c r="D305" s="72"/>
      <c r="E305" s="72"/>
      <c r="F305" s="72"/>
      <c r="H305" s="1673" t="s">
        <v>2368</v>
      </c>
      <c r="I305" s="1672"/>
      <c r="J305" s="1672"/>
      <c r="K305" s="1672"/>
      <c r="L305" s="1672"/>
      <c r="M305" s="1672"/>
      <c r="N305" s="1672"/>
      <c r="O305" s="1672"/>
      <c r="P305" s="1672"/>
      <c r="Q305" s="1672"/>
      <c r="R305" s="1672"/>
      <c r="T305" s="8" t="s">
        <v>1192</v>
      </c>
      <c r="V305" s="72"/>
      <c r="W305" s="72"/>
      <c r="X305" s="72"/>
      <c r="Y305" s="72"/>
      <c r="AA305" s="1673" t="s">
        <v>2496</v>
      </c>
      <c r="AB305" s="1672"/>
      <c r="AC305" s="1672"/>
      <c r="AD305" s="1672"/>
      <c r="AE305" s="1672"/>
      <c r="AF305" s="1672"/>
      <c r="AG305" s="1672"/>
      <c r="AH305" s="1672"/>
      <c r="AI305" s="1672"/>
      <c r="AJ305" s="1672"/>
      <c r="AK305" s="1672"/>
      <c r="BA305" s="75"/>
    </row>
    <row r="306" spans="1:53" ht="12.75" customHeight="1">
      <c r="B306" s="72" t="s">
        <v>760</v>
      </c>
      <c r="C306" s="72"/>
      <c r="D306" s="72"/>
      <c r="E306" s="72"/>
      <c r="F306" s="72"/>
      <c r="H306" s="1666" t="s">
        <v>2369</v>
      </c>
      <c r="I306" s="1666"/>
      <c r="J306" s="1666"/>
      <c r="K306" s="1666"/>
      <c r="L306" s="1666"/>
      <c r="M306" s="1666"/>
      <c r="N306" s="1666"/>
      <c r="O306" s="1666"/>
      <c r="P306" s="1666"/>
      <c r="Q306" s="1666"/>
      <c r="R306" s="1666"/>
      <c r="T306" s="72" t="s">
        <v>760</v>
      </c>
      <c r="V306" s="72"/>
      <c r="W306" s="72"/>
      <c r="X306" s="72"/>
      <c r="Y306" s="72"/>
      <c r="AA306" s="1660" t="s">
        <v>2500</v>
      </c>
      <c r="AB306" s="1661"/>
      <c r="AC306" s="1661"/>
      <c r="AD306" s="1661"/>
      <c r="AE306" s="1661"/>
      <c r="AF306" s="1661"/>
      <c r="AG306" s="1661"/>
      <c r="AH306" s="1661"/>
      <c r="AI306" s="1661"/>
      <c r="AJ306" s="1661"/>
      <c r="AK306" s="1661"/>
      <c r="BA306" s="75"/>
    </row>
    <row r="307" spans="1:53" ht="12.75" customHeight="1">
      <c r="B307" s="72" t="s">
        <v>762</v>
      </c>
      <c r="C307" s="72"/>
      <c r="D307" s="72"/>
      <c r="E307" s="72"/>
      <c r="F307" s="72"/>
      <c r="H307" s="1666" t="s">
        <v>2370</v>
      </c>
      <c r="I307" s="1666"/>
      <c r="J307" s="1666"/>
      <c r="K307" s="1666"/>
      <c r="L307" s="1666"/>
      <c r="M307" s="1666"/>
      <c r="N307" s="1666"/>
      <c r="O307" s="1666"/>
      <c r="P307" s="1666"/>
      <c r="Q307" s="1666"/>
      <c r="R307" s="1666"/>
      <c r="T307" s="72" t="s">
        <v>761</v>
      </c>
      <c r="V307" s="72"/>
      <c r="W307" s="72"/>
      <c r="X307" s="72"/>
      <c r="Y307" s="72"/>
      <c r="AA307" s="1660" t="s">
        <v>2370</v>
      </c>
      <c r="AB307" s="1661"/>
      <c r="AC307" s="1661"/>
      <c r="AD307" s="1661"/>
      <c r="AE307" s="1661"/>
      <c r="AF307" s="1661"/>
      <c r="AG307" s="1661"/>
      <c r="AH307" s="1661"/>
      <c r="AI307" s="1661"/>
      <c r="AJ307" s="1661"/>
      <c r="AK307" s="1661"/>
      <c r="BA307" s="75"/>
    </row>
    <row r="308" spans="1:53" ht="12.75" customHeight="1">
      <c r="B308" s="72" t="s">
        <v>414</v>
      </c>
      <c r="C308" s="72"/>
      <c r="D308" s="72"/>
      <c r="E308" s="72"/>
      <c r="F308" s="72"/>
      <c r="H308" s="1666" t="s">
        <v>2371</v>
      </c>
      <c r="I308" s="1666"/>
      <c r="J308" s="1666"/>
      <c r="K308" s="1666"/>
      <c r="L308" s="1666"/>
      <c r="M308" s="1666"/>
      <c r="N308" s="1666"/>
      <c r="O308" s="1666"/>
      <c r="P308" s="1666"/>
      <c r="Q308" s="1666"/>
      <c r="R308" s="1666"/>
      <c r="T308" s="72" t="s">
        <v>414</v>
      </c>
      <c r="V308" s="72"/>
      <c r="W308" s="72"/>
      <c r="X308" s="72"/>
      <c r="Y308" s="72"/>
      <c r="AA308" s="1660" t="s">
        <v>2497</v>
      </c>
      <c r="AB308" s="1661"/>
      <c r="AC308" s="1661"/>
      <c r="AD308" s="1661"/>
      <c r="AE308" s="1661"/>
      <c r="AF308" s="1661"/>
      <c r="AG308" s="1661"/>
      <c r="AH308" s="1661"/>
      <c r="AI308" s="1661"/>
      <c r="AJ308" s="1661"/>
      <c r="AK308" s="1661"/>
      <c r="BA308" s="75"/>
    </row>
    <row r="309" spans="1:53" ht="12.75">
      <c r="B309" s="72" t="s">
        <v>415</v>
      </c>
      <c r="C309" s="72"/>
      <c r="D309" s="72"/>
      <c r="E309" s="72"/>
      <c r="F309" s="72"/>
      <c r="G309" s="72"/>
      <c r="H309" s="1674" t="s">
        <v>2372</v>
      </c>
      <c r="I309" s="1674"/>
      <c r="J309" s="1674"/>
      <c r="K309" s="1674"/>
      <c r="L309" s="1674"/>
      <c r="M309" s="1674"/>
      <c r="N309" s="8" t="s">
        <v>891</v>
      </c>
      <c r="O309" s="8"/>
      <c r="P309" s="1668"/>
      <c r="Q309" s="1668"/>
      <c r="R309" s="1668"/>
      <c r="S309" s="72"/>
      <c r="T309" s="72" t="s">
        <v>415</v>
      </c>
      <c r="V309" s="72"/>
      <c r="W309" s="72"/>
      <c r="X309" s="72"/>
      <c r="Y309" s="72"/>
      <c r="AA309" s="1663" t="s">
        <v>2498</v>
      </c>
      <c r="AB309" s="1663"/>
      <c r="AC309" s="1663"/>
      <c r="AD309" s="1663"/>
      <c r="AE309" s="1663"/>
      <c r="AF309" s="1663"/>
      <c r="AG309" s="8" t="s">
        <v>891</v>
      </c>
      <c r="AH309" s="8"/>
      <c r="AI309" s="1668"/>
      <c r="AJ309" s="1668"/>
      <c r="AK309" s="1668"/>
      <c r="BA309" s="75"/>
    </row>
    <row r="310" spans="1:53" ht="12.75">
      <c r="B310" s="72" t="s">
        <v>416</v>
      </c>
      <c r="C310" s="72"/>
      <c r="D310" s="72"/>
      <c r="E310" s="72"/>
      <c r="F310" s="72"/>
      <c r="G310" s="72"/>
      <c r="H310" s="1675" t="s">
        <v>2373</v>
      </c>
      <c r="I310" s="1675"/>
      <c r="J310" s="1675"/>
      <c r="K310" s="1675"/>
      <c r="L310" s="1675"/>
      <c r="M310" s="1675"/>
      <c r="N310" s="74"/>
      <c r="O310" s="74"/>
      <c r="P310" s="76"/>
      <c r="Q310" s="76"/>
      <c r="R310" s="76"/>
      <c r="S310" s="72"/>
      <c r="T310" s="72" t="s">
        <v>416</v>
      </c>
      <c r="V310" s="72"/>
      <c r="W310" s="72"/>
      <c r="X310" s="72"/>
      <c r="Y310" s="72"/>
      <c r="AA310" s="1669"/>
      <c r="AB310" s="1669"/>
      <c r="AC310" s="1669"/>
      <c r="AD310" s="1669"/>
      <c r="AE310" s="1669"/>
      <c r="AF310" s="1669"/>
      <c r="AG310" s="74"/>
      <c r="AH310" s="74"/>
      <c r="AI310" s="76"/>
      <c r="AJ310" s="76"/>
      <c r="AK310" s="76"/>
      <c r="BA310" s="75"/>
    </row>
    <row r="311" spans="1:53" ht="12.75">
      <c r="B311" s="72" t="s">
        <v>763</v>
      </c>
      <c r="C311" s="72"/>
      <c r="D311" s="72"/>
      <c r="E311" s="72"/>
      <c r="F311" s="72"/>
      <c r="G311" s="72"/>
      <c r="H311" s="1666" t="s">
        <v>2374</v>
      </c>
      <c r="I311" s="1666"/>
      <c r="J311" s="1666"/>
      <c r="K311" s="1666"/>
      <c r="L311" s="1666"/>
      <c r="M311" s="1666"/>
      <c r="N311" s="1672"/>
      <c r="O311" s="1672"/>
      <c r="P311" s="1672"/>
      <c r="Q311" s="1672"/>
      <c r="R311" s="1672"/>
      <c r="S311" s="72"/>
      <c r="T311" s="72" t="s">
        <v>763</v>
      </c>
      <c r="V311" s="72"/>
      <c r="W311" s="72"/>
      <c r="X311" s="72"/>
      <c r="Y311" s="72"/>
      <c r="AA311" s="1660" t="s">
        <v>2499</v>
      </c>
      <c r="AB311" s="1661"/>
      <c r="AC311" s="1661"/>
      <c r="AD311" s="1661"/>
      <c r="AE311" s="1661"/>
      <c r="AF311" s="1661"/>
      <c r="AG311" s="1662"/>
      <c r="AH311" s="1662"/>
      <c r="AI311" s="1662"/>
      <c r="AJ311" s="1662"/>
      <c r="AK311" s="1662"/>
      <c r="BA311" s="75"/>
    </row>
    <row r="312" spans="1:53" ht="12.75">
      <c r="BA312" s="75"/>
    </row>
    <row r="313" spans="1:53" ht="12.75">
      <c r="B313" s="8" t="s">
        <v>1237</v>
      </c>
      <c r="C313" s="72"/>
      <c r="D313" s="72"/>
      <c r="E313" s="72"/>
      <c r="F313" s="72"/>
      <c r="H313" s="1664" t="s">
        <v>2387</v>
      </c>
      <c r="I313" s="1662"/>
      <c r="J313" s="1662"/>
      <c r="K313" s="1662"/>
      <c r="L313" s="1662"/>
      <c r="M313" s="1662"/>
      <c r="N313" s="1662"/>
      <c r="O313" s="1662"/>
      <c r="P313" s="1662"/>
      <c r="Q313" s="1662"/>
      <c r="R313" s="1662"/>
      <c r="T313" s="72" t="s">
        <v>41</v>
      </c>
      <c r="V313" s="72"/>
      <c r="W313" s="72"/>
      <c r="X313" s="72"/>
      <c r="Y313" s="72"/>
      <c r="AA313" s="1673" t="s">
        <v>2393</v>
      </c>
      <c r="AB313" s="1672"/>
      <c r="AC313" s="1672"/>
      <c r="AD313" s="1672"/>
      <c r="AE313" s="1672"/>
      <c r="AF313" s="1672"/>
      <c r="AG313" s="1672"/>
      <c r="AH313" s="1672"/>
      <c r="AI313" s="1672"/>
      <c r="AJ313" s="1672"/>
      <c r="AK313" s="1672"/>
      <c r="BA313" s="75"/>
    </row>
    <row r="314" spans="1:53" ht="12.75">
      <c r="B314" s="72" t="s">
        <v>760</v>
      </c>
      <c r="C314" s="72"/>
      <c r="D314" s="72"/>
      <c r="E314" s="72"/>
      <c r="F314" s="72"/>
      <c r="H314" s="1660" t="s">
        <v>2388</v>
      </c>
      <c r="I314" s="1661"/>
      <c r="J314" s="1661"/>
      <c r="K314" s="1661"/>
      <c r="L314" s="1661"/>
      <c r="M314" s="1661"/>
      <c r="N314" s="1661"/>
      <c r="O314" s="1661"/>
      <c r="P314" s="1661"/>
      <c r="Q314" s="1661"/>
      <c r="R314" s="1661"/>
      <c r="T314" s="72" t="s">
        <v>760</v>
      </c>
      <c r="V314" s="72"/>
      <c r="W314" s="72"/>
      <c r="X314" s="72"/>
      <c r="Y314" s="72"/>
      <c r="AA314" s="1666"/>
      <c r="AB314" s="1666"/>
      <c r="AC314" s="1666"/>
      <c r="AD314" s="1666"/>
      <c r="AE314" s="1666"/>
      <c r="AF314" s="1666"/>
      <c r="AG314" s="1666"/>
      <c r="AH314" s="1666"/>
      <c r="AI314" s="1666"/>
      <c r="AJ314" s="1666"/>
      <c r="AK314" s="1666"/>
      <c r="BA314" s="75"/>
    </row>
    <row r="315" spans="1:53" ht="12.75" customHeight="1">
      <c r="B315" s="72" t="s">
        <v>762</v>
      </c>
      <c r="C315" s="72"/>
      <c r="D315" s="72"/>
      <c r="E315" s="72"/>
      <c r="F315" s="72"/>
      <c r="H315" s="1660" t="s">
        <v>2389</v>
      </c>
      <c r="I315" s="1661"/>
      <c r="J315" s="1661"/>
      <c r="K315" s="1661"/>
      <c r="L315" s="1661"/>
      <c r="M315" s="1661"/>
      <c r="N315" s="1661"/>
      <c r="O315" s="1661"/>
      <c r="P315" s="1661"/>
      <c r="Q315" s="1661"/>
      <c r="R315" s="1661"/>
      <c r="T315" s="72" t="s">
        <v>761</v>
      </c>
      <c r="V315" s="72"/>
      <c r="W315" s="72"/>
      <c r="X315" s="72"/>
      <c r="Y315" s="72"/>
      <c r="AA315" s="1666"/>
      <c r="AB315" s="1666"/>
      <c r="AC315" s="1666"/>
      <c r="AD315" s="1666"/>
      <c r="AE315" s="1666"/>
      <c r="AF315" s="1666"/>
      <c r="AG315" s="1666"/>
      <c r="AH315" s="1666"/>
      <c r="AI315" s="1666"/>
      <c r="AJ315" s="1666"/>
      <c r="AK315" s="1666"/>
      <c r="BA315" s="75"/>
    </row>
    <row r="316" spans="1:53" ht="12.75" customHeight="1">
      <c r="A316" s="50"/>
      <c r="B316" s="72" t="s">
        <v>414</v>
      </c>
      <c r="C316" s="72"/>
      <c r="D316" s="72"/>
      <c r="E316" s="72"/>
      <c r="F316" s="72"/>
      <c r="H316" s="1660" t="s">
        <v>2390</v>
      </c>
      <c r="I316" s="1661"/>
      <c r="J316" s="1661"/>
      <c r="K316" s="1661"/>
      <c r="L316" s="1661"/>
      <c r="M316" s="1661"/>
      <c r="N316" s="1661"/>
      <c r="O316" s="1661"/>
      <c r="P316" s="1661"/>
      <c r="Q316" s="1661"/>
      <c r="R316" s="1661"/>
      <c r="T316" s="72" t="s">
        <v>414</v>
      </c>
      <c r="V316" s="72"/>
      <c r="W316" s="72"/>
      <c r="X316" s="72"/>
      <c r="Y316" s="72"/>
      <c r="AA316" s="1666"/>
      <c r="AB316" s="1666"/>
      <c r="AC316" s="1666"/>
      <c r="AD316" s="1666"/>
      <c r="AE316" s="1666"/>
      <c r="AF316" s="1666"/>
      <c r="AG316" s="1666"/>
      <c r="AH316" s="1666"/>
      <c r="AI316" s="1666"/>
      <c r="AJ316" s="1666"/>
      <c r="AK316" s="1666"/>
      <c r="AL316" s="50"/>
      <c r="BA316" s="75"/>
    </row>
    <row r="317" spans="1:53" ht="12.75" customHeight="1">
      <c r="A317" s="50"/>
      <c r="B317" s="72" t="s">
        <v>415</v>
      </c>
      <c r="C317" s="72"/>
      <c r="D317" s="72"/>
      <c r="E317" s="72"/>
      <c r="F317" s="72"/>
      <c r="G317" s="72"/>
      <c r="H317" s="1663" t="s">
        <v>2391</v>
      </c>
      <c r="I317" s="1663"/>
      <c r="J317" s="1663"/>
      <c r="K317" s="1663"/>
      <c r="L317" s="1663"/>
      <c r="M317" s="1663"/>
      <c r="N317" s="8" t="s">
        <v>891</v>
      </c>
      <c r="O317" s="8"/>
      <c r="P317" s="1668"/>
      <c r="Q317" s="1668"/>
      <c r="R317" s="1668"/>
      <c r="S317" s="72"/>
      <c r="T317" s="72" t="s">
        <v>415</v>
      </c>
      <c r="V317" s="72"/>
      <c r="W317" s="72"/>
      <c r="X317" s="72"/>
      <c r="Y317" s="72"/>
      <c r="AA317" s="1667"/>
      <c r="AB317" s="1667"/>
      <c r="AC317" s="1667"/>
      <c r="AD317" s="1667"/>
      <c r="AE317" s="1667"/>
      <c r="AF317" s="1667"/>
      <c r="AG317" s="8" t="s">
        <v>891</v>
      </c>
      <c r="AH317" s="8"/>
      <c r="AI317" s="1668"/>
      <c r="AJ317" s="1668"/>
      <c r="AK317" s="1668"/>
      <c r="AL317" s="50"/>
      <c r="BA317" s="75"/>
    </row>
    <row r="318" spans="1:53" ht="12.75" customHeight="1">
      <c r="A318" s="50"/>
      <c r="B318" s="72" t="s">
        <v>416</v>
      </c>
      <c r="C318" s="72"/>
      <c r="D318" s="72"/>
      <c r="E318" s="72"/>
      <c r="F318" s="72"/>
      <c r="G318" s="72"/>
      <c r="H318" s="1669"/>
      <c r="I318" s="1669"/>
      <c r="J318" s="1669"/>
      <c r="K318" s="1669"/>
      <c r="L318" s="1669"/>
      <c r="M318" s="1669"/>
      <c r="N318" s="74"/>
      <c r="O318" s="74"/>
      <c r="P318" s="76"/>
      <c r="Q318" s="76"/>
      <c r="R318" s="76"/>
      <c r="S318" s="72"/>
      <c r="T318" s="72" t="s">
        <v>416</v>
      </c>
      <c r="V318" s="72"/>
      <c r="W318" s="72"/>
      <c r="X318" s="72"/>
      <c r="Y318" s="72"/>
      <c r="AA318" s="1669"/>
      <c r="AB318" s="1669"/>
      <c r="AC318" s="1669"/>
      <c r="AD318" s="1669"/>
      <c r="AE318" s="1669"/>
      <c r="AF318" s="1669"/>
      <c r="AG318" s="74"/>
      <c r="AH318" s="74"/>
      <c r="AI318" s="76"/>
      <c r="AJ318" s="76"/>
      <c r="AK318" s="76"/>
      <c r="AL318" s="50"/>
      <c r="BA318" s="75"/>
    </row>
    <row r="319" spans="1:53" ht="12.75">
      <c r="A319" s="50"/>
      <c r="B319" s="72" t="s">
        <v>763</v>
      </c>
      <c r="C319" s="72"/>
      <c r="D319" s="72"/>
      <c r="E319" s="72"/>
      <c r="F319" s="72"/>
      <c r="G319" s="72"/>
      <c r="H319" s="1660" t="s">
        <v>2392</v>
      </c>
      <c r="I319" s="1661"/>
      <c r="J319" s="1661"/>
      <c r="K319" s="1661"/>
      <c r="L319" s="1661"/>
      <c r="M319" s="1661"/>
      <c r="N319" s="1662"/>
      <c r="O319" s="1662"/>
      <c r="P319" s="1662"/>
      <c r="Q319" s="1662"/>
      <c r="R319" s="1662"/>
      <c r="S319" s="72"/>
      <c r="T319" s="72" t="s">
        <v>763</v>
      </c>
      <c r="V319" s="72"/>
      <c r="W319" s="72"/>
      <c r="X319" s="72"/>
      <c r="Y319" s="72"/>
      <c r="AA319" s="1666"/>
      <c r="AB319" s="1666"/>
      <c r="AC319" s="1666"/>
      <c r="AD319" s="1666"/>
      <c r="AE319" s="1666"/>
      <c r="AF319" s="1666"/>
      <c r="AG319" s="1672"/>
      <c r="AH319" s="1672"/>
      <c r="AI319" s="1672"/>
      <c r="AJ319" s="1672"/>
      <c r="AK319" s="167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4" t="s">
        <v>2394</v>
      </c>
      <c r="I321" s="1662"/>
      <c r="J321" s="1662"/>
      <c r="K321" s="1662"/>
      <c r="L321" s="1662"/>
      <c r="M321" s="1662"/>
      <c r="N321" s="1662"/>
      <c r="O321" s="1662"/>
      <c r="P321" s="1662"/>
      <c r="Q321" s="1662"/>
      <c r="R321" s="1662"/>
      <c r="T321" s="72" t="s">
        <v>42</v>
      </c>
      <c r="V321" s="72"/>
      <c r="W321" s="72"/>
      <c r="X321" s="72"/>
      <c r="Y321" s="72"/>
      <c r="AA321" s="1673" t="s">
        <v>2400</v>
      </c>
      <c r="AB321" s="1672"/>
      <c r="AC321" s="1672"/>
      <c r="AD321" s="1672"/>
      <c r="AE321" s="1672"/>
      <c r="AF321" s="1672"/>
      <c r="AG321" s="1672"/>
      <c r="AH321" s="1672"/>
      <c r="AI321" s="1672"/>
      <c r="AJ321" s="1672"/>
      <c r="AK321" s="1672"/>
      <c r="AL321" s="50"/>
      <c r="BA321" s="75"/>
    </row>
    <row r="322" spans="1:53" ht="12.75">
      <c r="A322" s="50"/>
      <c r="B322" s="72" t="s">
        <v>760</v>
      </c>
      <c r="C322" s="72"/>
      <c r="D322" s="72"/>
      <c r="E322" s="72"/>
      <c r="F322" s="72"/>
      <c r="H322" s="1660" t="s">
        <v>2395</v>
      </c>
      <c r="I322" s="1661"/>
      <c r="J322" s="1661"/>
      <c r="K322" s="1661"/>
      <c r="L322" s="1661"/>
      <c r="M322" s="1661"/>
      <c r="N322" s="1661"/>
      <c r="O322" s="1661"/>
      <c r="P322" s="1661"/>
      <c r="Q322" s="1661"/>
      <c r="R322" s="1661"/>
      <c r="T322" s="72" t="s">
        <v>760</v>
      </c>
      <c r="V322" s="72"/>
      <c r="W322" s="72"/>
      <c r="X322" s="72"/>
      <c r="Y322" s="72"/>
      <c r="AA322" s="1665" t="s">
        <v>2401</v>
      </c>
      <c r="AB322" s="1666"/>
      <c r="AC322" s="1666"/>
      <c r="AD322" s="1666"/>
      <c r="AE322" s="1666"/>
      <c r="AF322" s="1666"/>
      <c r="AG322" s="1666"/>
      <c r="AH322" s="1666"/>
      <c r="AI322" s="1666"/>
      <c r="AJ322" s="1666"/>
      <c r="AK322" s="1666"/>
      <c r="AL322" s="50"/>
      <c r="BA322" s="75"/>
    </row>
    <row r="323" spans="1:53" ht="12.75">
      <c r="A323" s="50"/>
      <c r="B323" s="72" t="s">
        <v>762</v>
      </c>
      <c r="C323" s="72"/>
      <c r="D323" s="72"/>
      <c r="E323" s="72"/>
      <c r="F323" s="72"/>
      <c r="H323" s="1660" t="s">
        <v>2396</v>
      </c>
      <c r="I323" s="1661"/>
      <c r="J323" s="1661"/>
      <c r="K323" s="1661"/>
      <c r="L323" s="1661"/>
      <c r="M323" s="1661"/>
      <c r="N323" s="1661"/>
      <c r="O323" s="1661"/>
      <c r="P323" s="1661"/>
      <c r="Q323" s="1661"/>
      <c r="R323" s="1661"/>
      <c r="T323" s="72" t="s">
        <v>761</v>
      </c>
      <c r="V323" s="72"/>
      <c r="W323" s="72"/>
      <c r="X323" s="72"/>
      <c r="Y323" s="72"/>
      <c r="AA323" s="1665" t="s">
        <v>2402</v>
      </c>
      <c r="AB323" s="1666"/>
      <c r="AC323" s="1666"/>
      <c r="AD323" s="1666"/>
      <c r="AE323" s="1666"/>
      <c r="AF323" s="1666"/>
      <c r="AG323" s="1666"/>
      <c r="AH323" s="1666"/>
      <c r="AI323" s="1666"/>
      <c r="AJ323" s="1666"/>
      <c r="AK323" s="1666"/>
      <c r="AL323" s="50"/>
      <c r="BA323" s="75"/>
    </row>
    <row r="324" spans="1:53" ht="12.75">
      <c r="A324" s="50"/>
      <c r="B324" s="72" t="s">
        <v>414</v>
      </c>
      <c r="C324" s="72"/>
      <c r="D324" s="72"/>
      <c r="E324" s="72"/>
      <c r="F324" s="72"/>
      <c r="H324" s="1660" t="s">
        <v>2397</v>
      </c>
      <c r="I324" s="1661"/>
      <c r="J324" s="1661"/>
      <c r="K324" s="1661"/>
      <c r="L324" s="1661"/>
      <c r="M324" s="1661"/>
      <c r="N324" s="1661"/>
      <c r="O324" s="1661"/>
      <c r="P324" s="1661"/>
      <c r="Q324" s="1661"/>
      <c r="R324" s="1661"/>
      <c r="T324" s="72" t="s">
        <v>414</v>
      </c>
      <c r="V324" s="72"/>
      <c r="W324" s="72"/>
      <c r="X324" s="72"/>
      <c r="Y324" s="72"/>
      <c r="AA324" s="1665" t="s">
        <v>2403</v>
      </c>
      <c r="AB324" s="1666"/>
      <c r="AC324" s="1666"/>
      <c r="AD324" s="1666"/>
      <c r="AE324" s="1666"/>
      <c r="AF324" s="1666"/>
      <c r="AG324" s="1666"/>
      <c r="AH324" s="1666"/>
      <c r="AI324" s="1666"/>
      <c r="AJ324" s="1666"/>
      <c r="AK324" s="1666"/>
      <c r="AL324" s="50"/>
      <c r="BA324" s="75"/>
    </row>
    <row r="325" spans="1:53" ht="12.75">
      <c r="A325" s="50"/>
      <c r="B325" s="72" t="s">
        <v>415</v>
      </c>
      <c r="C325" s="72"/>
      <c r="D325" s="72"/>
      <c r="E325" s="72"/>
      <c r="F325" s="72"/>
      <c r="G325" s="72"/>
      <c r="H325" s="1663" t="s">
        <v>2398</v>
      </c>
      <c r="I325" s="1663"/>
      <c r="J325" s="1663"/>
      <c r="K325" s="1663"/>
      <c r="L325" s="1663"/>
      <c r="M325" s="1663"/>
      <c r="N325" s="8" t="s">
        <v>891</v>
      </c>
      <c r="O325" s="8"/>
      <c r="P325" s="1668"/>
      <c r="Q325" s="1668"/>
      <c r="R325" s="1668"/>
      <c r="S325" s="72"/>
      <c r="T325" s="72" t="s">
        <v>415</v>
      </c>
      <c r="V325" s="72"/>
      <c r="W325" s="72"/>
      <c r="X325" s="72"/>
      <c r="Y325" s="72"/>
      <c r="AA325" s="1674" t="s">
        <v>2404</v>
      </c>
      <c r="AB325" s="1667"/>
      <c r="AC325" s="1667"/>
      <c r="AD325" s="1667"/>
      <c r="AE325" s="1667"/>
      <c r="AF325" s="1667"/>
      <c r="AG325" s="8" t="s">
        <v>891</v>
      </c>
      <c r="AH325" s="8"/>
      <c r="AI325" s="1668"/>
      <c r="AJ325" s="1668"/>
      <c r="AK325" s="1668"/>
      <c r="AL325" s="50"/>
      <c r="BA325" s="75"/>
    </row>
    <row r="326" spans="1:53" ht="12.75">
      <c r="A326" s="50"/>
      <c r="B326" s="72" t="s">
        <v>416</v>
      </c>
      <c r="C326" s="72"/>
      <c r="D326" s="72"/>
      <c r="E326" s="72"/>
      <c r="F326" s="72"/>
      <c r="G326" s="72"/>
      <c r="H326" s="1669"/>
      <c r="I326" s="1669"/>
      <c r="J326" s="1669"/>
      <c r="K326" s="1669"/>
      <c r="L326" s="1669"/>
      <c r="M326" s="1669"/>
      <c r="N326" s="74"/>
      <c r="O326" s="74"/>
      <c r="P326" s="76"/>
      <c r="Q326" s="76"/>
      <c r="R326" s="76"/>
      <c r="S326" s="72"/>
      <c r="T326" s="72" t="s">
        <v>416</v>
      </c>
      <c r="V326" s="72"/>
      <c r="W326" s="72"/>
      <c r="X326" s="72"/>
      <c r="Y326" s="72"/>
      <c r="AA326" s="1669"/>
      <c r="AB326" s="1669"/>
      <c r="AC326" s="1669"/>
      <c r="AD326" s="1669"/>
      <c r="AE326" s="1669"/>
      <c r="AF326" s="1669"/>
      <c r="AG326" s="74"/>
      <c r="AH326" s="74"/>
      <c r="AI326" s="76"/>
      <c r="AJ326" s="76"/>
      <c r="AK326" s="76"/>
      <c r="AL326" s="50"/>
      <c r="BA326" s="75"/>
    </row>
    <row r="327" spans="1:53" ht="12.75">
      <c r="A327" s="50"/>
      <c r="B327" s="72" t="s">
        <v>763</v>
      </c>
      <c r="C327" s="72"/>
      <c r="D327" s="72"/>
      <c r="E327" s="72"/>
      <c r="F327" s="72"/>
      <c r="G327" s="72"/>
      <c r="H327" s="1660" t="s">
        <v>2399</v>
      </c>
      <c r="I327" s="1661"/>
      <c r="J327" s="1661"/>
      <c r="K327" s="1661"/>
      <c r="L327" s="1661"/>
      <c r="M327" s="1661"/>
      <c r="N327" s="1662"/>
      <c r="O327" s="1662"/>
      <c r="P327" s="1662"/>
      <c r="Q327" s="1662"/>
      <c r="R327" s="1662"/>
      <c r="S327" s="72"/>
      <c r="T327" s="72" t="s">
        <v>763</v>
      </c>
      <c r="V327" s="72"/>
      <c r="W327" s="72"/>
      <c r="X327" s="72"/>
      <c r="Y327" s="72"/>
      <c r="AA327" s="1665" t="s">
        <v>2405</v>
      </c>
      <c r="AB327" s="1666"/>
      <c r="AC327" s="1666"/>
      <c r="AD327" s="1666"/>
      <c r="AE327" s="1666"/>
      <c r="AF327" s="1666"/>
      <c r="AG327" s="1672"/>
      <c r="AH327" s="1672"/>
      <c r="AI327" s="1672"/>
      <c r="AJ327" s="1672"/>
      <c r="AK327" s="167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73" t="s">
        <v>2400</v>
      </c>
      <c r="I329" s="1672"/>
      <c r="J329" s="1672"/>
      <c r="K329" s="1672"/>
      <c r="L329" s="1672"/>
      <c r="M329" s="1672"/>
      <c r="N329" s="1672"/>
      <c r="O329" s="1672"/>
      <c r="P329" s="1672"/>
      <c r="Q329" s="1672"/>
      <c r="R329" s="1672"/>
      <c r="S329" s="701"/>
      <c r="T329" s="630" t="s">
        <v>1193</v>
      </c>
      <c r="V329" s="72"/>
      <c r="W329" s="72"/>
      <c r="X329" s="72"/>
      <c r="Y329" s="72"/>
      <c r="AA329" s="1664" t="s">
        <v>2359</v>
      </c>
      <c r="AB329" s="1662"/>
      <c r="AC329" s="1662"/>
      <c r="AD329" s="1662"/>
      <c r="AE329" s="1662"/>
      <c r="AF329" s="1662"/>
      <c r="AG329" s="1662"/>
      <c r="AH329" s="1662"/>
      <c r="AI329" s="1662"/>
      <c r="AJ329" s="1662"/>
      <c r="AK329" s="1662"/>
      <c r="AL329" s="50"/>
      <c r="BA329" s="75"/>
    </row>
    <row r="330" spans="1:53" ht="12.75">
      <c r="B330" s="72" t="s">
        <v>760</v>
      </c>
      <c r="C330" s="72"/>
      <c r="D330" s="72"/>
      <c r="E330" s="72"/>
      <c r="F330" s="72"/>
      <c r="H330" s="1665" t="s">
        <v>2401</v>
      </c>
      <c r="I330" s="1666"/>
      <c r="J330" s="1666"/>
      <c r="K330" s="1666"/>
      <c r="L330" s="1666"/>
      <c r="M330" s="1666"/>
      <c r="N330" s="1666"/>
      <c r="O330" s="1666"/>
      <c r="P330" s="1666"/>
      <c r="Q330" s="1666"/>
      <c r="R330" s="1666"/>
      <c r="S330" s="701"/>
      <c r="T330" s="72" t="s">
        <v>760</v>
      </c>
      <c r="V330" s="72"/>
      <c r="W330" s="72"/>
      <c r="X330" s="72"/>
      <c r="Y330" s="72"/>
      <c r="AA330" s="1660" t="s">
        <v>2348</v>
      </c>
      <c r="AB330" s="1661"/>
      <c r="AC330" s="1661"/>
      <c r="AD330" s="1661"/>
      <c r="AE330" s="1661"/>
      <c r="AF330" s="1661"/>
      <c r="AG330" s="1661"/>
      <c r="AH330" s="1661"/>
      <c r="AI330" s="1661"/>
      <c r="AJ330" s="1661"/>
      <c r="AK330" s="1661"/>
      <c r="AL330" s="50"/>
      <c r="BA330" s="75"/>
    </row>
    <row r="331" spans="1:53" ht="12.75">
      <c r="B331" s="72" t="s">
        <v>762</v>
      </c>
      <c r="C331" s="72"/>
      <c r="D331" s="72"/>
      <c r="E331" s="72"/>
      <c r="F331" s="72"/>
      <c r="G331" s="72"/>
      <c r="H331" s="1665" t="s">
        <v>2402</v>
      </c>
      <c r="I331" s="1666"/>
      <c r="J331" s="1666"/>
      <c r="K331" s="1666"/>
      <c r="L331" s="1666"/>
      <c r="M331" s="1666"/>
      <c r="N331" s="1666"/>
      <c r="O331" s="1666"/>
      <c r="P331" s="1666"/>
      <c r="Q331" s="1666"/>
      <c r="R331" s="1666"/>
      <c r="S331" s="701"/>
      <c r="T331" s="72" t="s">
        <v>761</v>
      </c>
      <c r="V331" s="72"/>
      <c r="W331" s="72"/>
      <c r="X331" s="72"/>
      <c r="Y331" s="72"/>
      <c r="AA331" s="1660" t="s">
        <v>2406</v>
      </c>
      <c r="AB331" s="1661"/>
      <c r="AC331" s="1661"/>
      <c r="AD331" s="1661"/>
      <c r="AE331" s="1661"/>
      <c r="AF331" s="1661"/>
      <c r="AG331" s="1661"/>
      <c r="AH331" s="1661"/>
      <c r="AI331" s="1661"/>
      <c r="AJ331" s="1661"/>
      <c r="AK331" s="1661"/>
      <c r="AL331" s="50"/>
      <c r="BA331" s="75"/>
    </row>
    <row r="332" spans="1:53" ht="12.75">
      <c r="A332" s="50"/>
      <c r="B332" s="72" t="s">
        <v>414</v>
      </c>
      <c r="C332" s="72"/>
      <c r="D332" s="72"/>
      <c r="E332" s="72"/>
      <c r="F332" s="72"/>
      <c r="H332" s="1665" t="s">
        <v>2403</v>
      </c>
      <c r="I332" s="1666"/>
      <c r="J332" s="1666"/>
      <c r="K332" s="1666"/>
      <c r="L332" s="1666"/>
      <c r="M332" s="1666"/>
      <c r="N332" s="1666"/>
      <c r="O332" s="1666"/>
      <c r="P332" s="1666"/>
      <c r="Q332" s="1666"/>
      <c r="R332" s="1666"/>
      <c r="S332" s="701"/>
      <c r="T332" s="72" t="s">
        <v>414</v>
      </c>
      <c r="V332" s="72"/>
      <c r="W332" s="72"/>
      <c r="X332" s="72"/>
      <c r="Y332" s="72"/>
      <c r="AA332" s="1660" t="s">
        <v>2407</v>
      </c>
      <c r="AB332" s="1661"/>
      <c r="AC332" s="1661"/>
      <c r="AD332" s="1661"/>
      <c r="AE332" s="1661"/>
      <c r="AF332" s="1661"/>
      <c r="AG332" s="1661"/>
      <c r="AH332" s="1661"/>
      <c r="AI332" s="1661"/>
      <c r="AJ332" s="1661"/>
      <c r="AK332" s="1661"/>
      <c r="AL332" s="50"/>
      <c r="BA332" s="75"/>
    </row>
    <row r="333" spans="1:53" ht="12.75">
      <c r="A333" s="50"/>
      <c r="B333" s="72" t="s">
        <v>415</v>
      </c>
      <c r="C333" s="72"/>
      <c r="D333" s="72"/>
      <c r="E333" s="72"/>
      <c r="F333" s="72"/>
      <c r="G333" s="72"/>
      <c r="H333" s="1674" t="s">
        <v>2404</v>
      </c>
      <c r="I333" s="1667"/>
      <c r="J333" s="1667"/>
      <c r="K333" s="1667"/>
      <c r="L333" s="1667"/>
      <c r="M333" s="1667"/>
      <c r="N333" s="8" t="s">
        <v>891</v>
      </c>
      <c r="O333" s="8"/>
      <c r="P333" s="1668"/>
      <c r="Q333" s="1668"/>
      <c r="R333" s="1668"/>
      <c r="S333" s="3"/>
      <c r="T333" s="72" t="s">
        <v>415</v>
      </c>
      <c r="V333" s="72"/>
      <c r="W333" s="72"/>
      <c r="X333" s="72"/>
      <c r="Y333" s="72"/>
      <c r="AA333" s="1663" t="s">
        <v>2408</v>
      </c>
      <c r="AB333" s="1663"/>
      <c r="AC333" s="1663"/>
      <c r="AD333" s="1663"/>
      <c r="AE333" s="1663"/>
      <c r="AF333" s="1663"/>
      <c r="AG333" s="8" t="s">
        <v>891</v>
      </c>
      <c r="AH333" s="8"/>
      <c r="AI333" s="1668"/>
      <c r="AJ333" s="1668"/>
      <c r="AK333" s="1668"/>
      <c r="AL333" s="50"/>
      <c r="BA333" s="75"/>
    </row>
    <row r="334" spans="1:53" ht="12.75">
      <c r="A334" s="50"/>
      <c r="B334" s="72" t="s">
        <v>416</v>
      </c>
      <c r="C334" s="72"/>
      <c r="D334" s="72"/>
      <c r="E334" s="72"/>
      <c r="F334" s="72"/>
      <c r="G334" s="72"/>
      <c r="H334" s="1669"/>
      <c r="I334" s="1669"/>
      <c r="J334" s="1669"/>
      <c r="K334" s="1669"/>
      <c r="L334" s="1669"/>
      <c r="M334" s="1669"/>
      <c r="N334" s="74"/>
      <c r="O334" s="74"/>
      <c r="P334" s="76"/>
      <c r="Q334" s="76"/>
      <c r="R334" s="76"/>
      <c r="S334" s="3"/>
      <c r="T334" s="72" t="s">
        <v>416</v>
      </c>
      <c r="V334" s="72"/>
      <c r="W334" s="72"/>
      <c r="X334" s="72"/>
      <c r="Y334" s="72"/>
      <c r="AA334" s="1669"/>
      <c r="AB334" s="1669"/>
      <c r="AC334" s="1669"/>
      <c r="AD334" s="1669"/>
      <c r="AE334" s="1669"/>
      <c r="AF334" s="1669"/>
      <c r="AG334" s="74"/>
      <c r="AH334" s="74"/>
      <c r="AI334" s="76"/>
      <c r="AJ334" s="76"/>
      <c r="AK334" s="76"/>
      <c r="AL334" s="50"/>
      <c r="BA334" s="75"/>
    </row>
    <row r="335" spans="1:53" ht="12.75">
      <c r="A335" s="50"/>
      <c r="B335" s="72" t="s">
        <v>763</v>
      </c>
      <c r="C335" s="72"/>
      <c r="D335" s="72"/>
      <c r="E335" s="72"/>
      <c r="F335" s="72"/>
      <c r="G335" s="72"/>
      <c r="H335" s="1665" t="s">
        <v>2405</v>
      </c>
      <c r="I335" s="1666"/>
      <c r="J335" s="1666"/>
      <c r="K335" s="1666"/>
      <c r="L335" s="1666"/>
      <c r="M335" s="1666"/>
      <c r="N335" s="1672"/>
      <c r="O335" s="1672"/>
      <c r="P335" s="1672"/>
      <c r="Q335" s="1672"/>
      <c r="R335" s="1672"/>
      <c r="S335" s="701"/>
      <c r="T335" s="72" t="s">
        <v>763</v>
      </c>
      <c r="V335" s="72"/>
      <c r="W335" s="72"/>
      <c r="X335" s="72"/>
      <c r="Y335" s="72"/>
      <c r="AA335" s="1660" t="s">
        <v>2409</v>
      </c>
      <c r="AB335" s="1661"/>
      <c r="AC335" s="1661"/>
      <c r="AD335" s="1661"/>
      <c r="AE335" s="1661"/>
      <c r="AF335" s="1661"/>
      <c r="AG335" s="1662"/>
      <c r="AH335" s="1662"/>
      <c r="AI335" s="1662"/>
      <c r="AJ335" s="1662"/>
      <c r="AK335" s="166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73" t="s">
        <v>134</v>
      </c>
      <c r="I337" s="1672"/>
      <c r="J337" s="1672"/>
      <c r="K337" s="1672"/>
      <c r="L337" s="1672"/>
      <c r="M337" s="1672"/>
      <c r="N337" s="1672"/>
      <c r="O337" s="1672"/>
      <c r="P337" s="1672"/>
      <c r="Q337" s="1672"/>
      <c r="R337" s="1672"/>
      <c r="T337" s="578" t="s">
        <v>1236</v>
      </c>
      <c r="AA337" s="1673" t="s">
        <v>134</v>
      </c>
      <c r="AB337" s="1672"/>
      <c r="AC337" s="1672"/>
      <c r="AD337" s="1672"/>
      <c r="AE337" s="1672"/>
      <c r="AF337" s="1672"/>
      <c r="AG337" s="1672"/>
      <c r="AH337" s="1672"/>
      <c r="AI337" s="1672"/>
      <c r="AJ337" s="1672"/>
      <c r="AK337" s="1672"/>
      <c r="AL337" s="50"/>
      <c r="BA337" s="75"/>
    </row>
    <row r="338" spans="1:53" ht="12.75">
      <c r="A338" s="50"/>
      <c r="B338" s="578" t="s">
        <v>760</v>
      </c>
      <c r="C338" s="578"/>
      <c r="D338" s="578"/>
      <c r="E338" s="578"/>
      <c r="F338" s="578"/>
      <c r="G338" s="579"/>
      <c r="H338" s="1666"/>
      <c r="I338" s="1666"/>
      <c r="J338" s="1666"/>
      <c r="K338" s="1666"/>
      <c r="L338" s="1666"/>
      <c r="M338" s="1666"/>
      <c r="N338" s="1666"/>
      <c r="O338" s="1666"/>
      <c r="P338" s="1666"/>
      <c r="Q338" s="1666"/>
      <c r="R338" s="1666"/>
      <c r="T338" s="72" t="s">
        <v>760</v>
      </c>
      <c r="AA338" s="1666"/>
      <c r="AB338" s="1666"/>
      <c r="AC338" s="1666"/>
      <c r="AD338" s="1666"/>
      <c r="AE338" s="1666"/>
      <c r="AF338" s="1666"/>
      <c r="AG338" s="1666"/>
      <c r="AH338" s="1666"/>
      <c r="AI338" s="1666"/>
      <c r="AJ338" s="1666"/>
      <c r="AK338" s="1666"/>
      <c r="AL338" s="50"/>
      <c r="BA338" s="75"/>
    </row>
    <row r="339" spans="1:53" ht="12.75">
      <c r="A339" s="50"/>
      <c r="B339" s="578" t="s">
        <v>762</v>
      </c>
      <c r="C339" s="578"/>
      <c r="D339" s="578"/>
      <c r="E339" s="578"/>
      <c r="F339" s="578"/>
      <c r="G339" s="578"/>
      <c r="H339" s="1666"/>
      <c r="I339" s="1666"/>
      <c r="J339" s="1666"/>
      <c r="K339" s="1666"/>
      <c r="L339" s="1666"/>
      <c r="M339" s="1666"/>
      <c r="N339" s="1666"/>
      <c r="O339" s="1666"/>
      <c r="P339" s="1666"/>
      <c r="Q339" s="1666"/>
      <c r="R339" s="1666"/>
      <c r="T339" s="72" t="s">
        <v>761</v>
      </c>
      <c r="AA339" s="1666"/>
      <c r="AB339" s="1666"/>
      <c r="AC339" s="1666"/>
      <c r="AD339" s="1666"/>
      <c r="AE339" s="1666"/>
      <c r="AF339" s="1666"/>
      <c r="AG339" s="1666"/>
      <c r="AH339" s="1666"/>
      <c r="AI339" s="1666"/>
      <c r="AJ339" s="1666"/>
      <c r="AK339" s="1666"/>
      <c r="AL339" s="50"/>
    </row>
    <row r="340" spans="1:53" ht="12.75">
      <c r="A340" s="50"/>
      <c r="B340" s="578" t="s">
        <v>414</v>
      </c>
      <c r="C340" s="578"/>
      <c r="D340" s="578"/>
      <c r="E340" s="578"/>
      <c r="F340" s="578"/>
      <c r="G340" s="579"/>
      <c r="H340" s="1666"/>
      <c r="I340" s="1666"/>
      <c r="J340" s="1666"/>
      <c r="K340" s="1666"/>
      <c r="L340" s="1666"/>
      <c r="M340" s="1666"/>
      <c r="N340" s="1666"/>
      <c r="O340" s="1666"/>
      <c r="P340" s="1666"/>
      <c r="Q340" s="1666"/>
      <c r="R340" s="1666"/>
      <c r="T340" s="72" t="s">
        <v>414</v>
      </c>
      <c r="AA340" s="1666"/>
      <c r="AB340" s="1666"/>
      <c r="AC340" s="1666"/>
      <c r="AD340" s="1666"/>
      <c r="AE340" s="1666"/>
      <c r="AF340" s="1666"/>
      <c r="AG340" s="1666"/>
      <c r="AH340" s="1666"/>
      <c r="AI340" s="1666"/>
      <c r="AJ340" s="1666"/>
      <c r="AK340" s="1666"/>
      <c r="AL340" s="50"/>
    </row>
    <row r="341" spans="1:53" ht="12.75">
      <c r="A341" s="50"/>
      <c r="B341" s="578" t="s">
        <v>415</v>
      </c>
      <c r="C341" s="578"/>
      <c r="D341" s="578"/>
      <c r="E341" s="578"/>
      <c r="F341" s="578"/>
      <c r="G341" s="578"/>
      <c r="H341" s="1667"/>
      <c r="I341" s="1667"/>
      <c r="J341" s="1667"/>
      <c r="K341" s="1667"/>
      <c r="L341" s="1667"/>
      <c r="M341" s="1667"/>
      <c r="N341" s="8" t="s">
        <v>891</v>
      </c>
      <c r="O341" s="8"/>
      <c r="P341" s="1668"/>
      <c r="Q341" s="1668"/>
      <c r="R341" s="1668"/>
      <c r="T341" s="72" t="s">
        <v>415</v>
      </c>
      <c r="AA341" s="1667"/>
      <c r="AB341" s="1667"/>
      <c r="AC341" s="1667"/>
      <c r="AD341" s="1667"/>
      <c r="AE341" s="1667"/>
      <c r="AF341" s="1667"/>
      <c r="AG341" s="8" t="s">
        <v>891</v>
      </c>
      <c r="AH341" s="8"/>
      <c r="AI341" s="1668"/>
      <c r="AJ341" s="1668"/>
      <c r="AK341" s="1668"/>
      <c r="AL341" s="50"/>
    </row>
    <row r="342" spans="1:53" ht="12.75">
      <c r="A342" s="50"/>
      <c r="B342" s="578" t="s">
        <v>416</v>
      </c>
      <c r="C342" s="578"/>
      <c r="D342" s="578"/>
      <c r="E342" s="578"/>
      <c r="F342" s="578"/>
      <c r="G342" s="578"/>
      <c r="H342" s="1669"/>
      <c r="I342" s="1669"/>
      <c r="J342" s="1669"/>
      <c r="K342" s="1669"/>
      <c r="L342" s="1669"/>
      <c r="M342" s="1669"/>
      <c r="N342" s="74"/>
      <c r="O342" s="74"/>
      <c r="P342" s="76"/>
      <c r="Q342" s="76"/>
      <c r="R342" s="76"/>
      <c r="T342" s="72" t="s">
        <v>416</v>
      </c>
      <c r="AA342" s="1669"/>
      <c r="AB342" s="1669"/>
      <c r="AC342" s="1669"/>
      <c r="AD342" s="1669"/>
      <c r="AE342" s="1669"/>
      <c r="AF342" s="1669"/>
      <c r="AG342" s="74"/>
      <c r="AH342" s="74"/>
      <c r="AI342" s="76"/>
      <c r="AJ342" s="76"/>
      <c r="AK342" s="76"/>
      <c r="AL342" s="50"/>
    </row>
    <row r="343" spans="1:53" ht="12.75" customHeight="1">
      <c r="A343" s="50"/>
      <c r="B343" s="578" t="s">
        <v>763</v>
      </c>
      <c r="C343" s="578"/>
      <c r="D343" s="578"/>
      <c r="E343" s="578"/>
      <c r="F343" s="578"/>
      <c r="G343" s="578"/>
      <c r="H343" s="1666"/>
      <c r="I343" s="1666"/>
      <c r="J343" s="1666"/>
      <c r="K343" s="1666"/>
      <c r="L343" s="1666"/>
      <c r="M343" s="1666"/>
      <c r="N343" s="1672"/>
      <c r="O343" s="1672"/>
      <c r="P343" s="1672"/>
      <c r="Q343" s="1672"/>
      <c r="R343" s="1672"/>
      <c r="T343" s="72" t="s">
        <v>763</v>
      </c>
      <c r="AA343" s="1666"/>
      <c r="AB343" s="1666"/>
      <c r="AC343" s="1666"/>
      <c r="AD343" s="1666"/>
      <c r="AE343" s="1666"/>
      <c r="AF343" s="1666"/>
      <c r="AG343" s="1672"/>
      <c r="AH343" s="1672"/>
      <c r="AI343" s="1672"/>
      <c r="AJ343" s="1672"/>
      <c r="AK343" s="167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7" t="s">
        <v>542</v>
      </c>
      <c r="B345" s="1677"/>
      <c r="C345" s="1677"/>
      <c r="D345" s="1677"/>
      <c r="E345" s="1677"/>
      <c r="F345" s="1677"/>
      <c r="G345" s="1677"/>
      <c r="H345" s="1677"/>
      <c r="I345" s="1677"/>
      <c r="J345" s="1677"/>
      <c r="K345" s="1677"/>
      <c r="L345" s="1677"/>
      <c r="M345" s="1677"/>
      <c r="N345" s="1677"/>
      <c r="O345" s="1677"/>
      <c r="P345" s="1677"/>
      <c r="Q345" s="1677"/>
      <c r="R345" s="1677"/>
      <c r="S345" s="1677"/>
      <c r="T345" s="1677"/>
      <c r="U345" s="1677"/>
      <c r="V345" s="1677"/>
      <c r="W345" s="1677"/>
      <c r="X345" s="1677"/>
      <c r="Y345" s="1677"/>
      <c r="Z345" s="1677"/>
      <c r="AA345" s="1677"/>
      <c r="AB345" s="1677"/>
      <c r="AC345" s="1677"/>
      <c r="AD345" s="1677"/>
      <c r="AE345" s="1677"/>
      <c r="AF345" s="1677"/>
      <c r="AG345" s="1677"/>
      <c r="AH345" s="1677"/>
      <c r="AI345" s="1677"/>
      <c r="AJ345" s="1677"/>
      <c r="AK345" s="1677"/>
      <c r="AL345" s="1677"/>
    </row>
    <row r="346" spans="1:53" ht="12.75" customHeight="1" thickBot="1">
      <c r="A346" s="1678"/>
      <c r="B346" s="1678"/>
      <c r="C346" s="1678"/>
      <c r="D346" s="1678"/>
      <c r="E346" s="1678"/>
      <c r="F346" s="1678"/>
      <c r="G346" s="1678"/>
      <c r="H346" s="1678"/>
      <c r="I346" s="1678"/>
      <c r="J346" s="1678"/>
      <c r="K346" s="1678"/>
      <c r="L346" s="1678"/>
      <c r="M346" s="1678"/>
      <c r="N346" s="1678"/>
      <c r="O346" s="1678"/>
      <c r="P346" s="1678"/>
      <c r="Q346" s="1678"/>
      <c r="R346" s="1678"/>
      <c r="S346" s="1678"/>
      <c r="T346" s="1678"/>
      <c r="U346" s="1678"/>
      <c r="V346" s="1678"/>
      <c r="W346" s="1678"/>
      <c r="X346" s="1678"/>
      <c r="Y346" s="1678"/>
      <c r="Z346" s="1678"/>
      <c r="AA346" s="1678"/>
      <c r="AB346" s="1678"/>
      <c r="AC346" s="1678"/>
      <c r="AD346" s="1678"/>
      <c r="AE346" s="1678"/>
      <c r="AF346" s="1678"/>
      <c r="AG346" s="1678"/>
      <c r="AH346" s="1678"/>
      <c r="AI346" s="1678"/>
      <c r="AJ346" s="1678"/>
      <c r="AK346" s="1678"/>
      <c r="AL346" s="167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586</v>
      </c>
      <c r="K348" s="35"/>
      <c r="L348" s="35"/>
    </row>
    <row r="349" spans="1:53" ht="12.75" customHeight="1">
      <c r="D349" s="16" t="s">
        <v>45</v>
      </c>
      <c r="M349" s="1670" t="s">
        <v>118</v>
      </c>
      <c r="N349" s="1670"/>
      <c r="P349" s="16" t="s">
        <v>2172</v>
      </c>
      <c r="AJ349" s="1670" t="s">
        <v>134</v>
      </c>
      <c r="AK349" s="1670"/>
    </row>
    <row r="350" spans="1:53" ht="12.75" customHeight="1">
      <c r="D350" s="72" t="s">
        <v>2086</v>
      </c>
      <c r="M350" s="1670" t="s">
        <v>134</v>
      </c>
      <c r="N350" s="1670"/>
      <c r="P350" s="72" t="s">
        <v>2173</v>
      </c>
      <c r="AJ350" s="1671"/>
      <c r="AK350" s="1671"/>
    </row>
    <row r="351" spans="1:53" ht="12.75" customHeight="1">
      <c r="D351" s="16" t="s">
        <v>347</v>
      </c>
      <c r="M351" s="1670" t="s">
        <v>134</v>
      </c>
      <c r="N351" s="1670"/>
      <c r="P351" s="16" t="s">
        <v>2174</v>
      </c>
      <c r="AJ351" s="1670" t="s">
        <v>134</v>
      </c>
      <c r="AK351" s="1670"/>
    </row>
    <row r="352" spans="1:53" ht="12.75" customHeight="1">
      <c r="D352" s="16" t="s">
        <v>348</v>
      </c>
      <c r="M352" s="1670" t="s">
        <v>134</v>
      </c>
      <c r="N352" s="1670"/>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70" t="s">
        <v>134</v>
      </c>
      <c r="O357" s="1670"/>
      <c r="P357" s="83"/>
      <c r="Q357" s="83"/>
      <c r="R357" s="83"/>
      <c r="S357" s="83"/>
      <c r="T357" s="83"/>
      <c r="U357" s="83"/>
      <c r="V357" s="83"/>
      <c r="W357" s="83"/>
      <c r="X357" s="83"/>
      <c r="Y357" s="84"/>
      <c r="Z357" s="84"/>
      <c r="AC357" s="83"/>
      <c r="AD357" s="83"/>
      <c r="AE357" s="83"/>
    </row>
    <row r="358" spans="1:57" ht="12.75">
      <c r="E358" s="16" t="s">
        <v>794</v>
      </c>
      <c r="Y358" s="1670" t="s">
        <v>134</v>
      </c>
      <c r="Z358" s="1670"/>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70" t="s">
        <v>134</v>
      </c>
      <c r="K360" s="1670"/>
      <c r="L360" s="83"/>
      <c r="M360" s="83"/>
      <c r="N360" s="83"/>
      <c r="O360" s="83"/>
      <c r="P360" s="83"/>
      <c r="Q360" s="83"/>
      <c r="R360" s="83"/>
      <c r="S360" s="83"/>
      <c r="T360" s="83"/>
      <c r="U360" s="83"/>
      <c r="V360" s="83"/>
      <c r="W360" s="83"/>
      <c r="X360" s="83"/>
      <c r="Y360" s="83"/>
      <c r="Z360" s="83"/>
      <c r="AC360" s="83"/>
      <c r="AD360" s="83"/>
      <c r="AE360" s="83"/>
    </row>
    <row r="361" spans="1:57" ht="12.75">
      <c r="E361" s="1557" t="s">
        <v>349</v>
      </c>
      <c r="F361" s="1557"/>
      <c r="G361" s="1557"/>
      <c r="H361" s="1557"/>
      <c r="I361" s="1557"/>
      <c r="J361" s="1557"/>
      <c r="K361" s="1557"/>
      <c r="L361" s="1557"/>
      <c r="M361" s="1557"/>
      <c r="N361" s="1557"/>
      <c r="O361" s="1557"/>
      <c r="P361" s="1557"/>
      <c r="Q361" s="1557"/>
      <c r="R361" s="1557"/>
      <c r="S361" s="1557"/>
      <c r="T361" s="1557"/>
      <c r="U361" s="1557"/>
      <c r="V361" s="1557"/>
      <c r="W361" s="1557"/>
      <c r="X361" s="1557"/>
      <c r="Y361" s="1557"/>
      <c r="Z361" s="1557"/>
      <c r="AA361" s="1557"/>
      <c r="AB361" s="1557"/>
      <c r="AC361" s="1557"/>
      <c r="AD361" s="1557"/>
      <c r="AE361" s="1557"/>
      <c r="AF361" s="1557"/>
      <c r="AG361" s="1557"/>
      <c r="AH361" s="1557"/>
      <c r="BE361" s="16" t="s">
        <v>134</v>
      </c>
    </row>
    <row r="362" spans="1:57" ht="12.75">
      <c r="E362" s="1557"/>
      <c r="F362" s="1557"/>
      <c r="G362" s="1557"/>
      <c r="H362" s="1557"/>
      <c r="I362" s="1557"/>
      <c r="J362" s="1557"/>
      <c r="K362" s="1557"/>
      <c r="L362" s="1557"/>
      <c r="M362" s="1557"/>
      <c r="N362" s="1557"/>
      <c r="O362" s="1557"/>
      <c r="P362" s="1557"/>
      <c r="Q362" s="1557"/>
      <c r="R362" s="1557"/>
      <c r="S362" s="1557"/>
      <c r="T362" s="1557"/>
      <c r="U362" s="1557"/>
      <c r="V362" s="1557"/>
      <c r="W362" s="1557"/>
      <c r="X362" s="1557"/>
      <c r="Y362" s="1557"/>
      <c r="Z362" s="1557"/>
      <c r="AA362" s="1557"/>
      <c r="AB362" s="1557"/>
      <c r="AC362" s="1557"/>
      <c r="AD362" s="1557"/>
      <c r="AE362" s="1557"/>
      <c r="AF362" s="1557"/>
      <c r="AG362" s="1557"/>
      <c r="AH362" s="1557"/>
      <c r="BE362" s="16" t="s">
        <v>527</v>
      </c>
    </row>
    <row r="363" spans="1:57" ht="12.75" customHeight="1">
      <c r="E363" s="8" t="s">
        <v>651</v>
      </c>
      <c r="F363" s="8"/>
      <c r="G363" s="8"/>
      <c r="H363" s="8"/>
      <c r="I363" s="8"/>
      <c r="J363" s="8"/>
      <c r="K363" s="8"/>
      <c r="L363" s="8"/>
      <c r="N363" s="1851"/>
      <c r="O363" s="1851"/>
      <c r="P363" s="1851"/>
      <c r="Q363" s="1851"/>
      <c r="R363" s="8"/>
      <c r="U363" s="8" t="s">
        <v>652</v>
      </c>
      <c r="V363" s="8"/>
      <c r="W363" s="8"/>
      <c r="X363" s="8"/>
      <c r="Y363" s="8"/>
      <c r="Z363" s="8"/>
      <c r="AA363" s="8"/>
      <c r="AB363" s="8"/>
      <c r="AC363" s="1851"/>
      <c r="AD363" s="1851"/>
      <c r="AE363" s="1851"/>
      <c r="AF363" s="1851"/>
      <c r="BE363" s="16" t="s">
        <v>118</v>
      </c>
    </row>
    <row r="364" spans="1:57" ht="12.75">
      <c r="E364" s="8" t="s">
        <v>653</v>
      </c>
      <c r="F364" s="8"/>
      <c r="G364" s="8"/>
      <c r="H364" s="8"/>
      <c r="I364" s="8"/>
      <c r="J364" s="8"/>
      <c r="K364" s="8"/>
      <c r="L364" s="8"/>
      <c r="N364" s="1851"/>
      <c r="O364" s="1851"/>
      <c r="P364" s="1851"/>
      <c r="Q364" s="1851"/>
      <c r="R364" s="8"/>
      <c r="U364" s="8" t="s">
        <v>654</v>
      </c>
      <c r="V364" s="8"/>
      <c r="W364" s="8"/>
      <c r="X364" s="8"/>
      <c r="Y364" s="8"/>
      <c r="Z364" s="8"/>
      <c r="AA364" s="8"/>
      <c r="AB364" s="8"/>
      <c r="AC364" s="1851"/>
      <c r="AD364" s="1851"/>
      <c r="AE364" s="1851"/>
      <c r="AF364" s="1851"/>
    </row>
    <row r="365" spans="1:57" ht="12.75" customHeight="1">
      <c r="E365" s="8" t="s">
        <v>68</v>
      </c>
      <c r="F365" s="8"/>
      <c r="G365" s="8"/>
      <c r="H365" s="8"/>
      <c r="I365" s="8"/>
      <c r="J365" s="8"/>
      <c r="K365" s="8"/>
      <c r="L365" s="8"/>
      <c r="N365" s="1851"/>
      <c r="O365" s="1851"/>
      <c r="P365" s="1851"/>
      <c r="Q365" s="1851"/>
      <c r="R365" s="8"/>
      <c r="V365" s="8"/>
      <c r="W365" s="8"/>
      <c r="X365" s="8"/>
      <c r="Y365" s="8"/>
      <c r="Z365" s="8"/>
      <c r="AA365" s="8"/>
      <c r="AB365" s="8"/>
    </row>
    <row r="366" spans="1:57" ht="12.75">
      <c r="E366" s="8" t="s">
        <v>69</v>
      </c>
      <c r="F366" s="8"/>
      <c r="G366" s="8"/>
      <c r="H366" s="8"/>
      <c r="I366" s="8"/>
      <c r="J366" s="8"/>
      <c r="K366" s="8"/>
      <c r="L366" s="8"/>
      <c r="N366" s="1848"/>
      <c r="O366" s="1848"/>
      <c r="P366" s="1848"/>
      <c r="Q366" s="1848"/>
      <c r="R366" s="1848"/>
      <c r="S366" s="1848"/>
      <c r="T366" s="1848"/>
      <c r="U366" s="1848"/>
      <c r="V366" s="1848"/>
      <c r="W366" s="1848"/>
      <c r="X366" s="1848"/>
      <c r="Y366" s="1848"/>
      <c r="Z366" s="1848"/>
      <c r="AA366" s="1848"/>
      <c r="AB366" s="1848"/>
      <c r="AC366" s="1848"/>
      <c r="AD366" s="1848"/>
      <c r="AE366" s="1848"/>
      <c r="AF366" s="1848"/>
    </row>
    <row r="367" spans="1:57" ht="12.75">
      <c r="E367" s="8"/>
      <c r="F367" s="8"/>
      <c r="G367" s="8"/>
      <c r="H367" s="8"/>
      <c r="I367" s="8"/>
      <c r="J367" s="8"/>
      <c r="K367" s="8"/>
      <c r="L367" s="8"/>
      <c r="N367" s="1849"/>
      <c r="O367" s="1849"/>
      <c r="P367" s="1849"/>
      <c r="Q367" s="1849"/>
      <c r="R367" s="1849"/>
      <c r="S367" s="1849"/>
      <c r="T367" s="1849"/>
      <c r="U367" s="1849"/>
      <c r="V367" s="1849"/>
      <c r="W367" s="1849"/>
      <c r="X367" s="1849"/>
      <c r="Y367" s="1849"/>
      <c r="Z367" s="1849"/>
      <c r="AA367" s="1849"/>
      <c r="AB367" s="1849"/>
      <c r="AC367" s="1849"/>
      <c r="AD367" s="1849"/>
      <c r="AE367" s="1849"/>
      <c r="AF367" s="1849"/>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55"/>
      <c r="T370" s="1855"/>
      <c r="U370" s="758" t="s">
        <v>257</v>
      </c>
      <c r="V370" s="1855"/>
      <c r="W370" s="1855"/>
      <c r="X370" s="579"/>
      <c r="Y370" s="759" t="s">
        <v>255</v>
      </c>
      <c r="Z370" s="579"/>
      <c r="AA370" s="759"/>
      <c r="AB370" s="759" t="s">
        <v>256</v>
      </c>
      <c r="AC370" s="579"/>
      <c r="AD370" s="1855"/>
      <c r="AE370" s="1855"/>
      <c r="AF370" s="758" t="s">
        <v>257</v>
      </c>
      <c r="AG370" s="1855"/>
      <c r="AH370" s="1855"/>
    </row>
    <row r="371" spans="1:36" ht="12.75" customHeight="1">
      <c r="D371" s="579"/>
      <c r="E371" s="578" t="s">
        <v>1336</v>
      </c>
      <c r="F371" s="578"/>
      <c r="G371" s="578"/>
      <c r="H371" s="578"/>
      <c r="I371" s="578"/>
      <c r="J371" s="578"/>
      <c r="K371" s="578"/>
      <c r="L371" s="578"/>
      <c r="M371" s="579"/>
      <c r="N371" s="1855"/>
      <c r="O371" s="1855"/>
      <c r="P371" s="185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0" t="s">
        <v>134</v>
      </c>
      <c r="AH372" s="1850"/>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0" t="s">
        <v>134</v>
      </c>
      <c r="AH373" s="1850"/>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50" t="s">
        <v>134</v>
      </c>
      <c r="W374" s="1850"/>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50" t="s">
        <v>134</v>
      </c>
      <c r="W375" s="1850"/>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73" t="s">
        <v>2414</v>
      </c>
      <c r="K378" s="1672"/>
      <c r="L378" s="1672"/>
      <c r="M378" s="1672"/>
      <c r="N378" s="1672"/>
      <c r="O378" s="1672"/>
      <c r="P378" s="1672"/>
      <c r="Q378" s="1672"/>
      <c r="R378" s="1672"/>
      <c r="S378" s="1672"/>
      <c r="T378" s="1672"/>
      <c r="U378" s="1672"/>
      <c r="V378" s="18" t="s">
        <v>771</v>
      </c>
      <c r="W378" s="18"/>
      <c r="X378" s="18"/>
      <c r="Y378" s="18"/>
      <c r="Z378" s="18"/>
      <c r="AA378" s="18"/>
      <c r="AB378" s="18"/>
      <c r="AC378" s="1672" t="s">
        <v>2410</v>
      </c>
      <c r="AD378" s="1672"/>
      <c r="AE378" s="1672"/>
      <c r="AF378" s="1672"/>
      <c r="AG378" s="1672"/>
      <c r="AH378" s="1672"/>
      <c r="AI378" s="1672"/>
      <c r="AJ378" s="1672"/>
    </row>
    <row r="379" spans="1:36" ht="12.75" customHeight="1">
      <c r="D379" s="72" t="s">
        <v>2175</v>
      </c>
      <c r="J379" s="1666" t="s">
        <v>2416</v>
      </c>
      <c r="K379" s="1666"/>
      <c r="L379" s="1666"/>
      <c r="M379" s="1666"/>
      <c r="N379" s="1666"/>
      <c r="O379" s="1666"/>
      <c r="P379" s="1666"/>
      <c r="Q379" s="1666"/>
      <c r="R379" s="1666"/>
      <c r="S379" s="1666"/>
      <c r="T379" s="1666"/>
      <c r="U379" s="1666"/>
      <c r="V379" s="72" t="s">
        <v>2175</v>
      </c>
      <c r="W379" s="18"/>
      <c r="X379" s="18"/>
      <c r="Y379" s="18"/>
      <c r="Z379" s="18"/>
      <c r="AA379" s="18"/>
      <c r="AB379" s="18"/>
      <c r="AC379" s="1672"/>
      <c r="AD379" s="1672"/>
      <c r="AE379" s="1672"/>
      <c r="AF379" s="1672"/>
      <c r="AG379" s="1672"/>
      <c r="AH379" s="1672"/>
      <c r="AI379" s="1672"/>
      <c r="AJ379" s="1672"/>
    </row>
    <row r="380" spans="1:36" ht="12.75" customHeight="1">
      <c r="D380" s="72" t="s">
        <v>599</v>
      </c>
      <c r="J380" s="1666" t="s">
        <v>2411</v>
      </c>
      <c r="K380" s="1666"/>
      <c r="L380" s="1666"/>
      <c r="M380" s="1666"/>
      <c r="N380" s="1666"/>
      <c r="O380" s="1666"/>
      <c r="P380" s="1666"/>
      <c r="Q380" s="1666"/>
      <c r="R380" s="1666"/>
      <c r="S380" s="1666"/>
      <c r="T380" s="1666"/>
      <c r="U380" s="1666"/>
      <c r="V380" s="72" t="s">
        <v>599</v>
      </c>
      <c r="W380" s="18"/>
      <c r="X380" s="18"/>
      <c r="Y380" s="18"/>
      <c r="Z380" s="18"/>
      <c r="AA380" s="18"/>
      <c r="AB380" s="18"/>
      <c r="AC380" s="1672"/>
      <c r="AD380" s="1672"/>
      <c r="AE380" s="1672"/>
      <c r="AF380" s="1672"/>
      <c r="AG380" s="1672"/>
      <c r="AH380" s="1672"/>
      <c r="AI380" s="1672"/>
      <c r="AJ380" s="1672"/>
    </row>
    <row r="381" spans="1:36" ht="12.75" customHeight="1">
      <c r="D381" s="727" t="s">
        <v>2176</v>
      </c>
      <c r="I381" s="102"/>
      <c r="J381" s="1725" t="s">
        <v>2412</v>
      </c>
      <c r="K381" s="1725"/>
      <c r="L381" s="1725"/>
      <c r="M381" s="1725"/>
      <c r="N381" s="1725"/>
      <c r="O381" s="1725"/>
      <c r="P381" s="1725"/>
      <c r="Q381" s="1725"/>
      <c r="R381" s="1725"/>
      <c r="S381" s="1725"/>
      <c r="T381" s="1725"/>
      <c r="U381" s="1725"/>
      <c r="V381" s="1672"/>
      <c r="W381" s="1672"/>
      <c r="X381" s="1672"/>
      <c r="Y381" s="1672"/>
      <c r="Z381" s="1672"/>
      <c r="AA381" s="1672"/>
      <c r="AB381" s="1672"/>
      <c r="AC381" s="1672"/>
      <c r="AD381" s="1672"/>
      <c r="AE381" s="1672"/>
      <c r="AF381" s="1672"/>
      <c r="AG381" s="1672"/>
      <c r="AH381" s="1672"/>
      <c r="AI381" s="1672"/>
      <c r="AJ381" s="1672"/>
    </row>
    <row r="382" spans="1:36" ht="12.75" customHeight="1">
      <c r="D382" s="16" t="s">
        <v>610</v>
      </c>
      <c r="Q382" s="2010">
        <v>44726</v>
      </c>
      <c r="R382" s="2010"/>
      <c r="S382" s="2010"/>
      <c r="T382" s="2010"/>
      <c r="U382" s="2010"/>
      <c r="V382" s="16" t="s">
        <v>183</v>
      </c>
      <c r="AI382" s="1670" t="s">
        <v>527</v>
      </c>
      <c r="AJ382" s="1670"/>
    </row>
    <row r="383" spans="1:36" ht="12.75" customHeight="1">
      <c r="D383" s="16" t="s">
        <v>611</v>
      </c>
      <c r="Q383" s="1763">
        <v>45291</v>
      </c>
      <c r="R383" s="1879"/>
      <c r="S383" s="1879"/>
      <c r="T383" s="1879"/>
      <c r="U383" s="1879"/>
      <c r="W383" s="43" t="s">
        <v>20</v>
      </c>
      <c r="AG383" s="1880"/>
      <c r="AH383" s="1880"/>
      <c r="AI383" s="1880"/>
      <c r="AJ383" s="1880"/>
    </row>
    <row r="384" spans="1:36" ht="12.75" customHeight="1">
      <c r="D384" s="16" t="s">
        <v>300</v>
      </c>
      <c r="Q384" s="1703">
        <v>0</v>
      </c>
      <c r="R384" s="1703"/>
      <c r="S384" s="1703"/>
      <c r="T384" s="1703"/>
      <c r="U384" s="1703"/>
      <c r="V384" s="72" t="s">
        <v>2177</v>
      </c>
      <c r="AG384" s="1808">
        <v>45012</v>
      </c>
      <c r="AH384" s="1808"/>
      <c r="AI384" s="1808"/>
      <c r="AJ384" s="1808"/>
    </row>
    <row r="385" spans="4:36" ht="12.75" customHeight="1">
      <c r="D385" s="16" t="s">
        <v>415</v>
      </c>
      <c r="I385" s="1674" t="s">
        <v>2415</v>
      </c>
      <c r="J385" s="1674"/>
      <c r="K385" s="1674"/>
      <c r="L385" s="1674"/>
      <c r="M385" s="1674"/>
      <c r="N385" s="1674"/>
      <c r="Q385" s="326" t="s">
        <v>891</v>
      </c>
      <c r="S385" s="2103"/>
      <c r="T385" s="2103"/>
      <c r="U385" s="2103"/>
      <c r="V385" s="16" t="s">
        <v>19</v>
      </c>
      <c r="AI385" s="1670" t="s">
        <v>527</v>
      </c>
      <c r="AJ385" s="1670"/>
    </row>
    <row r="386" spans="4:36" s="50" customFormat="1" ht="12.75" customHeight="1">
      <c r="D386" s="16" t="s">
        <v>184</v>
      </c>
      <c r="E386" s="16"/>
      <c r="F386" s="16"/>
      <c r="G386" s="16"/>
      <c r="H386" s="16"/>
      <c r="I386" s="16"/>
      <c r="J386" s="16"/>
      <c r="K386" s="16"/>
      <c r="L386" s="16"/>
      <c r="M386" s="16"/>
      <c r="N386" s="16"/>
      <c r="O386" s="16"/>
      <c r="P386" s="16"/>
      <c r="Q386" s="1753">
        <v>46177</v>
      </c>
      <c r="R386" s="1753"/>
      <c r="S386" s="1753"/>
      <c r="T386" s="1753"/>
      <c r="U386" s="1753"/>
      <c r="V386" s="16" t="s">
        <v>185</v>
      </c>
      <c r="W386" s="16"/>
      <c r="X386" s="16"/>
      <c r="Y386" s="16"/>
      <c r="Z386" s="16"/>
      <c r="AA386" s="16"/>
      <c r="AB386" s="16"/>
      <c r="AC386" s="16"/>
      <c r="AD386" s="16"/>
      <c r="AE386" s="16"/>
      <c r="AF386" s="16"/>
      <c r="AG386" s="1880">
        <v>46177</v>
      </c>
      <c r="AH386" s="1880"/>
      <c r="AI386" s="1880"/>
      <c r="AJ386" s="1880"/>
    </row>
    <row r="387" spans="4:36" s="50" customFormat="1" ht="12.75" customHeight="1">
      <c r="D387" s="16" t="s">
        <v>29</v>
      </c>
      <c r="E387" s="16"/>
      <c r="F387" s="16"/>
      <c r="G387" s="16"/>
      <c r="H387" s="16"/>
      <c r="I387" s="16"/>
      <c r="J387" s="16"/>
      <c r="K387" s="16"/>
      <c r="L387" s="16"/>
      <c r="M387" s="16"/>
      <c r="N387" s="16"/>
      <c r="O387" s="16"/>
      <c r="P387" s="16"/>
      <c r="Q387" s="2104">
        <v>0</v>
      </c>
      <c r="R387" s="2104"/>
      <c r="S387" s="2104"/>
      <c r="T387" s="2104"/>
      <c r="U387" s="2104"/>
      <c r="V387" s="16" t="s">
        <v>1841</v>
      </c>
      <c r="W387" s="16"/>
      <c r="X387" s="16"/>
      <c r="Y387" s="16"/>
      <c r="Z387" s="16"/>
      <c r="AA387" s="16"/>
      <c r="AB387" s="16"/>
      <c r="AC387" s="16"/>
      <c r="AD387" s="16"/>
      <c r="AE387" s="16"/>
      <c r="AF387" s="16"/>
      <c r="AG387" s="1880"/>
      <c r="AH387" s="1880"/>
      <c r="AI387" s="1880"/>
      <c r="AJ387" s="1880"/>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80"/>
      <c r="AH388" s="1880"/>
      <c r="AI388" s="1880"/>
      <c r="AJ388" s="188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0"/>
      <c r="AH389" s="1380"/>
      <c r="AI389" s="1380"/>
      <c r="AJ389" s="1380"/>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0"/>
      <c r="AH390" s="1380"/>
      <c r="AI390" s="1670" t="s">
        <v>527</v>
      </c>
      <c r="AJ390" s="1670"/>
    </row>
    <row r="391" spans="4:36" s="50" customFormat="1" ht="12.75" customHeight="1">
      <c r="D391" s="72" t="s">
        <v>2180</v>
      </c>
      <c r="E391" s="16"/>
      <c r="F391" s="16"/>
      <c r="G391" s="16"/>
      <c r="H391" s="16"/>
      <c r="I391" s="16"/>
      <c r="J391" s="16"/>
      <c r="K391" s="16"/>
      <c r="L391" s="16"/>
      <c r="M391" s="16"/>
      <c r="N391" s="16"/>
      <c r="O391" s="16"/>
      <c r="P391" s="16"/>
      <c r="Q391" s="16"/>
      <c r="R391" s="16"/>
      <c r="S391" s="16"/>
      <c r="T391" s="2090"/>
      <c r="U391" s="2090"/>
      <c r="V391" s="2090"/>
      <c r="W391" s="2090"/>
      <c r="X391" s="2090"/>
      <c r="Y391" s="2090"/>
      <c r="Z391" s="2090"/>
      <c r="AA391" s="2090"/>
      <c r="AB391" s="2090"/>
      <c r="AC391" s="2090"/>
      <c r="AD391" s="2090"/>
      <c r="AE391" s="2090"/>
      <c r="AF391" s="2090"/>
      <c r="AG391" s="2090"/>
      <c r="AH391" s="2090"/>
      <c r="AI391" s="2090"/>
      <c r="AJ391" s="2090"/>
    </row>
    <row r="392" spans="4:36" s="50" customFormat="1" ht="12.75" customHeight="1">
      <c r="D392" s="72" t="s">
        <v>2181</v>
      </c>
      <c r="E392" s="16"/>
      <c r="F392" s="16"/>
      <c r="G392" s="16"/>
      <c r="H392" s="16"/>
      <c r="I392" s="16"/>
      <c r="J392" s="16"/>
      <c r="K392" s="16"/>
      <c r="L392" s="16"/>
      <c r="M392" s="16"/>
      <c r="N392" s="16"/>
      <c r="O392" s="16"/>
      <c r="P392" s="16"/>
      <c r="Q392" s="16"/>
      <c r="R392" s="16"/>
      <c r="S392" s="16"/>
      <c r="T392" s="2090"/>
      <c r="U392" s="2090"/>
      <c r="V392" s="2090"/>
      <c r="W392" s="2090"/>
      <c r="X392" s="2090"/>
      <c r="Y392" s="2090"/>
      <c r="Z392" s="2090"/>
      <c r="AA392" s="2090"/>
      <c r="AB392" s="2090"/>
      <c r="AC392" s="2090"/>
      <c r="AD392" s="2090"/>
      <c r="AE392" s="2090"/>
      <c r="AF392" s="2090"/>
      <c r="AG392" s="2090"/>
      <c r="AH392" s="2090"/>
      <c r="AI392" s="2090"/>
      <c r="AJ392" s="209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0"/>
      <c r="AH393" s="1380"/>
      <c r="AI393" s="1380"/>
      <c r="AJ393" s="1380"/>
    </row>
    <row r="394" spans="4:36" s="50" customFormat="1" ht="12.75" customHeight="1">
      <c r="D394" s="72" t="s">
        <v>2182</v>
      </c>
      <c r="E394" s="16"/>
      <c r="F394" s="16"/>
      <c r="G394" s="16"/>
      <c r="H394" s="16"/>
      <c r="I394" s="16"/>
      <c r="J394" s="16"/>
      <c r="K394" s="16"/>
      <c r="L394" s="16"/>
      <c r="M394" s="16"/>
      <c r="N394" s="16"/>
      <c r="O394" s="16"/>
      <c r="P394" s="16"/>
      <c r="Q394" s="16"/>
      <c r="R394" s="16"/>
      <c r="S394" s="2090" t="s">
        <v>118</v>
      </c>
      <c r="T394" s="2090"/>
      <c r="U394" s="2090"/>
      <c r="V394" s="727" t="s">
        <v>2183</v>
      </c>
      <c r="W394" s="16"/>
      <c r="X394" s="16"/>
      <c r="Y394" s="16"/>
      <c r="Z394" s="16"/>
      <c r="AA394" s="16"/>
      <c r="AG394" s="2105">
        <v>55</v>
      </c>
      <c r="AH394" s="2105"/>
      <c r="AI394" s="2105"/>
      <c r="AJ394" s="2105"/>
    </row>
    <row r="395" spans="4:36" s="50" customFormat="1" ht="12.75" customHeight="1">
      <c r="D395" s="72" t="s">
        <v>2184</v>
      </c>
      <c r="E395" s="16"/>
      <c r="F395" s="16"/>
      <c r="G395" s="16"/>
      <c r="H395" s="16"/>
      <c r="I395" s="16"/>
      <c r="J395" s="16"/>
      <c r="K395" s="16"/>
      <c r="L395" s="16"/>
      <c r="M395" s="16"/>
      <c r="N395" s="16"/>
      <c r="O395" s="16"/>
      <c r="P395" s="16"/>
      <c r="Q395" s="16"/>
      <c r="R395" s="16"/>
      <c r="S395" s="2090" t="s">
        <v>118</v>
      </c>
      <c r="T395" s="2090"/>
      <c r="U395" s="2090"/>
      <c r="V395" s="727" t="s">
        <v>2185</v>
      </c>
      <c r="W395" s="16"/>
      <c r="X395" s="16"/>
      <c r="Y395" s="16"/>
      <c r="Z395" s="16"/>
      <c r="AA395" s="16"/>
      <c r="AE395" s="2106">
        <v>1</v>
      </c>
      <c r="AF395" s="2106"/>
      <c r="AG395" s="2106"/>
      <c r="AH395" s="2106"/>
      <c r="AI395" s="2106"/>
      <c r="AJ395" s="2106"/>
    </row>
    <row r="396" spans="4:36" s="50" customFormat="1" ht="12.75" customHeight="1">
      <c r="D396" s="72" t="s">
        <v>2186</v>
      </c>
      <c r="E396" s="16"/>
      <c r="F396" s="16"/>
      <c r="G396" s="16"/>
      <c r="H396" s="16"/>
      <c r="I396" s="16"/>
      <c r="J396" s="16"/>
      <c r="K396" s="1833"/>
      <c r="L396" s="1833"/>
      <c r="M396" s="1833"/>
      <c r="N396" s="1833"/>
      <c r="O396" s="1833"/>
      <c r="P396" s="1833"/>
      <c r="Q396" s="1833"/>
      <c r="R396" s="1833"/>
      <c r="S396" s="1833"/>
      <c r="T396" s="1833"/>
      <c r="U396" s="1833"/>
      <c r="V396" s="1833"/>
      <c r="W396" s="1833"/>
      <c r="X396" s="1833"/>
      <c r="Y396" s="1833"/>
      <c r="Z396" s="1833"/>
      <c r="AA396" s="1833"/>
      <c r="AB396" s="1833"/>
      <c r="AC396" s="1833"/>
      <c r="AD396" s="1833"/>
      <c r="AE396" s="1833"/>
      <c r="AF396" s="1833"/>
      <c r="AG396" s="1833"/>
      <c r="AH396" s="1833"/>
      <c r="AI396" s="1833"/>
      <c r="AJ396" s="1833"/>
    </row>
    <row r="397" spans="4:36" s="50" customFormat="1" ht="12.75" customHeight="1">
      <c r="D397" s="72" t="s">
        <v>2187</v>
      </c>
      <c r="E397" s="16"/>
      <c r="F397" s="16"/>
      <c r="G397" s="16"/>
      <c r="H397" s="16"/>
      <c r="I397" s="16"/>
      <c r="J397" s="16"/>
      <c r="K397" s="1833" t="s">
        <v>2414</v>
      </c>
      <c r="L397" s="1833"/>
      <c r="M397" s="1833"/>
      <c r="N397" s="1833"/>
      <c r="O397" s="1833"/>
      <c r="P397" s="1833"/>
      <c r="Q397" s="1833"/>
      <c r="R397" s="1833"/>
      <c r="S397" s="1833"/>
      <c r="T397" s="1833"/>
      <c r="U397" s="1833"/>
      <c r="V397" s="1833"/>
      <c r="W397" s="1833"/>
      <c r="X397" s="1833"/>
      <c r="Y397" s="1833"/>
      <c r="Z397" s="1833"/>
      <c r="AA397" s="1833"/>
      <c r="AB397" s="1833"/>
      <c r="AC397" s="1833"/>
      <c r="AD397" s="1833"/>
      <c r="AE397" s="1833"/>
      <c r="AF397" s="1833"/>
      <c r="AG397" s="1833"/>
      <c r="AH397" s="1833"/>
      <c r="AI397" s="1833"/>
      <c r="AJ397" s="1833"/>
    </row>
    <row r="398" spans="4:36" s="50" customFormat="1" ht="12.75" customHeight="1">
      <c r="D398" s="327" t="s">
        <v>2188</v>
      </c>
      <c r="E398" s="1342"/>
      <c r="F398" s="1342"/>
      <c r="G398" s="1342"/>
      <c r="H398" s="1342"/>
      <c r="I398" s="1342"/>
      <c r="J398" s="1342"/>
      <c r="K398" s="1342"/>
      <c r="L398" s="1342"/>
      <c r="M398" s="1342"/>
      <c r="N398" s="1342"/>
      <c r="O398" s="1342"/>
      <c r="P398" s="1342"/>
      <c r="Q398" s="1342"/>
      <c r="R398" s="1342"/>
      <c r="S398" s="2011" t="s">
        <v>2413</v>
      </c>
      <c r="T398" s="2011"/>
      <c r="U398" s="2011"/>
      <c r="V398" s="2011"/>
      <c r="W398" s="2011"/>
      <c r="X398" s="2011"/>
      <c r="Y398" s="2011"/>
      <c r="Z398" s="2011"/>
      <c r="AA398" s="2011"/>
      <c r="AB398" s="2011"/>
      <c r="AC398" s="2011"/>
      <c r="AD398" s="2011"/>
      <c r="AE398" s="2011"/>
      <c r="AF398" s="2011"/>
      <c r="AG398" s="2011"/>
      <c r="AH398" s="2011"/>
      <c r="AI398" s="2011"/>
      <c r="AJ398" s="2011"/>
    </row>
    <row r="399" spans="4:36" s="50" customFormat="1" ht="12.75" customHeight="1">
      <c r="D399" s="1551" t="s">
        <v>2190</v>
      </c>
      <c r="E399" s="1551"/>
      <c r="F399" s="1551"/>
      <c r="G399" s="1551"/>
      <c r="H399" s="1551"/>
      <c r="I399" s="1551"/>
      <c r="J399" s="1551"/>
      <c r="K399" s="1551"/>
      <c r="L399" s="1551"/>
      <c r="M399" s="1551"/>
      <c r="N399" s="1551"/>
      <c r="O399" s="1551"/>
      <c r="P399" s="1551"/>
      <c r="Q399" s="1551"/>
      <c r="R399" s="1551"/>
      <c r="S399" s="1551"/>
      <c r="T399" s="1551"/>
      <c r="U399" s="1551"/>
      <c r="V399" s="1551"/>
      <c r="W399" s="1551"/>
      <c r="X399" s="1551"/>
      <c r="Y399" s="1551"/>
      <c r="Z399" s="1551"/>
      <c r="AA399" s="1551"/>
      <c r="AB399" s="1551"/>
      <c r="AC399" s="1551"/>
      <c r="AD399" s="1551"/>
      <c r="AE399" s="1551"/>
      <c r="AF399" s="1551"/>
      <c r="AG399" s="1551"/>
      <c r="AH399" s="1551"/>
      <c r="AI399" s="1551"/>
      <c r="AJ399" s="1551"/>
    </row>
    <row r="400" spans="4:36" s="50" customFormat="1" ht="12.75" customHeight="1">
      <c r="D400" s="1551"/>
      <c r="E400" s="1551"/>
      <c r="F400" s="1551"/>
      <c r="G400" s="1551"/>
      <c r="H400" s="1551"/>
      <c r="I400" s="1551"/>
      <c r="J400" s="1551"/>
      <c r="K400" s="1551"/>
      <c r="L400" s="1551"/>
      <c r="M400" s="1551"/>
      <c r="N400" s="1551"/>
      <c r="O400" s="1551"/>
      <c r="P400" s="1551"/>
      <c r="Q400" s="1551"/>
      <c r="R400" s="1551"/>
      <c r="S400" s="1551"/>
      <c r="T400" s="1551"/>
      <c r="U400" s="1551"/>
      <c r="V400" s="1551"/>
      <c r="W400" s="1551"/>
      <c r="X400" s="1551"/>
      <c r="Y400" s="1551"/>
      <c r="Z400" s="1551"/>
      <c r="AA400" s="1551"/>
      <c r="AB400" s="1551"/>
      <c r="AC400" s="1551"/>
      <c r="AD400" s="1551"/>
      <c r="AE400" s="1551"/>
      <c r="AF400" s="1551"/>
      <c r="AG400" s="1551"/>
      <c r="AH400" s="1551"/>
      <c r="AI400" s="1551"/>
      <c r="AJ400" s="155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0"/>
      <c r="AH401" s="1380"/>
      <c r="AI401" s="1380"/>
      <c r="AJ401" s="1380"/>
    </row>
    <row r="402" spans="1:36" ht="12.75" customHeight="1">
      <c r="A402" s="63" t="s">
        <v>132</v>
      </c>
      <c r="B402" s="63"/>
      <c r="C402" s="63" t="s">
        <v>981</v>
      </c>
    </row>
    <row r="403" spans="1:36" ht="12.75" customHeight="1">
      <c r="C403" s="35"/>
      <c r="D403" s="63" t="s">
        <v>1899</v>
      </c>
      <c r="I403" s="1673" t="s">
        <v>2417</v>
      </c>
      <c r="J403" s="1673"/>
      <c r="K403" s="1673"/>
      <c r="L403" s="1673"/>
      <c r="M403" s="1673"/>
      <c r="N403" s="1673"/>
      <c r="O403" s="1673"/>
      <c r="P403" s="1673"/>
      <c r="Q403" s="1673"/>
      <c r="R403" s="1673"/>
      <c r="S403" s="1673"/>
      <c r="T403" s="1673"/>
      <c r="U403" s="1673"/>
      <c r="V403" s="1673"/>
      <c r="W403" s="1673"/>
      <c r="X403" s="1673"/>
      <c r="Y403" s="1673"/>
      <c r="Z403" s="1673"/>
      <c r="AA403" s="1673"/>
      <c r="AB403" s="1673"/>
      <c r="AC403" s="1673"/>
      <c r="AD403" s="1673"/>
    </row>
    <row r="404" spans="1:36" ht="12.75" customHeight="1">
      <c r="C404" s="35"/>
      <c r="E404" s="16" t="s">
        <v>929</v>
      </c>
      <c r="R404" s="1670" t="s">
        <v>118</v>
      </c>
      <c r="S404" s="1670"/>
      <c r="T404" s="16" t="s">
        <v>317</v>
      </c>
      <c r="AD404" s="1851">
        <v>4</v>
      </c>
      <c r="AE404" s="1851"/>
    </row>
    <row r="405" spans="1:36" ht="12.75" customHeight="1">
      <c r="C405" s="35"/>
      <c r="E405" s="16" t="s">
        <v>930</v>
      </c>
      <c r="R405" s="1670" t="s">
        <v>134</v>
      </c>
      <c r="S405" s="1670"/>
      <c r="T405" s="16" t="s">
        <v>317</v>
      </c>
      <c r="AD405" s="1851">
        <v>0</v>
      </c>
      <c r="AE405" s="1851"/>
    </row>
    <row r="406" spans="1:36" ht="12.75" customHeight="1">
      <c r="E406" s="16" t="s">
        <v>931</v>
      </c>
      <c r="S406" s="1670" t="s">
        <v>134</v>
      </c>
      <c r="T406" s="1670"/>
    </row>
    <row r="407" spans="1:36" ht="12.75" customHeight="1">
      <c r="E407" s="16" t="s">
        <v>309</v>
      </c>
      <c r="H407" s="1984" t="s">
        <v>2418</v>
      </c>
      <c r="I407" s="1984"/>
      <c r="J407" s="1984"/>
      <c r="K407" s="1984"/>
      <c r="L407" s="1984"/>
      <c r="M407" s="1984"/>
      <c r="N407" s="1984"/>
      <c r="O407" s="1984"/>
      <c r="P407" s="1984"/>
      <c r="Q407" s="1984"/>
      <c r="R407" s="1984"/>
      <c r="S407" s="1984"/>
      <c r="T407" s="1984"/>
      <c r="U407" s="1984"/>
      <c r="V407" s="1984"/>
      <c r="W407" s="1984"/>
      <c r="X407" s="1984"/>
      <c r="Y407" s="1984"/>
      <c r="Z407" s="1984"/>
      <c r="AA407" s="1984"/>
      <c r="AB407" s="1984"/>
      <c r="AC407" s="1984"/>
      <c r="AD407" s="1984"/>
      <c r="AE407" s="1984"/>
      <c r="AF407" s="1984"/>
      <c r="AG407" s="1984"/>
      <c r="AH407" s="1984"/>
      <c r="AI407" s="1984"/>
      <c r="AJ407" s="1984"/>
    </row>
    <row r="408" spans="1:36" ht="12.75" customHeight="1">
      <c r="H408" s="1985"/>
      <c r="I408" s="1985"/>
      <c r="J408" s="1985"/>
      <c r="K408" s="1985"/>
      <c r="L408" s="1985"/>
      <c r="M408" s="1985"/>
      <c r="N408" s="1985"/>
      <c r="O408" s="1985"/>
      <c r="P408" s="1985"/>
      <c r="Q408" s="1985"/>
      <c r="R408" s="1985"/>
      <c r="S408" s="1985"/>
      <c r="T408" s="1985"/>
      <c r="U408" s="1985"/>
      <c r="V408" s="1985"/>
      <c r="W408" s="1985"/>
      <c r="X408" s="1985"/>
      <c r="Y408" s="1985"/>
      <c r="Z408" s="1985"/>
      <c r="AA408" s="1985"/>
      <c r="AB408" s="1985"/>
      <c r="AC408" s="1985"/>
      <c r="AD408" s="1985"/>
      <c r="AE408" s="1985"/>
      <c r="AF408" s="1985"/>
      <c r="AG408" s="1985"/>
      <c r="AH408" s="1985"/>
      <c r="AI408" s="1985"/>
      <c r="AJ408" s="1985"/>
    </row>
    <row r="409" spans="1:36" ht="12.75" customHeight="1"/>
    <row r="410" spans="1:36" ht="12.75" customHeight="1">
      <c r="A410" s="63" t="s">
        <v>133</v>
      </c>
      <c r="B410" s="63"/>
      <c r="C410" s="63"/>
      <c r="D410" s="63" t="s">
        <v>984</v>
      </c>
      <c r="AE410" s="8"/>
      <c r="AF410" s="63" t="s">
        <v>1313</v>
      </c>
    </row>
    <row r="411" spans="1:36" ht="12.75" customHeight="1">
      <c r="E411" s="1979"/>
      <c r="F411" s="1979"/>
      <c r="G411" s="1979"/>
      <c r="H411" s="33" t="s">
        <v>985</v>
      </c>
      <c r="I411" s="1979"/>
      <c r="J411" s="1979"/>
      <c r="K411" s="1979"/>
      <c r="L411" s="16" t="s">
        <v>986</v>
      </c>
      <c r="N411" s="240" t="s">
        <v>924</v>
      </c>
      <c r="P411" s="1968">
        <v>0.78</v>
      </c>
      <c r="Q411" s="1968"/>
      <c r="R411" s="1968"/>
      <c r="S411" s="16" t="s">
        <v>987</v>
      </c>
      <c r="W411" s="1982">
        <f>IF(E411&gt;0,(E411*I411),(P411*43560))</f>
        <v>33976.800000000003</v>
      </c>
      <c r="X411" s="1982"/>
      <c r="Y411" s="1982"/>
      <c r="Z411" s="16" t="s">
        <v>988</v>
      </c>
      <c r="AF411" s="2120">
        <f>IF(P411&gt;0,(AG430/P411),(AG430/(W411/43560)))</f>
        <v>64.102564102564102</v>
      </c>
      <c r="AG411" s="2120"/>
      <c r="AH411" s="2120"/>
    </row>
    <row r="412" spans="1:36" ht="12.75" customHeight="1">
      <c r="E412" s="16" t="s">
        <v>222</v>
      </c>
    </row>
    <row r="413" spans="1:36" ht="12.75" customHeight="1">
      <c r="E413" s="1977"/>
      <c r="F413" s="1977"/>
      <c r="G413" s="1977"/>
      <c r="H413" s="1977"/>
      <c r="I413" s="1977"/>
      <c r="J413" s="1977"/>
      <c r="K413" s="1977"/>
      <c r="L413" s="1977"/>
      <c r="M413" s="1977"/>
      <c r="N413" s="1977"/>
      <c r="O413" s="1977"/>
      <c r="P413" s="1977"/>
      <c r="Q413" s="1977"/>
      <c r="R413" s="1977"/>
      <c r="S413" s="1977"/>
      <c r="T413" s="1977"/>
      <c r="U413" s="1977"/>
      <c r="V413" s="1977"/>
      <c r="W413" s="1977"/>
      <c r="X413" s="1977"/>
      <c r="Y413" s="1977"/>
      <c r="Z413" s="1977"/>
      <c r="AA413" s="1977"/>
      <c r="AB413" s="1977"/>
      <c r="AC413" s="1977"/>
      <c r="AD413" s="1977"/>
      <c r="AE413" s="1977"/>
      <c r="AF413" s="1977"/>
      <c r="AG413" s="1977"/>
      <c r="AH413" s="1977"/>
      <c r="AI413" s="1977"/>
      <c r="AJ413" s="1977"/>
    </row>
    <row r="414" spans="1:36" s="50" customFormat="1" ht="12.75" customHeight="1">
      <c r="E414" s="412" t="s">
        <v>2191</v>
      </c>
      <c r="F414" s="59"/>
      <c r="G414" s="59"/>
      <c r="H414" s="59"/>
      <c r="I414" s="2115">
        <v>0.55000000000000004</v>
      </c>
      <c r="J414" s="2115"/>
      <c r="K414" s="2115"/>
      <c r="L414" s="59"/>
      <c r="M414" s="412"/>
      <c r="N414" s="59"/>
      <c r="O414" s="59"/>
      <c r="P414" s="2119">
        <f>(CQ629+CS634+CQ648)/I414</f>
        <v>98.181818181818173</v>
      </c>
      <c r="Q414" s="2119"/>
      <c r="R414" s="2119"/>
      <c r="S414" s="412" t="s">
        <v>2192</v>
      </c>
      <c r="T414" s="59"/>
      <c r="U414" s="59"/>
      <c r="V414" s="59"/>
      <c r="W414" s="59"/>
      <c r="X414" s="59"/>
      <c r="Y414" s="1436"/>
      <c r="Z414" s="1436"/>
      <c r="AA414" s="1436"/>
      <c r="AB414" s="1436"/>
      <c r="AC414" s="1436"/>
      <c r="AD414" s="1436"/>
      <c r="AE414" s="1436"/>
      <c r="AF414" s="1436"/>
      <c r="AG414" s="1436"/>
      <c r="AH414" s="1436"/>
      <c r="AI414" s="1436"/>
      <c r="AJ414" s="1436"/>
    </row>
    <row r="415" spans="1:36" ht="12.75" customHeight="1"/>
    <row r="416" spans="1:36" ht="12.75" customHeight="1">
      <c r="A416" s="63" t="s">
        <v>135</v>
      </c>
      <c r="B416" s="63"/>
      <c r="C416" s="63"/>
      <c r="D416" s="63" t="s">
        <v>990</v>
      </c>
    </row>
    <row r="417" spans="1:36" ht="12.75" customHeight="1">
      <c r="E417" s="16" t="s">
        <v>496</v>
      </c>
      <c r="P417" s="1670">
        <v>1</v>
      </c>
      <c r="Q417" s="1670"/>
      <c r="S417" s="16" t="s">
        <v>147</v>
      </c>
      <c r="AE417" s="1670">
        <v>1</v>
      </c>
      <c r="AF417" s="1670"/>
    </row>
    <row r="418" spans="1:36" ht="12.75" customHeight="1">
      <c r="E418" s="16" t="s">
        <v>148</v>
      </c>
      <c r="P418" s="1670">
        <v>0</v>
      </c>
      <c r="Q418" s="1670"/>
      <c r="S418" s="16" t="s">
        <v>787</v>
      </c>
      <c r="AE418" s="1670" t="s">
        <v>118</v>
      </c>
      <c r="AF418" s="1670"/>
    </row>
    <row r="419" spans="1:36" ht="12.75">
      <c r="F419" s="81" t="s">
        <v>245</v>
      </c>
    </row>
    <row r="420" spans="1:36" ht="12.75">
      <c r="F420" s="2007" t="s">
        <v>2357</v>
      </c>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2.75">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2.75">
      <c r="E422" s="16" t="s">
        <v>933</v>
      </c>
      <c r="N422" s="50"/>
      <c r="O422" s="50"/>
      <c r="P422" s="390"/>
      <c r="Q422" s="1670" t="s">
        <v>118</v>
      </c>
      <c r="R422" s="1670"/>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70" t="s">
        <v>134</v>
      </c>
      <c r="AF423" s="1978"/>
    </row>
    <row r="424" spans="1:36" ht="12.75">
      <c r="S424" s="35"/>
      <c r="T424" s="35"/>
    </row>
    <row r="425" spans="1:36" ht="12.75" customHeight="1">
      <c r="A425" s="63"/>
      <c r="B425" s="63"/>
      <c r="C425" s="63"/>
      <c r="E425" s="8" t="s">
        <v>86</v>
      </c>
      <c r="Z425" s="1670" t="s">
        <v>527</v>
      </c>
      <c r="AA425" s="167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70" t="s">
        <v>134</v>
      </c>
      <c r="AA427" s="1670"/>
    </row>
    <row r="428" spans="1:36" ht="12.75" customHeight="1">
      <c r="AG428" s="16">
        <v>0</v>
      </c>
    </row>
    <row r="429" spans="1:36" ht="12.75" customHeight="1">
      <c r="A429" s="63" t="s">
        <v>407</v>
      </c>
      <c r="B429" s="63"/>
      <c r="C429" s="63"/>
      <c r="D429" s="63" t="s">
        <v>187</v>
      </c>
      <c r="AF429" s="94"/>
    </row>
    <row r="430" spans="1:36" ht="12.75" customHeight="1">
      <c r="D430" s="1733" t="s">
        <v>396</v>
      </c>
      <c r="E430" s="1734"/>
      <c r="F430" s="1734"/>
      <c r="G430" s="1734"/>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976"/>
      <c r="AG430" s="2021">
        <v>50</v>
      </c>
      <c r="AH430" s="2021"/>
      <c r="AI430" s="2021"/>
      <c r="AJ430" s="2021"/>
    </row>
    <row r="431" spans="1:36" ht="12.75" customHeight="1">
      <c r="D431" s="1856" t="s">
        <v>1490</v>
      </c>
      <c r="E431" s="1980"/>
      <c r="F431" s="1980"/>
      <c r="G431" s="1980"/>
      <c r="H431" s="1980"/>
      <c r="I431" s="1980"/>
      <c r="J431" s="1980"/>
      <c r="K431" s="1980"/>
      <c r="L431" s="1980"/>
      <c r="M431" s="1980"/>
      <c r="N431" s="1980"/>
      <c r="O431" s="1980"/>
      <c r="P431" s="1980"/>
      <c r="Q431" s="1980"/>
      <c r="R431" s="1980"/>
      <c r="S431" s="1980"/>
      <c r="T431" s="1980"/>
      <c r="U431" s="1980"/>
      <c r="V431" s="1980"/>
      <c r="W431" s="1980"/>
      <c r="X431" s="1980"/>
      <c r="Y431" s="1980"/>
      <c r="Z431" s="1980"/>
      <c r="AA431" s="1980"/>
      <c r="AB431" s="1980"/>
      <c r="AC431" s="1980"/>
      <c r="AD431" s="1980"/>
      <c r="AE431" s="1980"/>
      <c r="AF431" s="1981"/>
      <c r="AG431" s="2113">
        <v>0</v>
      </c>
      <c r="AH431" s="2114"/>
      <c r="AI431" s="2114"/>
      <c r="AJ431" s="2114"/>
    </row>
    <row r="432" spans="1:36" ht="12.75" customHeight="1">
      <c r="D432" s="1856" t="s">
        <v>1491</v>
      </c>
      <c r="E432" s="1980"/>
      <c r="F432" s="1980"/>
      <c r="G432" s="1980"/>
      <c r="H432" s="1980"/>
      <c r="I432" s="1980"/>
      <c r="J432" s="1980"/>
      <c r="K432" s="1980"/>
      <c r="L432" s="1980"/>
      <c r="M432" s="1980"/>
      <c r="N432" s="1980"/>
      <c r="O432" s="1980"/>
      <c r="P432" s="1980"/>
      <c r="Q432" s="1980"/>
      <c r="R432" s="1980"/>
      <c r="S432" s="1980"/>
      <c r="T432" s="1980"/>
      <c r="U432" s="1980"/>
      <c r="V432" s="1980"/>
      <c r="W432" s="1980"/>
      <c r="X432" s="1980"/>
      <c r="Y432" s="1980"/>
      <c r="Z432" s="1980"/>
      <c r="AA432" s="1980"/>
      <c r="AB432" s="1980"/>
      <c r="AC432" s="1980"/>
      <c r="AD432" s="1980"/>
      <c r="AE432" s="1980"/>
      <c r="AF432" s="1981"/>
      <c r="AG432" s="2021">
        <v>49</v>
      </c>
      <c r="AH432" s="2021"/>
      <c r="AI432" s="2021"/>
      <c r="AJ432" s="2021"/>
    </row>
    <row r="433" spans="4:36" ht="12.75" customHeight="1">
      <c r="D433" s="1856" t="s">
        <v>1487</v>
      </c>
      <c r="E433" s="1980"/>
      <c r="F433" s="1980"/>
      <c r="G433" s="1980"/>
      <c r="H433" s="1980"/>
      <c r="I433" s="1980"/>
      <c r="J433" s="1980"/>
      <c r="K433" s="1980"/>
      <c r="L433" s="1980"/>
      <c r="M433" s="1980"/>
      <c r="N433" s="1980"/>
      <c r="O433" s="1980"/>
      <c r="P433" s="1980"/>
      <c r="Q433" s="1980"/>
      <c r="R433" s="1980"/>
      <c r="S433" s="1980"/>
      <c r="T433" s="1980"/>
      <c r="U433" s="1980"/>
      <c r="V433" s="1980"/>
      <c r="W433" s="1980"/>
      <c r="X433" s="1980"/>
      <c r="Y433" s="1980"/>
      <c r="Z433" s="1980"/>
      <c r="AA433" s="1980"/>
      <c r="AB433" s="1980"/>
      <c r="AC433" s="1980"/>
      <c r="AD433" s="1980"/>
      <c r="AE433" s="1980"/>
      <c r="AF433" s="1981"/>
      <c r="AG433" s="2021">
        <v>49</v>
      </c>
      <c r="AH433" s="2021"/>
      <c r="AI433" s="2021"/>
      <c r="AJ433" s="2021"/>
    </row>
    <row r="434" spans="4:36" ht="12.75" customHeight="1">
      <c r="D434" s="1856" t="s">
        <v>1492</v>
      </c>
      <c r="E434" s="1980"/>
      <c r="F434" s="1980"/>
      <c r="G434" s="1980"/>
      <c r="H434" s="1980"/>
      <c r="I434" s="1980"/>
      <c r="J434" s="1980"/>
      <c r="K434" s="1980"/>
      <c r="L434" s="1980"/>
      <c r="M434" s="1980"/>
      <c r="N434" s="1980"/>
      <c r="O434" s="1980"/>
      <c r="P434" s="1980"/>
      <c r="Q434" s="1980"/>
      <c r="R434" s="1980"/>
      <c r="S434" s="1980"/>
      <c r="T434" s="1980"/>
      <c r="U434" s="1980"/>
      <c r="V434" s="1980"/>
      <c r="W434" s="1980"/>
      <c r="X434" s="1980"/>
      <c r="Y434" s="1980"/>
      <c r="Z434" s="1980"/>
      <c r="AA434" s="1980"/>
      <c r="AB434" s="1980"/>
      <c r="AC434" s="1980"/>
      <c r="AD434" s="1980"/>
      <c r="AE434" s="1980"/>
      <c r="AF434" s="1981"/>
      <c r="AG434" s="2023">
        <f>IF(ISERROR(AG433/AG432),"",AG433/AG432)</f>
        <v>1</v>
      </c>
      <c r="AH434" s="2023"/>
      <c r="AI434" s="2023"/>
      <c r="AJ434" s="2023"/>
    </row>
    <row r="435" spans="4:36" ht="12.75" customHeight="1">
      <c r="D435" s="1856" t="s">
        <v>1489</v>
      </c>
      <c r="E435" s="1980"/>
      <c r="F435" s="1980"/>
      <c r="G435" s="1980"/>
      <c r="H435" s="1980"/>
      <c r="I435" s="1980"/>
      <c r="J435" s="1980"/>
      <c r="K435" s="1980"/>
      <c r="L435" s="1980"/>
      <c r="M435" s="1980"/>
      <c r="N435" s="1980"/>
      <c r="O435" s="1980"/>
      <c r="P435" s="1980"/>
      <c r="Q435" s="1980"/>
      <c r="R435" s="1980"/>
      <c r="S435" s="1980"/>
      <c r="T435" s="1980"/>
      <c r="U435" s="1980"/>
      <c r="V435" s="1980"/>
      <c r="W435" s="1980"/>
      <c r="X435" s="1980"/>
      <c r="Y435" s="1980"/>
      <c r="Z435" s="1980"/>
      <c r="AA435" s="1980"/>
      <c r="AB435" s="1980"/>
      <c r="AC435" s="1980"/>
      <c r="AD435" s="1980"/>
      <c r="AE435" s="1980"/>
      <c r="AF435" s="1981"/>
      <c r="AG435" s="2116">
        <f>24782-918</f>
        <v>23864</v>
      </c>
      <c r="AH435" s="2117"/>
      <c r="AI435" s="2117"/>
      <c r="AJ435" s="2118"/>
    </row>
    <row r="436" spans="4:36" ht="12.75" customHeight="1">
      <c r="D436" s="1856" t="s">
        <v>1488</v>
      </c>
      <c r="E436" s="1980"/>
      <c r="F436" s="1980"/>
      <c r="G436" s="1980"/>
      <c r="H436" s="1980"/>
      <c r="I436" s="1980"/>
      <c r="J436" s="1980"/>
      <c r="K436" s="1980"/>
      <c r="L436" s="1980"/>
      <c r="M436" s="1980"/>
      <c r="N436" s="1980"/>
      <c r="O436" s="1980"/>
      <c r="P436" s="1980"/>
      <c r="Q436" s="1980"/>
      <c r="R436" s="1980"/>
      <c r="S436" s="1980"/>
      <c r="T436" s="1980"/>
      <c r="U436" s="1980"/>
      <c r="V436" s="1980"/>
      <c r="W436" s="1980"/>
      <c r="X436" s="1980"/>
      <c r="Y436" s="1980"/>
      <c r="Z436" s="1980"/>
      <c r="AA436" s="1980"/>
      <c r="AB436" s="1980"/>
      <c r="AC436" s="1980"/>
      <c r="AD436" s="1980"/>
      <c r="AE436" s="1980"/>
      <c r="AF436" s="1981"/>
      <c r="AG436" s="2116">
        <f>24782-918</f>
        <v>23864</v>
      </c>
      <c r="AH436" s="2117"/>
      <c r="AI436" s="2117"/>
      <c r="AJ436" s="2118"/>
    </row>
    <row r="437" spans="4:36" ht="12.75" customHeight="1">
      <c r="D437" s="1856" t="s">
        <v>1495</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1"/>
      <c r="AG437" s="2023">
        <f>IF(ISERROR(AG436/AG435),"",AG436/AG435)</f>
        <v>1</v>
      </c>
      <c r="AH437" s="2023"/>
      <c r="AI437" s="2023"/>
      <c r="AJ437" s="2023"/>
    </row>
    <row r="438" spans="4:36" ht="12.75" customHeight="1">
      <c r="D438" s="1856" t="s">
        <v>1493</v>
      </c>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1"/>
      <c r="AG438" s="2023">
        <f>MIN(IF(AG434&gt;AG437,AG437,AG434),1)</f>
        <v>1</v>
      </c>
      <c r="AH438" s="2023"/>
      <c r="AI438" s="2023"/>
      <c r="AJ438" s="2023"/>
    </row>
    <row r="439" spans="4:36" ht="12.75">
      <c r="D439" s="2110" t="s">
        <v>1900</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976"/>
      <c r="AG439" s="1983">
        <v>2652</v>
      </c>
      <c r="AH439" s="1983"/>
      <c r="AI439" s="1983"/>
      <c r="AJ439" s="1983"/>
    </row>
    <row r="440" spans="4:36" ht="12.75">
      <c r="D440" s="1856" t="s">
        <v>229</v>
      </c>
      <c r="E440" s="1980"/>
      <c r="F440" s="1980"/>
      <c r="G440" s="1980"/>
      <c r="H440" s="1980"/>
      <c r="I440" s="1980"/>
      <c r="J440" s="1980"/>
      <c r="K440" s="1980"/>
      <c r="L440" s="1980"/>
      <c r="M440" s="1980"/>
      <c r="N440" s="1980"/>
      <c r="O440" s="1980"/>
      <c r="P440" s="1980"/>
      <c r="Q440" s="1980"/>
      <c r="R440" s="1980"/>
      <c r="S440" s="1980"/>
      <c r="T440" s="1980"/>
      <c r="U440" s="1980"/>
      <c r="V440" s="1980"/>
      <c r="W440" s="1980"/>
      <c r="X440" s="1980"/>
      <c r="Y440" s="1980"/>
      <c r="Z440" s="1980"/>
      <c r="AA440" s="1980"/>
      <c r="AB440" s="1980"/>
      <c r="AC440" s="1980"/>
      <c r="AD440" s="1980"/>
      <c r="AE440" s="1980"/>
      <c r="AF440" s="1981"/>
      <c r="AG440" s="1983">
        <v>2514</v>
      </c>
      <c r="AH440" s="1983"/>
      <c r="AI440" s="1983"/>
      <c r="AJ440" s="1983"/>
    </row>
    <row r="441" spans="4:36" ht="12.75" customHeight="1">
      <c r="D441" s="2110" t="s">
        <v>1901</v>
      </c>
      <c r="E441" s="1980"/>
      <c r="F441" s="1980"/>
      <c r="G441" s="1980"/>
      <c r="H441" s="1980"/>
      <c r="I441" s="1980"/>
      <c r="J441" s="1980"/>
      <c r="K441" s="1980"/>
      <c r="L441" s="1980"/>
      <c r="M441" s="1980"/>
      <c r="N441" s="1980"/>
      <c r="O441" s="1980"/>
      <c r="P441" s="1980"/>
      <c r="Q441" s="1980"/>
      <c r="R441" s="1980"/>
      <c r="S441" s="1980"/>
      <c r="T441" s="1980"/>
      <c r="U441" s="1980"/>
      <c r="V441" s="1980"/>
      <c r="W441" s="1980"/>
      <c r="X441" s="1980"/>
      <c r="Y441" s="1980"/>
      <c r="Z441" s="1980"/>
      <c r="AA441" s="1980"/>
      <c r="AB441" s="1980"/>
      <c r="AC441" s="1980"/>
      <c r="AD441" s="1980"/>
      <c r="AE441" s="1980"/>
      <c r="AF441" s="1981"/>
      <c r="AG441" s="1983">
        <f>2311+918+7110</f>
        <v>10339</v>
      </c>
      <c r="AH441" s="1983"/>
      <c r="AI441" s="1983"/>
      <c r="AJ441" s="1983"/>
    </row>
    <row r="442" spans="4:36" ht="12.75">
      <c r="D442" s="1856" t="s">
        <v>1494</v>
      </c>
      <c r="E442" s="1980"/>
      <c r="F442" s="1980"/>
      <c r="G442" s="1980"/>
      <c r="H442" s="1980"/>
      <c r="I442" s="1980"/>
      <c r="J442" s="1980"/>
      <c r="K442" s="1980"/>
      <c r="L442" s="1980"/>
      <c r="M442" s="1980"/>
      <c r="N442" s="1980"/>
      <c r="O442" s="1980"/>
      <c r="P442" s="1980"/>
      <c r="Q442" s="1980"/>
      <c r="R442" s="1980"/>
      <c r="S442" s="1980"/>
      <c r="T442" s="1980"/>
      <c r="U442" s="1980"/>
      <c r="V442" s="1980"/>
      <c r="W442" s="1980"/>
      <c r="X442" s="1980"/>
      <c r="Y442" s="1980"/>
      <c r="Z442" s="1980"/>
      <c r="AA442" s="1980"/>
      <c r="AB442" s="1980"/>
      <c r="AC442" s="1980"/>
      <c r="AD442" s="1980"/>
      <c r="AE442" s="1980"/>
      <c r="AF442" s="1981"/>
      <c r="AG442" s="1983">
        <v>0</v>
      </c>
      <c r="AH442" s="1983"/>
      <c r="AI442" s="1983"/>
      <c r="AJ442" s="1983"/>
    </row>
    <row r="443" spans="4:36" ht="12.75">
      <c r="D443" s="1856" t="s">
        <v>1496</v>
      </c>
      <c r="E443" s="1980"/>
      <c r="F443" s="1980"/>
      <c r="G443" s="1980"/>
      <c r="H443" s="1980"/>
      <c r="I443" s="1980"/>
      <c r="J443" s="1980"/>
      <c r="K443" s="1980"/>
      <c r="L443" s="1980"/>
      <c r="M443" s="1980"/>
      <c r="N443" s="1980"/>
      <c r="O443" s="1980"/>
      <c r="P443" s="1980"/>
      <c r="Q443" s="1980"/>
      <c r="R443" s="1980"/>
      <c r="S443" s="1980"/>
      <c r="T443" s="1980"/>
      <c r="U443" s="1980"/>
      <c r="V443" s="1980"/>
      <c r="W443" s="1980"/>
      <c r="X443" s="1980"/>
      <c r="Y443" s="1980"/>
      <c r="Z443" s="1980"/>
      <c r="AA443" s="1980"/>
      <c r="AB443" s="1980"/>
      <c r="AC443" s="1980"/>
      <c r="AD443" s="1980"/>
      <c r="AE443" s="1980"/>
      <c r="AF443" s="1981"/>
      <c r="AG443" s="2093">
        <f>AG435+AG439+AG441+AG442</f>
        <v>36855</v>
      </c>
      <c r="AH443" s="2093"/>
      <c r="AI443" s="2093"/>
      <c r="AJ443" s="2093"/>
    </row>
    <row r="444" spans="4:36" ht="12.75">
      <c r="D444" s="1974" t="s">
        <v>1902</v>
      </c>
      <c r="E444" s="1974"/>
      <c r="F444" s="1974"/>
      <c r="G444" s="1974"/>
      <c r="H444" s="1974"/>
      <c r="I444" s="1974"/>
      <c r="J444" s="1974"/>
      <c r="K444" s="1974"/>
      <c r="L444" s="1974"/>
      <c r="M444" s="1974"/>
      <c r="N444" s="1974"/>
      <c r="O444" s="1974"/>
      <c r="P444" s="1974"/>
      <c r="Q444" s="1974"/>
      <c r="R444" s="1974"/>
      <c r="S444" s="1974"/>
      <c r="T444" s="1974"/>
      <c r="U444" s="1974"/>
      <c r="V444" s="1974"/>
      <c r="W444" s="1974"/>
      <c r="X444" s="1974"/>
      <c r="Y444" s="1974"/>
      <c r="Z444" s="1974"/>
      <c r="AA444" s="1974"/>
      <c r="AB444" s="1974"/>
      <c r="AC444" s="1974"/>
      <c r="AD444" s="1974"/>
      <c r="AE444" s="1974"/>
      <c r="AF444" s="1974"/>
      <c r="AG444" s="1974"/>
      <c r="AH444" s="1974"/>
      <c r="AI444" s="1974"/>
      <c r="AJ444" s="1974"/>
    </row>
    <row r="445" spans="4:36" ht="13.7" customHeight="1">
      <c r="D445" s="1975"/>
      <c r="E445" s="1975"/>
      <c r="F445" s="1975"/>
      <c r="G445" s="1975"/>
      <c r="H445" s="1975"/>
      <c r="I445" s="1975"/>
      <c r="J445" s="1975"/>
      <c r="K445" s="1975"/>
      <c r="L445" s="1975"/>
      <c r="M445" s="1975"/>
      <c r="N445" s="1975"/>
      <c r="O445" s="1975"/>
      <c r="P445" s="1975"/>
      <c r="Q445" s="1975"/>
      <c r="R445" s="1975"/>
      <c r="S445" s="1975"/>
      <c r="T445" s="1975"/>
      <c r="U445" s="1975"/>
      <c r="V445" s="1975"/>
      <c r="W445" s="1975"/>
      <c r="X445" s="1975"/>
      <c r="Y445" s="1975"/>
      <c r="Z445" s="1975"/>
      <c r="AA445" s="1975"/>
      <c r="AB445" s="1975"/>
      <c r="AC445" s="1975"/>
      <c r="AD445" s="1975"/>
      <c r="AE445" s="1975"/>
      <c r="AF445" s="1975"/>
      <c r="AG445" s="1975"/>
      <c r="AH445" s="1975"/>
      <c r="AI445" s="1975"/>
      <c r="AJ445" s="1975"/>
    </row>
    <row r="446" spans="4:36" ht="12.75">
      <c r="D446" s="2092"/>
      <c r="E446" s="2092"/>
      <c r="F446" s="2092"/>
      <c r="G446" s="2092"/>
      <c r="H446" s="2092"/>
      <c r="I446" s="2092"/>
      <c r="J446" s="2092"/>
      <c r="K446" s="2092"/>
      <c r="L446" s="2092"/>
      <c r="M446" s="2092"/>
      <c r="N446" s="2092"/>
      <c r="O446" s="2092"/>
      <c r="P446" s="2092"/>
      <c r="Q446" s="2092"/>
      <c r="R446" s="2092"/>
      <c r="S446" s="2092"/>
      <c r="T446" s="2092"/>
      <c r="U446" s="2092"/>
      <c r="V446" s="2092"/>
      <c r="W446" s="2092"/>
      <c r="X446" s="2092"/>
      <c r="Y446" s="2092"/>
      <c r="Z446" s="2092"/>
      <c r="AA446" s="2092"/>
      <c r="AB446" s="2092"/>
      <c r="AC446" s="2092"/>
      <c r="AD446" s="2092"/>
      <c r="AE446" s="2092"/>
      <c r="AF446" s="2092"/>
      <c r="AG446" s="2092"/>
      <c r="AH446" s="2092"/>
      <c r="AI446" s="2092"/>
      <c r="AJ446" s="2092"/>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86">
        <f>'Sources and Uses Budget'!B104/Application!AG430</f>
        <v>980423.67959216761</v>
      </c>
      <c r="AD447" s="1986"/>
      <c r="AE447" s="1986"/>
      <c r="AF447" s="1986"/>
      <c r="AG447" s="2019"/>
      <c r="AH447" s="2019"/>
      <c r="AI447" s="2019"/>
      <c r="AJ447" s="2019"/>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86">
        <f>'Sources and Uses Budget'!C104/Application!AG430</f>
        <v>934875.07161255926</v>
      </c>
      <c r="AD448" s="1986"/>
      <c r="AE448" s="1986"/>
      <c r="AF448" s="1986"/>
      <c r="AG448" s="2019"/>
      <c r="AH448" s="2019"/>
      <c r="AI448" s="2019"/>
      <c r="AJ448" s="2019"/>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86">
        <f>('Sources and Uses Budget'!S106+'Sources and Uses Budget'!T106)/Application!AG430</f>
        <v>776310.18139692617</v>
      </c>
      <c r="AD449" s="1986"/>
      <c r="AE449" s="1986"/>
      <c r="AF449" s="198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9"/>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2" t="s">
        <v>234</v>
      </c>
      <c r="E458" s="1853"/>
      <c r="F458" s="1853"/>
      <c r="G458" s="1853"/>
      <c r="H458" s="1853"/>
      <c r="I458" s="1853"/>
      <c r="J458" s="1853"/>
      <c r="K458" s="1853"/>
      <c r="L458" s="1853"/>
      <c r="M458" s="1853"/>
      <c r="N458" s="1853"/>
      <c r="O458" s="1853"/>
      <c r="P458" s="1853"/>
      <c r="Q458" s="1853"/>
      <c r="R458" s="1853"/>
      <c r="S458" s="1853"/>
      <c r="T458" s="1853"/>
      <c r="U458" s="1853"/>
      <c r="V458" s="1854"/>
      <c r="W458" s="1969">
        <v>0</v>
      </c>
      <c r="X458" s="1970"/>
      <c r="Y458" s="1971"/>
      <c r="Z458" s="478"/>
      <c r="AA458" s="478"/>
      <c r="AB458" s="478"/>
      <c r="AC458" s="478"/>
      <c r="AD458" s="478"/>
      <c r="AE458" s="478"/>
      <c r="AF458" s="478"/>
      <c r="AG458" s="478"/>
      <c r="AH458" s="478"/>
      <c r="AI458" s="478"/>
      <c r="AJ458" s="327"/>
      <c r="AK458" s="327"/>
      <c r="AL458" s="327"/>
    </row>
    <row r="459" spans="1:38" ht="12.75" customHeight="1">
      <c r="A459" s="327"/>
      <c r="B459" s="327"/>
      <c r="C459" s="327"/>
      <c r="D459" s="1852" t="s">
        <v>235</v>
      </c>
      <c r="E459" s="1853"/>
      <c r="F459" s="1853"/>
      <c r="G459" s="1853"/>
      <c r="H459" s="1853"/>
      <c r="I459" s="1853"/>
      <c r="J459" s="1853"/>
      <c r="K459" s="1853"/>
      <c r="L459" s="1853"/>
      <c r="M459" s="1853"/>
      <c r="N459" s="1853"/>
      <c r="O459" s="1853"/>
      <c r="P459" s="1853"/>
      <c r="Q459" s="1853"/>
      <c r="R459" s="1853"/>
      <c r="S459" s="1853"/>
      <c r="T459" s="1853"/>
      <c r="U459" s="1853"/>
      <c r="V459" s="1854"/>
      <c r="W459" s="1969">
        <v>0</v>
      </c>
      <c r="X459" s="1970"/>
      <c r="Y459" s="1971"/>
      <c r="Z459" s="478"/>
      <c r="AA459" s="478"/>
      <c r="AB459" s="478"/>
      <c r="AC459" s="478"/>
      <c r="AD459" s="478"/>
      <c r="AE459" s="478"/>
      <c r="AF459" s="478"/>
      <c r="AG459" s="478"/>
      <c r="AH459" s="478"/>
      <c r="AI459" s="478"/>
      <c r="AJ459" s="327"/>
      <c r="AK459" s="327"/>
      <c r="AL459" s="327"/>
    </row>
    <row r="460" spans="1:38" ht="12.75" customHeight="1">
      <c r="A460" s="327"/>
      <c r="B460" s="327"/>
      <c r="C460" s="327"/>
      <c r="D460" s="1852" t="s">
        <v>236</v>
      </c>
      <c r="E460" s="1853"/>
      <c r="F460" s="1853"/>
      <c r="G460" s="1853"/>
      <c r="H460" s="1853"/>
      <c r="I460" s="1853"/>
      <c r="J460" s="1853"/>
      <c r="K460" s="1853"/>
      <c r="L460" s="1853"/>
      <c r="M460" s="1853"/>
      <c r="N460" s="1853"/>
      <c r="O460" s="1853"/>
      <c r="P460" s="1853"/>
      <c r="Q460" s="1853"/>
      <c r="R460" s="1853"/>
      <c r="S460" s="1853"/>
      <c r="T460" s="1853"/>
      <c r="U460" s="1853"/>
      <c r="V460" s="1854"/>
      <c r="W460" s="1969">
        <v>25</v>
      </c>
      <c r="X460" s="1970"/>
      <c r="Y460" s="1971"/>
      <c r="Z460" s="478"/>
      <c r="AA460" s="478"/>
      <c r="AB460" s="478"/>
      <c r="AC460" s="478"/>
      <c r="AD460" s="478"/>
      <c r="AE460" s="478"/>
      <c r="AF460" s="478"/>
      <c r="AG460" s="478"/>
      <c r="AH460" s="478"/>
      <c r="AI460" s="478"/>
      <c r="AJ460" s="327"/>
      <c r="AK460" s="327"/>
      <c r="AL460" s="327"/>
    </row>
    <row r="461" spans="1:38" ht="12.75" customHeight="1">
      <c r="A461" s="327"/>
      <c r="B461" s="327"/>
      <c r="C461" s="327"/>
      <c r="D461" s="1852" t="s">
        <v>240</v>
      </c>
      <c r="E461" s="1853"/>
      <c r="F461" s="1853"/>
      <c r="G461" s="1853"/>
      <c r="H461" s="1853"/>
      <c r="I461" s="1853"/>
      <c r="J461" s="1853"/>
      <c r="K461" s="1853"/>
      <c r="L461" s="1853"/>
      <c r="M461" s="1853"/>
      <c r="N461" s="1853"/>
      <c r="O461" s="1853"/>
      <c r="P461" s="1853"/>
      <c r="Q461" s="1853"/>
      <c r="R461" s="1853"/>
      <c r="S461" s="1853"/>
      <c r="T461" s="1853"/>
      <c r="U461" s="1853"/>
      <c r="V461" s="1854"/>
      <c r="W461" s="1969">
        <v>0</v>
      </c>
      <c r="X461" s="1970"/>
      <c r="Y461" s="1971"/>
      <c r="Z461" s="478"/>
      <c r="AA461" s="478"/>
      <c r="AB461" s="478"/>
      <c r="AC461" s="478"/>
      <c r="AD461" s="478"/>
      <c r="AE461" s="478"/>
      <c r="AF461" s="478"/>
      <c r="AG461" s="478"/>
      <c r="AH461" s="478"/>
      <c r="AI461" s="478"/>
      <c r="AJ461" s="327"/>
      <c r="AK461" s="327"/>
      <c r="AL461" s="327"/>
    </row>
    <row r="462" spans="1:38" ht="12.75" customHeight="1">
      <c r="A462" s="327"/>
      <c r="B462" s="327"/>
      <c r="C462" s="327"/>
      <c r="D462" s="2020" t="s">
        <v>1196</v>
      </c>
      <c r="E462" s="1853"/>
      <c r="F462" s="1853"/>
      <c r="G462" s="1853"/>
      <c r="H462" s="1853"/>
      <c r="I462" s="1853"/>
      <c r="J462" s="1853"/>
      <c r="K462" s="1853"/>
      <c r="L462" s="1853"/>
      <c r="M462" s="1853"/>
      <c r="N462" s="1853"/>
      <c r="O462" s="1853"/>
      <c r="P462" s="1853"/>
      <c r="Q462" s="1853"/>
      <c r="R462" s="1853"/>
      <c r="S462" s="1853"/>
      <c r="T462" s="1853"/>
      <c r="U462" s="1853"/>
      <c r="V462" s="1854"/>
      <c r="W462" s="1969">
        <v>0</v>
      </c>
      <c r="X462" s="1970"/>
      <c r="Y462" s="1971"/>
      <c r="Z462" s="478"/>
      <c r="AA462" s="478"/>
      <c r="AB462" s="478"/>
      <c r="AC462" s="478"/>
      <c r="AD462" s="478"/>
      <c r="AE462" s="478"/>
      <c r="AF462" s="478"/>
      <c r="AG462" s="478"/>
      <c r="AH462" s="478"/>
      <c r="AI462" s="478"/>
      <c r="AJ462" s="327"/>
      <c r="AK462" s="327"/>
      <c r="AL462" s="327"/>
    </row>
    <row r="463" spans="1:38" ht="12.75" customHeight="1">
      <c r="A463" s="327"/>
      <c r="B463" s="327"/>
      <c r="C463" s="327"/>
      <c r="D463" s="1852" t="s">
        <v>244</v>
      </c>
      <c r="E463" s="1853"/>
      <c r="F463" s="1853"/>
      <c r="G463" s="1853"/>
      <c r="H463" s="1853"/>
      <c r="I463" s="1853"/>
      <c r="J463" s="1853"/>
      <c r="K463" s="1853"/>
      <c r="L463" s="1853"/>
      <c r="M463" s="1853"/>
      <c r="N463" s="1853"/>
      <c r="O463" s="1853"/>
      <c r="P463" s="1853"/>
      <c r="Q463" s="1853"/>
      <c r="R463" s="1853"/>
      <c r="S463" s="1853"/>
      <c r="T463" s="1853"/>
      <c r="U463" s="1853"/>
      <c r="V463" s="1854"/>
      <c r="W463" s="1969">
        <v>0</v>
      </c>
      <c r="X463" s="1970"/>
      <c r="Y463" s="1971"/>
      <c r="Z463" s="478"/>
      <c r="AA463" s="478"/>
      <c r="AB463" s="478"/>
      <c r="AC463" s="478"/>
      <c r="AD463" s="478"/>
      <c r="AE463" s="478"/>
      <c r="AF463" s="478"/>
      <c r="AG463" s="478"/>
      <c r="AH463" s="478"/>
      <c r="AI463" s="478"/>
      <c r="AJ463" s="327"/>
      <c r="AK463" s="327"/>
      <c r="AL463" s="327"/>
    </row>
    <row r="464" spans="1:38" ht="12.75" customHeight="1">
      <c r="A464" s="861"/>
      <c r="B464" s="861"/>
      <c r="C464" s="861"/>
      <c r="D464" s="2020" t="s">
        <v>1414</v>
      </c>
      <c r="E464" s="2111"/>
      <c r="F464" s="2111"/>
      <c r="G464" s="2111"/>
      <c r="H464" s="2111"/>
      <c r="I464" s="2111"/>
      <c r="J464" s="2111"/>
      <c r="K464" s="2111"/>
      <c r="L464" s="2111"/>
      <c r="M464" s="2111"/>
      <c r="N464" s="2111"/>
      <c r="O464" s="2111"/>
      <c r="P464" s="2111"/>
      <c r="Q464" s="2111"/>
      <c r="R464" s="2111"/>
      <c r="S464" s="2111"/>
      <c r="T464" s="2111"/>
      <c r="U464" s="2111"/>
      <c r="V464" s="2112"/>
      <c r="W464" s="2096">
        <v>0</v>
      </c>
      <c r="X464" s="2097"/>
      <c r="Y464" s="2098"/>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107"/>
      <c r="H465" s="2108"/>
      <c r="I465" s="2108"/>
      <c r="J465" s="2108"/>
      <c r="K465" s="2108"/>
      <c r="L465" s="2108"/>
      <c r="M465" s="2108"/>
      <c r="N465" s="2108"/>
      <c r="O465" s="2108"/>
      <c r="P465" s="2108"/>
      <c r="Q465" s="2108"/>
      <c r="R465" s="2108"/>
      <c r="S465" s="2108"/>
      <c r="T465" s="2108"/>
      <c r="U465" s="2108"/>
      <c r="V465" s="2109"/>
      <c r="W465" s="1969">
        <v>0</v>
      </c>
      <c r="X465" s="1970"/>
      <c r="Y465" s="197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72" t="s">
        <v>237</v>
      </c>
      <c r="E469" s="1973"/>
      <c r="F469" s="1973"/>
      <c r="G469" s="1973"/>
      <c r="H469" s="1973"/>
      <c r="I469" s="1973"/>
      <c r="J469" s="1973"/>
      <c r="K469" s="1973"/>
      <c r="L469" s="1973"/>
      <c r="M469" s="1973"/>
      <c r="N469" s="1973"/>
      <c r="O469" s="1973"/>
      <c r="P469" s="1973"/>
      <c r="Q469" s="1973"/>
      <c r="R469" s="1973"/>
      <c r="S469" s="1973"/>
      <c r="T469" s="1973"/>
      <c r="U469" s="1973"/>
      <c r="V469" s="1973"/>
      <c r="W469" s="2087"/>
      <c r="X469" s="2087"/>
      <c r="Y469" s="208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2" t="s">
        <v>238</v>
      </c>
      <c r="E470" s="1853"/>
      <c r="F470" s="1853"/>
      <c r="G470" s="1853"/>
      <c r="H470" s="1853"/>
      <c r="I470" s="1853"/>
      <c r="J470" s="1853"/>
      <c r="K470" s="1853"/>
      <c r="L470" s="1853"/>
      <c r="M470" s="1853"/>
      <c r="N470" s="1853"/>
      <c r="O470" s="1853"/>
      <c r="P470" s="1853"/>
      <c r="Q470" s="1853"/>
      <c r="R470" s="1853"/>
      <c r="S470" s="1853"/>
      <c r="T470" s="1853"/>
      <c r="U470" s="1853"/>
      <c r="V470" s="1854"/>
      <c r="W470" s="1969">
        <v>0</v>
      </c>
      <c r="X470" s="1970"/>
      <c r="Y470" s="197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7" t="s">
        <v>1111</v>
      </c>
      <c r="B473" s="1677"/>
      <c r="C473" s="1677"/>
      <c r="D473" s="1677"/>
      <c r="E473" s="1677"/>
      <c r="F473" s="1677"/>
      <c r="G473" s="1677"/>
      <c r="H473" s="1677"/>
      <c r="I473" s="1677"/>
      <c r="J473" s="1677"/>
      <c r="K473" s="1677"/>
      <c r="L473" s="1677"/>
      <c r="M473" s="1677"/>
      <c r="N473" s="1677"/>
      <c r="O473" s="1677"/>
      <c r="P473" s="1677"/>
      <c r="Q473" s="1677"/>
      <c r="R473" s="1677"/>
      <c r="S473" s="1677"/>
      <c r="T473" s="1677"/>
      <c r="U473" s="1677"/>
      <c r="V473" s="1677"/>
      <c r="W473" s="1677"/>
      <c r="X473" s="1677"/>
      <c r="Y473" s="1677"/>
      <c r="Z473" s="1677"/>
      <c r="AA473" s="1677"/>
      <c r="AB473" s="1677"/>
      <c r="AC473" s="1677"/>
      <c r="AD473" s="1677"/>
      <c r="AE473" s="1677"/>
      <c r="AF473" s="1677"/>
      <c r="AG473" s="1677"/>
      <c r="AH473" s="1677"/>
      <c r="AI473" s="1677"/>
      <c r="AJ473" s="1677"/>
      <c r="AK473" s="1677"/>
      <c r="AL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8"/>
      <c r="B474" s="1678"/>
      <c r="C474" s="1678"/>
      <c r="D474" s="1678"/>
      <c r="E474" s="1678"/>
      <c r="F474" s="1678"/>
      <c r="G474" s="1678"/>
      <c r="H474" s="1678"/>
      <c r="I474" s="1678"/>
      <c r="J474" s="1678"/>
      <c r="K474" s="1678"/>
      <c r="L474" s="1678"/>
      <c r="M474" s="1678"/>
      <c r="N474" s="1678"/>
      <c r="O474" s="1678"/>
      <c r="P474" s="1678"/>
      <c r="Q474" s="1678"/>
      <c r="R474" s="1678"/>
      <c r="S474" s="1678"/>
      <c r="T474" s="1678"/>
      <c r="U474" s="1678"/>
      <c r="V474" s="1678"/>
      <c r="W474" s="1678"/>
      <c r="X474" s="1678"/>
      <c r="Y474" s="1678"/>
      <c r="Z474" s="1678"/>
      <c r="AA474" s="1678"/>
      <c r="AB474" s="1678"/>
      <c r="AC474" s="1678"/>
      <c r="AD474" s="1678"/>
      <c r="AE474" s="1678"/>
      <c r="AF474" s="1678"/>
      <c r="AG474" s="1678"/>
      <c r="AH474" s="1678"/>
      <c r="AI474" s="1678"/>
      <c r="AJ474" s="1678"/>
      <c r="AK474" s="1678"/>
      <c r="AL474" s="16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3" t="s">
        <v>1112</v>
      </c>
      <c r="U478" s="1994"/>
      <c r="V478" s="1994"/>
      <c r="W478" s="1994"/>
      <c r="X478" s="1994"/>
      <c r="Y478" s="1994"/>
      <c r="Z478" s="1994"/>
      <c r="AA478" s="1994"/>
      <c r="AB478" s="1994"/>
      <c r="AC478" s="1994"/>
      <c r="AD478" s="1994"/>
      <c r="AE478" s="1994"/>
      <c r="AF478" s="1994"/>
      <c r="AG478" s="1994"/>
      <c r="AH478" s="199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8" t="s">
        <v>864</v>
      </c>
      <c r="U479" s="2018"/>
      <c r="V479" s="2018"/>
      <c r="W479" s="2018"/>
      <c r="X479" s="2018"/>
      <c r="Y479" s="2018" t="s">
        <v>865</v>
      </c>
      <c r="Z479" s="2018"/>
      <c r="AA479" s="2018"/>
      <c r="AB479" s="2018"/>
      <c r="AC479" s="2018"/>
      <c r="AD479" s="2018" t="s">
        <v>925</v>
      </c>
      <c r="AE479" s="2018"/>
      <c r="AF479" s="2018"/>
      <c r="AG479" s="2018"/>
      <c r="AH479" s="201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8"/>
      <c r="U480" s="2018"/>
      <c r="V480" s="2018"/>
      <c r="W480" s="2018"/>
      <c r="X480" s="2018"/>
      <c r="Y480" s="2018"/>
      <c r="Z480" s="2018"/>
      <c r="AA480" s="2018"/>
      <c r="AB480" s="2018"/>
      <c r="AC480" s="2018"/>
      <c r="AD480" s="2018"/>
      <c r="AE480" s="2018"/>
      <c r="AF480" s="2018"/>
      <c r="AG480" s="2018"/>
      <c r="AH480" s="201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90">
        <v>44517</v>
      </c>
      <c r="U481" s="1990"/>
      <c r="V481" s="1990"/>
      <c r="W481" s="1990"/>
      <c r="X481" s="1990"/>
      <c r="Y481" s="1990"/>
      <c r="Z481" s="1990"/>
      <c r="AA481" s="1990"/>
      <c r="AB481" s="1990"/>
      <c r="AC481" s="1990"/>
      <c r="AD481" s="1990">
        <v>44628</v>
      </c>
      <c r="AE481" s="1990"/>
      <c r="AF481" s="1990"/>
      <c r="AG481" s="1990"/>
      <c r="AH481" s="199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90">
        <v>44671</v>
      </c>
      <c r="U482" s="1990"/>
      <c r="V482" s="1990"/>
      <c r="W482" s="1990"/>
      <c r="X482" s="1990"/>
      <c r="Y482" s="1990">
        <v>44926</v>
      </c>
      <c r="Z482" s="1990"/>
      <c r="AA482" s="1990"/>
      <c r="AB482" s="1990"/>
      <c r="AC482" s="1990"/>
      <c r="AD482" s="1990"/>
      <c r="AE482" s="1990"/>
      <c r="AF482" s="1990"/>
      <c r="AG482" s="1990"/>
      <c r="AH482" s="199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90" t="s">
        <v>134</v>
      </c>
      <c r="U483" s="1990"/>
      <c r="V483" s="1990"/>
      <c r="W483" s="1990"/>
      <c r="X483" s="1990"/>
      <c r="Y483" s="1990" t="s">
        <v>134</v>
      </c>
      <c r="Z483" s="1990"/>
      <c r="AA483" s="1990"/>
      <c r="AB483" s="1990"/>
      <c r="AC483" s="1990"/>
      <c r="AD483" s="1990" t="s">
        <v>134</v>
      </c>
      <c r="AE483" s="1990"/>
      <c r="AF483" s="1990"/>
      <c r="AG483" s="1990"/>
      <c r="AH483" s="199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90" t="s">
        <v>134</v>
      </c>
      <c r="U484" s="1990"/>
      <c r="V484" s="1990"/>
      <c r="W484" s="1990"/>
      <c r="X484" s="1990"/>
      <c r="Y484" s="1990" t="s">
        <v>134</v>
      </c>
      <c r="Z484" s="1990"/>
      <c r="AA484" s="1990"/>
      <c r="AB484" s="1990"/>
      <c r="AC484" s="1990"/>
      <c r="AD484" s="1990" t="s">
        <v>134</v>
      </c>
      <c r="AE484" s="1990"/>
      <c r="AF484" s="1990"/>
      <c r="AG484" s="1990"/>
      <c r="AH484" s="199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90" t="s">
        <v>134</v>
      </c>
      <c r="U485" s="1990"/>
      <c r="V485" s="1990"/>
      <c r="W485" s="1990"/>
      <c r="X485" s="1990"/>
      <c r="Y485" s="1990" t="s">
        <v>134</v>
      </c>
      <c r="Z485" s="1990"/>
      <c r="AA485" s="1990"/>
      <c r="AB485" s="1990"/>
      <c r="AC485" s="1990"/>
      <c r="AD485" s="1990" t="s">
        <v>134</v>
      </c>
      <c r="AE485" s="1990"/>
      <c r="AF485" s="1990"/>
      <c r="AG485" s="1990"/>
      <c r="AH485" s="199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91">
        <v>44621</v>
      </c>
      <c r="U486" s="1990"/>
      <c r="V486" s="1990"/>
      <c r="W486" s="1990"/>
      <c r="X486" s="1990"/>
      <c r="Y486" s="1990">
        <v>44926</v>
      </c>
      <c r="Z486" s="1990"/>
      <c r="AA486" s="1990"/>
      <c r="AB486" s="1990"/>
      <c r="AC486" s="1990"/>
      <c r="AD486" s="1990"/>
      <c r="AE486" s="1990"/>
      <c r="AF486" s="1990"/>
      <c r="AG486" s="1990"/>
      <c r="AH486" s="199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90">
        <v>44517</v>
      </c>
      <c r="U487" s="1990"/>
      <c r="V487" s="1990"/>
      <c r="W487" s="1990"/>
      <c r="X487" s="1990"/>
      <c r="Y487" s="1990"/>
      <c r="Z487" s="1990"/>
      <c r="AA487" s="1990"/>
      <c r="AB487" s="1990"/>
      <c r="AC487" s="1990"/>
      <c r="AD487" s="1990">
        <v>44628</v>
      </c>
      <c r="AE487" s="1990"/>
      <c r="AF487" s="1990"/>
      <c r="AG487" s="1990"/>
      <c r="AH487" s="199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90" t="s">
        <v>134</v>
      </c>
      <c r="U488" s="1990"/>
      <c r="V488" s="1990"/>
      <c r="W488" s="1990"/>
      <c r="X488" s="1990"/>
      <c r="Y488" s="1990" t="s">
        <v>134</v>
      </c>
      <c r="Z488" s="1990"/>
      <c r="AA488" s="1990"/>
      <c r="AB488" s="1990"/>
      <c r="AC488" s="1990"/>
      <c r="AD488" s="1990" t="s">
        <v>134</v>
      </c>
      <c r="AE488" s="1990"/>
      <c r="AF488" s="1990"/>
      <c r="AG488" s="1990"/>
      <c r="AH488" s="199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90" t="s">
        <v>134</v>
      </c>
      <c r="U489" s="1990"/>
      <c r="V489" s="1990"/>
      <c r="W489" s="1990"/>
      <c r="X489" s="1990"/>
      <c r="Y489" s="1990" t="s">
        <v>134</v>
      </c>
      <c r="Z489" s="1990"/>
      <c r="AA489" s="1990"/>
      <c r="AB489" s="1990"/>
      <c r="AC489" s="1990"/>
      <c r="AD489" s="1990" t="s">
        <v>134</v>
      </c>
      <c r="AE489" s="1990"/>
      <c r="AF489" s="1990"/>
      <c r="AG489" s="1990"/>
      <c r="AH489" s="199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90" t="s">
        <v>134</v>
      </c>
      <c r="U490" s="1990"/>
      <c r="V490" s="1990"/>
      <c r="W490" s="1990"/>
      <c r="X490" s="1990"/>
      <c r="Y490" s="1990" t="s">
        <v>134</v>
      </c>
      <c r="Z490" s="1990"/>
      <c r="AA490" s="1990"/>
      <c r="AB490" s="1990"/>
      <c r="AC490" s="1990"/>
      <c r="AD490" s="1990" t="s">
        <v>134</v>
      </c>
      <c r="AE490" s="1990"/>
      <c r="AF490" s="1990"/>
      <c r="AG490" s="1990"/>
      <c r="AH490" s="199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3" t="s">
        <v>264</v>
      </c>
      <c r="R492" s="1994"/>
      <c r="S492" s="1994"/>
      <c r="T492" s="1994"/>
      <c r="U492" s="1994"/>
      <c r="V492" s="1994"/>
      <c r="W492" s="1994"/>
      <c r="X492" s="1994"/>
      <c r="Y492" s="1994"/>
      <c r="Z492" s="1994"/>
      <c r="AA492" s="1994"/>
      <c r="AB492" s="1994"/>
      <c r="AC492" s="1994"/>
      <c r="AD492" s="1994"/>
      <c r="AE492" s="1994"/>
      <c r="AF492" s="1994"/>
      <c r="AG492" s="1994"/>
      <c r="AH492" s="1994"/>
      <c r="AI492" s="1994"/>
      <c r="AJ492" s="1994"/>
      <c r="AK492" s="199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992" t="s">
        <v>2467</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7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722" t="s">
        <v>2420</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7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722" t="s">
        <v>2420</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7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2" t="s">
        <v>268</v>
      </c>
      <c r="C496" s="2013"/>
      <c r="D496" s="2013"/>
      <c r="E496" s="2013"/>
      <c r="F496" s="2013"/>
      <c r="G496" s="2013"/>
      <c r="H496" s="2013"/>
      <c r="I496" s="2013"/>
      <c r="J496" s="2013"/>
      <c r="K496" s="2013"/>
      <c r="L496" s="2013"/>
      <c r="M496" s="2013"/>
      <c r="N496" s="2013"/>
      <c r="O496" s="2013"/>
      <c r="P496" s="2014"/>
      <c r="Q496" s="2121" t="s">
        <v>118</v>
      </c>
      <c r="R496" s="2122"/>
      <c r="S496" s="2189" t="s">
        <v>2421</v>
      </c>
      <c r="T496" s="2190"/>
      <c r="U496" s="2190"/>
      <c r="V496" s="2190"/>
      <c r="W496" s="2190"/>
      <c r="X496" s="2190"/>
      <c r="Y496" s="2190"/>
      <c r="Z496" s="2190"/>
      <c r="AA496" s="2190"/>
      <c r="AB496" s="2190"/>
      <c r="AC496" s="2190"/>
      <c r="AD496" s="2190"/>
      <c r="AE496" s="2190"/>
      <c r="AF496" s="2190"/>
      <c r="AG496" s="2190"/>
      <c r="AH496" s="2190"/>
      <c r="AI496" s="2190"/>
      <c r="AJ496" s="2190"/>
      <c r="AK496" s="219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5"/>
      <c r="C497" s="2016"/>
      <c r="D497" s="2016"/>
      <c r="E497" s="2016"/>
      <c r="F497" s="2016"/>
      <c r="G497" s="2016"/>
      <c r="H497" s="2016"/>
      <c r="I497" s="2016"/>
      <c r="J497" s="2016"/>
      <c r="K497" s="2016"/>
      <c r="L497" s="2016"/>
      <c r="M497" s="2016"/>
      <c r="N497" s="2016"/>
      <c r="O497" s="2016"/>
      <c r="P497" s="2017"/>
      <c r="Q497" s="2123"/>
      <c r="R497" s="2124"/>
      <c r="S497" s="2192"/>
      <c r="T497" s="2193"/>
      <c r="U497" s="2193"/>
      <c r="V497" s="2193"/>
      <c r="W497" s="2193"/>
      <c r="X497" s="2193"/>
      <c r="Y497" s="2193"/>
      <c r="Z497" s="2193"/>
      <c r="AA497" s="2193"/>
      <c r="AB497" s="2193"/>
      <c r="AC497" s="2193"/>
      <c r="AD497" s="2193"/>
      <c r="AE497" s="2193"/>
      <c r="AF497" s="2193"/>
      <c r="AG497" s="2193"/>
      <c r="AH497" s="2193"/>
      <c r="AI497" s="2193"/>
      <c r="AJ497" s="2193"/>
      <c r="AK497" s="219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1" t="s">
        <v>2194</v>
      </c>
      <c r="C498" s="1346"/>
      <c r="D498" s="1346"/>
      <c r="E498" s="1346"/>
      <c r="F498" s="1346"/>
      <c r="G498" s="1346"/>
      <c r="H498" s="1346"/>
      <c r="I498" s="1346"/>
      <c r="J498" s="1346"/>
      <c r="K498" s="1346"/>
      <c r="L498" s="1346"/>
      <c r="M498" s="1346"/>
      <c r="N498" s="1346"/>
      <c r="O498" s="1346"/>
      <c r="P498" s="1346"/>
      <c r="Q498" s="2125" t="s">
        <v>527</v>
      </c>
      <c r="R498" s="2126"/>
      <c r="S498" s="2126"/>
      <c r="T498" s="2126"/>
      <c r="U498" s="2126"/>
      <c r="V498" s="2126"/>
      <c r="W498" s="2126"/>
      <c r="X498" s="2126"/>
      <c r="Y498" s="2126"/>
      <c r="Z498" s="2126"/>
      <c r="AA498" s="2126"/>
      <c r="AB498" s="2126"/>
      <c r="AC498" s="2126"/>
      <c r="AD498" s="2126"/>
      <c r="AE498" s="2126"/>
      <c r="AF498" s="2126"/>
      <c r="AG498" s="2126"/>
      <c r="AH498" s="2126"/>
      <c r="AI498" s="2126"/>
      <c r="AJ498" s="2126"/>
      <c r="AK498" s="212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992" t="s">
        <v>2466</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7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722" t="s">
        <v>2419</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7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722">
        <v>19</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72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958">
        <v>5</v>
      </c>
      <c r="N502" s="1671"/>
      <c r="O502" s="1671"/>
      <c r="P502" s="1959"/>
      <c r="Q502" s="1382" t="s">
        <v>2197</v>
      </c>
      <c r="R502" s="1383"/>
      <c r="S502" s="1383"/>
      <c r="T502" s="1383"/>
      <c r="U502" s="1383"/>
      <c r="V502" s="1383"/>
      <c r="W502" s="1383"/>
      <c r="X502" s="1383"/>
      <c r="Y502" s="1383"/>
      <c r="Z502" s="1383"/>
      <c r="AA502" s="1383"/>
      <c r="AB502" s="1383"/>
      <c r="AC502" s="1383"/>
      <c r="AD502" s="1383"/>
      <c r="AE502" s="1383"/>
      <c r="AF502" s="1383"/>
      <c r="AG502" s="1383"/>
      <c r="AH502" s="1958">
        <v>14</v>
      </c>
      <c r="AI502" s="1671"/>
      <c r="AJ502" s="1671"/>
      <c r="AK502" s="195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3" t="s">
        <v>272</v>
      </c>
      <c r="AD506" s="1994"/>
      <c r="AE506" s="1994"/>
      <c r="AF506" s="1994"/>
      <c r="AG506" s="1994"/>
      <c r="AH506" s="1994"/>
      <c r="AI506" s="1994"/>
      <c r="AJ506" s="1994"/>
      <c r="AK506" s="199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4" t="s">
        <v>273</v>
      </c>
      <c r="AD507" s="2095"/>
      <c r="AE507" s="2095"/>
      <c r="AF507" s="2095"/>
      <c r="AG507" s="96" t="s">
        <v>274</v>
      </c>
      <c r="AH507" s="2095" t="s">
        <v>275</v>
      </c>
      <c r="AI507" s="2095"/>
      <c r="AJ507" s="2095"/>
      <c r="AK507" s="210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83" t="s">
        <v>276</v>
      </c>
      <c r="C508" s="1684"/>
      <c r="D508" s="1684"/>
      <c r="E508" s="1684"/>
      <c r="F508" s="1684"/>
      <c r="G508" s="1684"/>
      <c r="H508" s="1685"/>
      <c r="I508" s="86" t="s">
        <v>732</v>
      </c>
      <c r="J508" s="86"/>
      <c r="K508" s="86"/>
      <c r="L508" s="86"/>
      <c r="M508" s="86"/>
      <c r="N508" s="86"/>
      <c r="O508" s="86"/>
      <c r="P508" s="86"/>
      <c r="Q508" s="86"/>
      <c r="R508" s="86"/>
      <c r="S508" s="86"/>
      <c r="T508" s="86"/>
      <c r="U508" s="86"/>
      <c r="V508" s="86"/>
      <c r="W508" s="86"/>
      <c r="X508" s="35"/>
      <c r="Y508" s="35"/>
      <c r="AC508" s="1967" t="s">
        <v>134</v>
      </c>
      <c r="AD508" s="1851"/>
      <c r="AE508" s="1851"/>
      <c r="AF508" s="1851"/>
      <c r="AG508" s="89" t="s">
        <v>274</v>
      </c>
      <c r="AH508" s="1725">
        <v>0</v>
      </c>
      <c r="AI508" s="1725"/>
      <c r="AJ508" s="1725"/>
      <c r="AK508" s="17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86"/>
      <c r="C509" s="1687"/>
      <c r="D509" s="1687"/>
      <c r="E509" s="1687"/>
      <c r="F509" s="1687"/>
      <c r="G509" s="1687"/>
      <c r="H509" s="1688"/>
      <c r="I509" s="94" t="s">
        <v>733</v>
      </c>
      <c r="J509" s="94"/>
      <c r="K509" s="94"/>
      <c r="L509" s="94"/>
      <c r="M509" s="94"/>
      <c r="N509" s="94"/>
      <c r="O509" s="94"/>
      <c r="P509" s="94"/>
      <c r="Q509" s="94"/>
      <c r="R509" s="94"/>
      <c r="S509" s="94"/>
      <c r="T509" s="94"/>
      <c r="U509" s="94"/>
      <c r="V509" s="94"/>
      <c r="W509" s="94"/>
      <c r="X509" s="94"/>
      <c r="Y509" s="94"/>
      <c r="Z509" s="94"/>
      <c r="AA509" s="94"/>
      <c r="AB509" s="94"/>
      <c r="AC509" s="1967">
        <v>6</v>
      </c>
      <c r="AD509" s="1851"/>
      <c r="AE509" s="1851"/>
      <c r="AF509" s="1851"/>
      <c r="AG509" s="79" t="s">
        <v>274</v>
      </c>
      <c r="AH509" s="1725">
        <v>2022</v>
      </c>
      <c r="AI509" s="1725"/>
      <c r="AJ509" s="1725"/>
      <c r="AK509" s="17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83" t="s">
        <v>734</v>
      </c>
      <c r="C510" s="1684"/>
      <c r="D510" s="1684"/>
      <c r="E510" s="1684"/>
      <c r="F510" s="1684"/>
      <c r="G510" s="1684"/>
      <c r="H510" s="1685"/>
      <c r="I510" s="86" t="s">
        <v>735</v>
      </c>
      <c r="J510" s="86"/>
      <c r="K510" s="86"/>
      <c r="L510" s="86"/>
      <c r="M510" s="86"/>
      <c r="N510" s="86"/>
      <c r="O510" s="86"/>
      <c r="P510" s="86"/>
      <c r="Q510" s="86"/>
      <c r="R510" s="86"/>
      <c r="S510" s="86"/>
      <c r="T510" s="86"/>
      <c r="U510" s="86"/>
      <c r="V510" s="86"/>
      <c r="W510" s="86"/>
      <c r="X510" s="35"/>
      <c r="Y510" s="35"/>
      <c r="AC510" s="1967" t="s">
        <v>134</v>
      </c>
      <c r="AD510" s="1851"/>
      <c r="AE510" s="1851"/>
      <c r="AF510" s="1851"/>
      <c r="AG510" s="89" t="s">
        <v>274</v>
      </c>
      <c r="AH510" s="1725"/>
      <c r="AI510" s="1725"/>
      <c r="AJ510" s="1725"/>
      <c r="AK510" s="17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86"/>
      <c r="C511" s="1687"/>
      <c r="D511" s="1687"/>
      <c r="E511" s="1687"/>
      <c r="F511" s="1687"/>
      <c r="G511" s="1687"/>
      <c r="H511" s="1688"/>
      <c r="I511" s="35" t="s">
        <v>736</v>
      </c>
      <c r="J511" s="35"/>
      <c r="K511" s="35"/>
      <c r="L511" s="35"/>
      <c r="M511" s="35"/>
      <c r="N511" s="35"/>
      <c r="O511" s="35"/>
      <c r="P511" s="35"/>
      <c r="Q511" s="35"/>
      <c r="R511" s="35"/>
      <c r="S511" s="35"/>
      <c r="T511" s="35"/>
      <c r="U511" s="35"/>
      <c r="V511" s="35"/>
      <c r="W511" s="35"/>
      <c r="X511" s="35"/>
      <c r="Y511" s="35"/>
      <c r="AC511" s="1967" t="s">
        <v>134</v>
      </c>
      <c r="AD511" s="1851"/>
      <c r="AE511" s="1851"/>
      <c r="AF511" s="1851"/>
      <c r="AG511" s="89" t="s">
        <v>274</v>
      </c>
      <c r="AH511" s="1725"/>
      <c r="AI511" s="1725"/>
      <c r="AJ511" s="1725"/>
      <c r="AK511" s="17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86"/>
      <c r="C512" s="1687"/>
      <c r="D512" s="1687"/>
      <c r="E512" s="1687"/>
      <c r="F512" s="1687"/>
      <c r="G512" s="1687"/>
      <c r="H512" s="1688"/>
      <c r="I512" s="35" t="s">
        <v>737</v>
      </c>
      <c r="J512" s="35"/>
      <c r="K512" s="35"/>
      <c r="L512" s="35"/>
      <c r="M512" s="35"/>
      <c r="N512" s="35"/>
      <c r="O512" s="35"/>
      <c r="P512" s="35"/>
      <c r="Q512" s="35"/>
      <c r="R512" s="35"/>
      <c r="S512" s="35"/>
      <c r="T512" s="35"/>
      <c r="U512" s="35"/>
      <c r="V512" s="35"/>
      <c r="W512" s="35"/>
      <c r="X512" s="35"/>
      <c r="Y512" s="35"/>
      <c r="AC512" s="1967">
        <v>3</v>
      </c>
      <c r="AD512" s="1851"/>
      <c r="AE512" s="1851"/>
      <c r="AF512" s="1851"/>
      <c r="AG512" s="89" t="s">
        <v>274</v>
      </c>
      <c r="AH512" s="1725">
        <v>2022</v>
      </c>
      <c r="AI512" s="1725"/>
      <c r="AJ512" s="1725"/>
      <c r="AK512" s="17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86"/>
      <c r="C513" s="1687"/>
      <c r="D513" s="1687"/>
      <c r="E513" s="1687"/>
      <c r="F513" s="1687"/>
      <c r="G513" s="1687"/>
      <c r="H513" s="1688"/>
      <c r="I513" s="35" t="s">
        <v>738</v>
      </c>
      <c r="J513" s="35"/>
      <c r="K513" s="35"/>
      <c r="L513" s="35"/>
      <c r="M513" s="35"/>
      <c r="N513" s="35"/>
      <c r="O513" s="35"/>
      <c r="P513" s="35"/>
      <c r="Q513" s="35"/>
      <c r="R513" s="35"/>
      <c r="S513" s="35"/>
      <c r="T513" s="35"/>
      <c r="U513" s="35"/>
      <c r="V513" s="35"/>
      <c r="W513" s="35"/>
      <c r="X513" s="35"/>
      <c r="Y513" s="35"/>
      <c r="AC513" s="1967">
        <v>2</v>
      </c>
      <c r="AD513" s="1851"/>
      <c r="AE513" s="1851"/>
      <c r="AF513" s="1851"/>
      <c r="AG513" s="89" t="s">
        <v>274</v>
      </c>
      <c r="AH513" s="1725">
        <v>2023</v>
      </c>
      <c r="AI513" s="1725"/>
      <c r="AJ513" s="1725"/>
      <c r="AK513" s="17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86"/>
      <c r="C514" s="1687"/>
      <c r="D514" s="1687"/>
      <c r="E514" s="1687"/>
      <c r="F514" s="1687"/>
      <c r="G514" s="1687"/>
      <c r="H514" s="1688"/>
      <c r="I514" s="326" t="s">
        <v>739</v>
      </c>
      <c r="J514" s="35"/>
      <c r="K514" s="35"/>
      <c r="L514" s="35"/>
      <c r="M514" s="35"/>
      <c r="N514" s="35"/>
      <c r="O514" s="35"/>
      <c r="P514" s="35"/>
      <c r="Q514" s="35"/>
      <c r="R514" s="35"/>
      <c r="S514" s="35"/>
      <c r="T514" s="35"/>
      <c r="U514" s="35"/>
      <c r="V514" s="35"/>
      <c r="W514" s="35"/>
      <c r="X514" s="35"/>
      <c r="Y514" s="35"/>
      <c r="AC514" s="1782">
        <v>2</v>
      </c>
      <c r="AD514" s="1783"/>
      <c r="AE514" s="1783"/>
      <c r="AF514" s="1783"/>
      <c r="AG514" s="1348" t="s">
        <v>274</v>
      </c>
      <c r="AH514" s="1725">
        <v>2023</v>
      </c>
      <c r="AI514" s="1725"/>
      <c r="AJ514" s="1725"/>
      <c r="AK514" s="17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86"/>
      <c r="C515" s="1687"/>
      <c r="D515" s="1687"/>
      <c r="E515" s="1687"/>
      <c r="F515" s="1687"/>
      <c r="G515" s="1687"/>
      <c r="H515" s="1688"/>
      <c r="I515" s="624" t="s">
        <v>309</v>
      </c>
      <c r="J515" s="94"/>
      <c r="K515" s="94"/>
      <c r="L515" s="2089" t="s">
        <v>618</v>
      </c>
      <c r="M515" s="2090"/>
      <c r="N515" s="2090"/>
      <c r="O515" s="2090"/>
      <c r="P515" s="2090"/>
      <c r="Q515" s="2090"/>
      <c r="R515" s="2090"/>
      <c r="S515" s="2090"/>
      <c r="T515" s="2090"/>
      <c r="U515" s="2090"/>
      <c r="V515" s="2090"/>
      <c r="W515" s="2090"/>
      <c r="X515" s="2090"/>
      <c r="Y515" s="2090"/>
      <c r="Z515" s="2090"/>
      <c r="AA515" s="2090"/>
      <c r="AB515" s="2091"/>
      <c r="AC515" s="2083" t="s">
        <v>134</v>
      </c>
      <c r="AD515" s="1832"/>
      <c r="AE515" s="1832"/>
      <c r="AF515" s="1832"/>
      <c r="AG515" s="1344" t="s">
        <v>274</v>
      </c>
      <c r="AH515" s="1725"/>
      <c r="AI515" s="1725"/>
      <c r="AJ515" s="1725"/>
      <c r="AK515" s="17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86"/>
      <c r="C516" s="1687"/>
      <c r="D516" s="1687"/>
      <c r="E516" s="1687"/>
      <c r="F516" s="1687"/>
      <c r="G516" s="1687"/>
      <c r="H516" s="1688"/>
      <c r="I516" s="1069" t="s">
        <v>2198</v>
      </c>
      <c r="J516" s="35"/>
      <c r="K516" s="35"/>
      <c r="L516" s="35"/>
      <c r="M516" s="35"/>
      <c r="N516" s="35"/>
      <c r="O516" s="35"/>
      <c r="P516" s="35"/>
      <c r="Q516" s="35"/>
      <c r="R516" s="35"/>
      <c r="S516" s="35"/>
      <c r="T516" s="35"/>
      <c r="U516" s="35"/>
      <c r="V516" s="35"/>
      <c r="W516" s="35"/>
      <c r="X516" s="35"/>
      <c r="Y516" s="35"/>
      <c r="AC516" s="2084" t="s">
        <v>527</v>
      </c>
      <c r="AD516" s="2084"/>
      <c r="AE516" s="2084"/>
      <c r="AF516" s="2084"/>
      <c r="AG516" s="1348"/>
      <c r="AH516" s="2085"/>
      <c r="AI516" s="2085"/>
      <c r="AJ516" s="2085"/>
      <c r="AK516" s="208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86"/>
      <c r="C517" s="1687"/>
      <c r="D517" s="1687"/>
      <c r="E517" s="1687"/>
      <c r="F517" s="1687"/>
      <c r="G517" s="1687"/>
      <c r="H517" s="1688"/>
      <c r="I517" s="623" t="s">
        <v>2199</v>
      </c>
      <c r="J517" s="35"/>
      <c r="K517" s="35"/>
      <c r="L517" s="35"/>
      <c r="M517" s="35"/>
      <c r="N517" s="35"/>
      <c r="O517" s="35"/>
      <c r="P517" s="35"/>
      <c r="Q517" s="35"/>
      <c r="R517" s="35"/>
      <c r="S517" s="35"/>
      <c r="T517" s="35"/>
      <c r="U517" s="35"/>
      <c r="V517" s="35"/>
      <c r="W517" s="35"/>
      <c r="X517" s="35"/>
      <c r="Y517" s="35"/>
      <c r="AC517" s="1782"/>
      <c r="AD517" s="1783"/>
      <c r="AE517" s="1783"/>
      <c r="AF517" s="1784"/>
      <c r="AG517" s="1348"/>
      <c r="AH517" s="2085"/>
      <c r="AI517" s="2085"/>
      <c r="AJ517" s="2085"/>
      <c r="AK517" s="208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86"/>
      <c r="C518" s="1687"/>
      <c r="D518" s="1687"/>
      <c r="E518" s="1687"/>
      <c r="F518" s="1687"/>
      <c r="G518" s="1687"/>
      <c r="H518" s="1688"/>
      <c r="I518" s="623" t="s">
        <v>2200</v>
      </c>
      <c r="J518" s="35"/>
      <c r="K518" s="35"/>
      <c r="L518" s="35"/>
      <c r="M518" s="35"/>
      <c r="N518" s="35"/>
      <c r="O518" s="35"/>
      <c r="P518" s="35"/>
      <c r="Q518" s="35"/>
      <c r="R518" s="35"/>
      <c r="S518" s="35"/>
      <c r="T518" s="35"/>
      <c r="U518" s="35"/>
      <c r="V518" s="35"/>
      <c r="W518" s="35"/>
      <c r="X518" s="35"/>
      <c r="Y518" s="35"/>
      <c r="AC518" s="1384"/>
      <c r="AD518" s="1385"/>
      <c r="AE518" s="1385"/>
      <c r="AF518" s="1386"/>
      <c r="AG518" s="1347"/>
      <c r="AH518" s="1350"/>
      <c r="AI518" s="1350"/>
      <c r="AJ518" s="1350"/>
      <c r="AK518" s="138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86"/>
      <c r="C519" s="1687"/>
      <c r="D519" s="1687"/>
      <c r="E519" s="1687"/>
      <c r="F519" s="1687"/>
      <c r="G519" s="1687"/>
      <c r="H519" s="1688"/>
      <c r="I519" s="1388" t="s">
        <v>2201</v>
      </c>
      <c r="J519" s="94"/>
      <c r="K519" s="94"/>
      <c r="L519" s="94"/>
      <c r="M519" s="94"/>
      <c r="N519" s="94"/>
      <c r="O519" s="94"/>
      <c r="P519" s="94"/>
      <c r="Q519" s="94"/>
      <c r="R519" s="94"/>
      <c r="S519" s="94"/>
      <c r="T519" s="94"/>
      <c r="U519" s="94"/>
      <c r="V519" s="94"/>
      <c r="W519" s="94"/>
      <c r="X519" s="94"/>
      <c r="Y519" s="94"/>
      <c r="Z519" s="94"/>
      <c r="AA519" s="94"/>
      <c r="AB519" s="94"/>
      <c r="AC519" s="2099">
        <v>0.3</v>
      </c>
      <c r="AD519" s="2100"/>
      <c r="AE519" s="2100"/>
      <c r="AF519" s="2101"/>
      <c r="AG519" s="1344"/>
      <c r="AH519" s="2008"/>
      <c r="AI519" s="2008"/>
      <c r="AJ519" s="2008"/>
      <c r="AK519" s="200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83" t="s">
        <v>740</v>
      </c>
      <c r="C520" s="1684"/>
      <c r="D520" s="1684"/>
      <c r="E520" s="1684"/>
      <c r="F520" s="1684"/>
      <c r="G520" s="1684"/>
      <c r="H520" s="1685"/>
      <c r="I520" s="86" t="s">
        <v>741</v>
      </c>
      <c r="J520" s="86"/>
      <c r="K520" s="86"/>
      <c r="L520" s="86"/>
      <c r="M520" s="86"/>
      <c r="N520" s="86"/>
      <c r="O520" s="86"/>
      <c r="P520" s="86"/>
      <c r="Q520" s="86"/>
      <c r="R520" s="86"/>
      <c r="S520" s="86"/>
      <c r="T520" s="86"/>
      <c r="U520" s="86"/>
      <c r="V520" s="86"/>
      <c r="W520" s="86"/>
      <c r="X520" s="35"/>
      <c r="Y520" s="35"/>
      <c r="AC520" s="1967">
        <v>6</v>
      </c>
      <c r="AD520" s="1851"/>
      <c r="AE520" s="1851"/>
      <c r="AF520" s="1851"/>
      <c r="AG520" s="89" t="s">
        <v>274</v>
      </c>
      <c r="AH520" s="1725">
        <v>2022</v>
      </c>
      <c r="AI520" s="1725"/>
      <c r="AJ520" s="1725"/>
      <c r="AK520" s="17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86"/>
      <c r="C521" s="1687"/>
      <c r="D521" s="1687"/>
      <c r="E521" s="1687"/>
      <c r="F521" s="1687"/>
      <c r="G521" s="1687"/>
      <c r="H521" s="1688"/>
      <c r="I521" s="35" t="s">
        <v>742</v>
      </c>
      <c r="J521" s="35"/>
      <c r="K521" s="35"/>
      <c r="L521" s="35"/>
      <c r="M521" s="35"/>
      <c r="N521" s="35"/>
      <c r="O521" s="35"/>
      <c r="P521" s="35"/>
      <c r="Q521" s="35"/>
      <c r="R521" s="35"/>
      <c r="S521" s="35"/>
      <c r="T521" s="35"/>
      <c r="U521" s="35"/>
      <c r="V521" s="35"/>
      <c r="W521" s="35"/>
      <c r="X521" s="35"/>
      <c r="Y521" s="35"/>
      <c r="AC521" s="1967">
        <v>6</v>
      </c>
      <c r="AD521" s="1851"/>
      <c r="AE521" s="1851"/>
      <c r="AF521" s="1851"/>
      <c r="AG521" s="89" t="s">
        <v>274</v>
      </c>
      <c r="AH521" s="1725">
        <v>2022</v>
      </c>
      <c r="AI521" s="1725"/>
      <c r="AJ521" s="1725"/>
      <c r="AK521" s="17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86"/>
      <c r="C522" s="1687"/>
      <c r="D522" s="1687"/>
      <c r="E522" s="1687"/>
      <c r="F522" s="1687"/>
      <c r="G522" s="1687"/>
      <c r="H522" s="1688"/>
      <c r="I522" s="94" t="s">
        <v>743</v>
      </c>
      <c r="J522" s="94"/>
      <c r="K522" s="94"/>
      <c r="L522" s="94"/>
      <c r="M522" s="94"/>
      <c r="N522" s="94"/>
      <c r="O522" s="94"/>
      <c r="P522" s="94"/>
      <c r="Q522" s="94"/>
      <c r="R522" s="94"/>
      <c r="S522" s="94"/>
      <c r="T522" s="94"/>
      <c r="U522" s="94"/>
      <c r="V522" s="94"/>
      <c r="W522" s="94"/>
      <c r="X522" s="94"/>
      <c r="Y522" s="94"/>
      <c r="Z522" s="94"/>
      <c r="AA522" s="94"/>
      <c r="AB522" s="94"/>
      <c r="AC522" s="1967">
        <v>3</v>
      </c>
      <c r="AD522" s="1851"/>
      <c r="AE522" s="1851"/>
      <c r="AF522" s="1851"/>
      <c r="AG522" s="79" t="s">
        <v>274</v>
      </c>
      <c r="AH522" s="1725">
        <v>2023</v>
      </c>
      <c r="AI522" s="1725"/>
      <c r="AJ522" s="1725"/>
      <c r="AK522" s="17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83" t="s">
        <v>744</v>
      </c>
      <c r="C523" s="1684"/>
      <c r="D523" s="1684"/>
      <c r="E523" s="1684"/>
      <c r="F523" s="1684"/>
      <c r="G523" s="1684"/>
      <c r="H523" s="1685"/>
      <c r="I523" s="86" t="s">
        <v>741</v>
      </c>
      <c r="J523" s="86"/>
      <c r="K523" s="86"/>
      <c r="L523" s="86"/>
      <c r="M523" s="86"/>
      <c r="N523" s="86"/>
      <c r="O523" s="86"/>
      <c r="P523" s="86"/>
      <c r="Q523" s="86"/>
      <c r="R523" s="86"/>
      <c r="S523" s="86"/>
      <c r="T523" s="86"/>
      <c r="U523" s="86"/>
      <c r="V523" s="86"/>
      <c r="W523" s="86"/>
      <c r="X523" s="86"/>
      <c r="Y523" s="86"/>
      <c r="Z523" s="86"/>
      <c r="AA523" s="86"/>
      <c r="AB523" s="86"/>
      <c r="AC523" s="1824">
        <v>6</v>
      </c>
      <c r="AD523" s="1825"/>
      <c r="AE523" s="1825"/>
      <c r="AF523" s="1825"/>
      <c r="AG523" s="360" t="s">
        <v>274</v>
      </c>
      <c r="AH523" s="1725">
        <v>2022</v>
      </c>
      <c r="AI523" s="1725"/>
      <c r="AJ523" s="1725"/>
      <c r="AK523" s="17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86"/>
      <c r="C524" s="1687"/>
      <c r="D524" s="1687"/>
      <c r="E524" s="1687"/>
      <c r="F524" s="1687"/>
      <c r="G524" s="1687"/>
      <c r="H524" s="1688"/>
      <c r="I524" s="35" t="s">
        <v>742</v>
      </c>
      <c r="J524" s="35"/>
      <c r="K524" s="35"/>
      <c r="L524" s="35"/>
      <c r="M524" s="35"/>
      <c r="N524" s="35"/>
      <c r="O524" s="35"/>
      <c r="P524" s="35"/>
      <c r="Q524" s="35"/>
      <c r="R524" s="35"/>
      <c r="S524" s="35"/>
      <c r="T524" s="35"/>
      <c r="U524" s="35"/>
      <c r="V524" s="35"/>
      <c r="W524" s="35"/>
      <c r="X524" s="35"/>
      <c r="Y524" s="35"/>
      <c r="Z524" s="35"/>
      <c r="AA524" s="35"/>
      <c r="AB524" s="35"/>
      <c r="AC524" s="1967">
        <v>6</v>
      </c>
      <c r="AD524" s="1851"/>
      <c r="AE524" s="1851"/>
      <c r="AF524" s="1851"/>
      <c r="AG524" s="89" t="s">
        <v>274</v>
      </c>
      <c r="AH524" s="1725">
        <v>2022</v>
      </c>
      <c r="AI524" s="1725"/>
      <c r="AJ524" s="1725"/>
      <c r="AK524" s="17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89"/>
      <c r="C525" s="1690"/>
      <c r="D525" s="1690"/>
      <c r="E525" s="1690"/>
      <c r="F525" s="1690"/>
      <c r="G525" s="1690"/>
      <c r="H525" s="1691"/>
      <c r="I525" s="94" t="s">
        <v>743</v>
      </c>
      <c r="J525" s="94"/>
      <c r="K525" s="94"/>
      <c r="L525" s="94"/>
      <c r="M525" s="94"/>
      <c r="N525" s="94"/>
      <c r="O525" s="94"/>
      <c r="P525" s="94"/>
      <c r="Q525" s="94"/>
      <c r="R525" s="94"/>
      <c r="S525" s="94"/>
      <c r="T525" s="94"/>
      <c r="U525" s="94"/>
      <c r="V525" s="94"/>
      <c r="W525" s="94"/>
      <c r="X525" s="94"/>
      <c r="Y525" s="94"/>
      <c r="Z525" s="94"/>
      <c r="AA525" s="94"/>
      <c r="AB525" s="94"/>
      <c r="AC525" s="1967">
        <v>3</v>
      </c>
      <c r="AD525" s="1851"/>
      <c r="AE525" s="1851"/>
      <c r="AF525" s="1851"/>
      <c r="AG525" s="79" t="s">
        <v>274</v>
      </c>
      <c r="AH525" s="1725">
        <v>2023</v>
      </c>
      <c r="AI525" s="1725"/>
      <c r="AJ525" s="1725"/>
      <c r="AK525" s="17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83" t="s">
        <v>745</v>
      </c>
      <c r="C526" s="1684"/>
      <c r="D526" s="1684"/>
      <c r="E526" s="1684"/>
      <c r="F526" s="1684"/>
      <c r="G526" s="1684"/>
      <c r="H526" s="1685"/>
      <c r="I526" s="85" t="s">
        <v>746</v>
      </c>
      <c r="J526" s="86"/>
      <c r="K526" s="86"/>
      <c r="L526" s="86"/>
      <c r="M526" s="86"/>
      <c r="N526" s="86"/>
      <c r="O526" s="1666" t="s">
        <v>2339</v>
      </c>
      <c r="P526" s="1666"/>
      <c r="Q526" s="1666"/>
      <c r="R526" s="1666"/>
      <c r="S526" s="1666"/>
      <c r="T526" s="1666"/>
      <c r="U526" s="1666"/>
      <c r="V526" s="1666"/>
      <c r="W526" s="1666"/>
      <c r="X526" s="1666"/>
      <c r="Y526" s="1666"/>
      <c r="Z526" s="1666"/>
      <c r="AA526" s="1666"/>
      <c r="AB526" s="108"/>
      <c r="AC526" s="1824"/>
      <c r="AD526" s="1825"/>
      <c r="AE526" s="1825"/>
      <c r="AF526" s="1825"/>
      <c r="AG526" s="360" t="s">
        <v>274</v>
      </c>
      <c r="AH526" s="1725"/>
      <c r="AI526" s="1725"/>
      <c r="AJ526" s="1725"/>
      <c r="AK526" s="17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86"/>
      <c r="C527" s="1687"/>
      <c r="D527" s="1687"/>
      <c r="E527" s="1687"/>
      <c r="F527" s="1687"/>
      <c r="G527" s="1687"/>
      <c r="H527" s="1688"/>
      <c r="I527" s="317" t="s">
        <v>747</v>
      </c>
      <c r="J527" s="35"/>
      <c r="K527" s="35"/>
      <c r="L527" s="35"/>
      <c r="M527" s="35"/>
      <c r="N527" s="35"/>
      <c r="O527" s="35"/>
      <c r="P527" s="35"/>
      <c r="Q527" s="35"/>
      <c r="R527" s="35"/>
      <c r="S527" s="35"/>
      <c r="T527" s="35"/>
      <c r="U527" s="35"/>
      <c r="V527" s="35"/>
      <c r="W527" s="35"/>
      <c r="X527" s="35"/>
      <c r="Y527" s="35"/>
      <c r="Z527" s="35"/>
      <c r="AA527" s="35"/>
      <c r="AB527" s="115"/>
      <c r="AC527" s="1967">
        <v>4</v>
      </c>
      <c r="AD527" s="1851"/>
      <c r="AE527" s="1851"/>
      <c r="AF527" s="1851"/>
      <c r="AG527" s="89" t="s">
        <v>274</v>
      </c>
      <c r="AH527" s="1725">
        <v>2022</v>
      </c>
      <c r="AI527" s="1725"/>
      <c r="AJ527" s="1725"/>
      <c r="AK527" s="17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86"/>
      <c r="C528" s="1687"/>
      <c r="D528" s="1687"/>
      <c r="E528" s="1687"/>
      <c r="F528" s="1687"/>
      <c r="G528" s="1687"/>
      <c r="H528" s="1688"/>
      <c r="I528" s="93" t="s">
        <v>748</v>
      </c>
      <c r="J528" s="94"/>
      <c r="K528" s="94"/>
      <c r="L528" s="94"/>
      <c r="M528" s="94"/>
      <c r="N528" s="94"/>
      <c r="O528" s="94"/>
      <c r="P528" s="94"/>
      <c r="Q528" s="94"/>
      <c r="R528" s="94"/>
      <c r="S528" s="94"/>
      <c r="T528" s="94"/>
      <c r="U528" s="94"/>
      <c r="V528" s="94"/>
      <c r="W528" s="94"/>
      <c r="X528" s="94"/>
      <c r="Y528" s="94"/>
      <c r="Z528" s="94"/>
      <c r="AA528" s="94"/>
      <c r="AB528" s="95"/>
      <c r="AC528" s="1967">
        <v>6</v>
      </c>
      <c r="AD528" s="1851"/>
      <c r="AE528" s="1851"/>
      <c r="AF528" s="1851"/>
      <c r="AG528" s="79" t="s">
        <v>274</v>
      </c>
      <c r="AH528" s="1725">
        <v>2022</v>
      </c>
      <c r="AI528" s="1725"/>
      <c r="AJ528" s="1725"/>
      <c r="AK528" s="17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86"/>
      <c r="C529" s="1687"/>
      <c r="D529" s="1687"/>
      <c r="E529" s="1687"/>
      <c r="F529" s="1687"/>
      <c r="G529" s="1687"/>
      <c r="H529" s="1688"/>
      <c r="I529" s="86" t="s">
        <v>749</v>
      </c>
      <c r="J529" s="86"/>
      <c r="K529" s="86"/>
      <c r="L529" s="86"/>
      <c r="M529" s="86"/>
      <c r="N529" s="86"/>
      <c r="O529" s="1672" t="s">
        <v>2422</v>
      </c>
      <c r="P529" s="1672"/>
      <c r="Q529" s="1672"/>
      <c r="R529" s="1672"/>
      <c r="S529" s="1672"/>
      <c r="T529" s="1672"/>
      <c r="U529" s="1672"/>
      <c r="V529" s="1672"/>
      <c r="W529" s="1672"/>
      <c r="X529" s="1672"/>
      <c r="Y529" s="1672"/>
      <c r="Z529" s="1672"/>
      <c r="AA529" s="1672"/>
      <c r="AC529" s="1967"/>
      <c r="AD529" s="1851"/>
      <c r="AE529" s="1851"/>
      <c r="AF529" s="1851"/>
      <c r="AG529" s="89" t="s">
        <v>274</v>
      </c>
      <c r="AH529" s="1725"/>
      <c r="AI529" s="1725"/>
      <c r="AJ529" s="1725"/>
      <c r="AK529" s="17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86"/>
      <c r="C530" s="1687"/>
      <c r="D530" s="1687"/>
      <c r="E530" s="1687"/>
      <c r="F530" s="1687"/>
      <c r="G530" s="1687"/>
      <c r="H530" s="1688"/>
      <c r="I530" s="35" t="s">
        <v>747</v>
      </c>
      <c r="J530" s="35"/>
      <c r="K530" s="35"/>
      <c r="L530" s="35"/>
      <c r="M530" s="35"/>
      <c r="N530" s="35"/>
      <c r="O530" s="35"/>
      <c r="P530" s="35"/>
      <c r="Q530" s="35"/>
      <c r="R530" s="35"/>
      <c r="S530" s="35"/>
      <c r="T530" s="35"/>
      <c r="U530" s="35"/>
      <c r="V530" s="35"/>
      <c r="W530" s="35"/>
      <c r="X530" s="35"/>
      <c r="Y530" s="35"/>
      <c r="AC530" s="1967">
        <v>4</v>
      </c>
      <c r="AD530" s="1851"/>
      <c r="AE530" s="1851"/>
      <c r="AF530" s="1851"/>
      <c r="AG530" s="89" t="s">
        <v>274</v>
      </c>
      <c r="AH530" s="1725">
        <v>2022</v>
      </c>
      <c r="AI530" s="1725"/>
      <c r="AJ530" s="1725"/>
      <c r="AK530" s="17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86"/>
      <c r="C531" s="1687"/>
      <c r="D531" s="1687"/>
      <c r="E531" s="1687"/>
      <c r="F531" s="1687"/>
      <c r="G531" s="1687"/>
      <c r="H531" s="1688"/>
      <c r="I531" s="94" t="s">
        <v>748</v>
      </c>
      <c r="J531" s="94"/>
      <c r="K531" s="94"/>
      <c r="L531" s="94"/>
      <c r="M531" s="94"/>
      <c r="N531" s="94"/>
      <c r="O531" s="94"/>
      <c r="P531" s="94"/>
      <c r="Q531" s="94"/>
      <c r="R531" s="94"/>
      <c r="S531" s="94"/>
      <c r="T531" s="94"/>
      <c r="U531" s="94"/>
      <c r="V531" s="94"/>
      <c r="W531" s="94"/>
      <c r="X531" s="94"/>
      <c r="Y531" s="94"/>
      <c r="Z531" s="94"/>
      <c r="AA531" s="94"/>
      <c r="AB531" s="94"/>
      <c r="AC531" s="1967">
        <v>6</v>
      </c>
      <c r="AD531" s="1851"/>
      <c r="AE531" s="1851"/>
      <c r="AF531" s="1851"/>
      <c r="AG531" s="79" t="s">
        <v>274</v>
      </c>
      <c r="AH531" s="1725">
        <v>2022</v>
      </c>
      <c r="AI531" s="1725"/>
      <c r="AJ531" s="1725"/>
      <c r="AK531" s="17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86"/>
      <c r="C532" s="1687"/>
      <c r="D532" s="1687"/>
      <c r="E532" s="1687"/>
      <c r="F532" s="1687"/>
      <c r="G532" s="1687"/>
      <c r="H532" s="1688"/>
      <c r="I532" s="86" t="s">
        <v>749</v>
      </c>
      <c r="J532" s="86"/>
      <c r="K532" s="86"/>
      <c r="L532" s="86"/>
      <c r="M532" s="86"/>
      <c r="N532" s="86"/>
      <c r="O532" s="1672" t="s">
        <v>2423</v>
      </c>
      <c r="P532" s="1672"/>
      <c r="Q532" s="1672"/>
      <c r="R532" s="1672"/>
      <c r="S532" s="1672"/>
      <c r="T532" s="1672"/>
      <c r="U532" s="1672"/>
      <c r="V532" s="1672"/>
      <c r="W532" s="1672"/>
      <c r="X532" s="1672"/>
      <c r="Y532" s="1672"/>
      <c r="Z532" s="1672"/>
      <c r="AA532" s="1672"/>
      <c r="AC532" s="1824"/>
      <c r="AD532" s="1825"/>
      <c r="AE532" s="1825"/>
      <c r="AF532" s="1825"/>
      <c r="AG532" s="89" t="s">
        <v>274</v>
      </c>
      <c r="AH532" s="1725"/>
      <c r="AI532" s="1725"/>
      <c r="AJ532" s="1725"/>
      <c r="AK532" s="17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86"/>
      <c r="C533" s="1687"/>
      <c r="D533" s="1687"/>
      <c r="E533" s="1687"/>
      <c r="F533" s="1687"/>
      <c r="G533" s="1687"/>
      <c r="H533" s="1688"/>
      <c r="I533" s="35" t="s">
        <v>747</v>
      </c>
      <c r="J533" s="35"/>
      <c r="K533" s="35"/>
      <c r="L533" s="35"/>
      <c r="M533" s="35"/>
      <c r="N533" s="35"/>
      <c r="O533" s="35"/>
      <c r="P533" s="35"/>
      <c r="Q533" s="35"/>
      <c r="R533" s="35"/>
      <c r="S533" s="35"/>
      <c r="T533" s="35"/>
      <c r="U533" s="35"/>
      <c r="V533" s="35"/>
      <c r="W533" s="35"/>
      <c r="X533" s="35"/>
      <c r="Y533" s="35"/>
      <c r="AC533" s="1824">
        <v>4</v>
      </c>
      <c r="AD533" s="1825"/>
      <c r="AE533" s="1825"/>
      <c r="AF533" s="1825"/>
      <c r="AG533" s="89" t="s">
        <v>274</v>
      </c>
      <c r="AH533" s="1725">
        <v>2022</v>
      </c>
      <c r="AI533" s="1725"/>
      <c r="AJ533" s="1725"/>
      <c r="AK533" s="17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86"/>
      <c r="C534" s="1687"/>
      <c r="D534" s="1687"/>
      <c r="E534" s="1687"/>
      <c r="F534" s="1687"/>
      <c r="G534" s="1687"/>
      <c r="H534" s="1688"/>
      <c r="I534" s="94" t="s">
        <v>748</v>
      </c>
      <c r="J534" s="94"/>
      <c r="K534" s="94"/>
      <c r="L534" s="94"/>
      <c r="M534" s="94"/>
      <c r="N534" s="94"/>
      <c r="O534" s="94"/>
      <c r="P534" s="94"/>
      <c r="Q534" s="94"/>
      <c r="R534" s="94"/>
      <c r="S534" s="94"/>
      <c r="T534" s="94"/>
      <c r="U534" s="94"/>
      <c r="V534" s="94"/>
      <c r="W534" s="94"/>
      <c r="X534" s="94"/>
      <c r="Y534" s="94"/>
      <c r="Z534" s="94"/>
      <c r="AA534" s="94"/>
      <c r="AB534" s="94"/>
      <c r="AC534" s="1967">
        <v>6</v>
      </c>
      <c r="AD534" s="1851"/>
      <c r="AE534" s="1851"/>
      <c r="AF534" s="1851"/>
      <c r="AG534" s="79" t="s">
        <v>274</v>
      </c>
      <c r="AH534" s="1725">
        <v>2022</v>
      </c>
      <c r="AI534" s="1725"/>
      <c r="AJ534" s="1725"/>
      <c r="AK534" s="17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86"/>
      <c r="C535" s="1687"/>
      <c r="D535" s="1687"/>
      <c r="E535" s="1687"/>
      <c r="F535" s="1687"/>
      <c r="G535" s="1687"/>
      <c r="H535" s="1688"/>
      <c r="I535" s="86" t="s">
        <v>749</v>
      </c>
      <c r="J535" s="86"/>
      <c r="K535" s="86"/>
      <c r="L535" s="86"/>
      <c r="M535" s="86"/>
      <c r="N535" s="86"/>
      <c r="O535" s="1672" t="s">
        <v>618</v>
      </c>
      <c r="P535" s="1672"/>
      <c r="Q535" s="1672"/>
      <c r="R535" s="1672"/>
      <c r="S535" s="1672"/>
      <c r="T535" s="1672"/>
      <c r="U535" s="1672"/>
      <c r="V535" s="1672"/>
      <c r="W535" s="1672"/>
      <c r="X535" s="1672"/>
      <c r="Y535" s="1672"/>
      <c r="Z535" s="1672"/>
      <c r="AA535" s="1672"/>
      <c r="AC535" s="1967" t="s">
        <v>134</v>
      </c>
      <c r="AD535" s="1851"/>
      <c r="AE535" s="1851"/>
      <c r="AF535" s="1851"/>
      <c r="AG535" s="89" t="s">
        <v>274</v>
      </c>
      <c r="AH535" s="1725"/>
      <c r="AI535" s="1725"/>
      <c r="AJ535" s="1725"/>
      <c r="AK535" s="172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86"/>
      <c r="C536" s="1687"/>
      <c r="D536" s="1687"/>
      <c r="E536" s="1687"/>
      <c r="F536" s="1687"/>
      <c r="G536" s="1687"/>
      <c r="H536" s="1688"/>
      <c r="I536" s="35" t="s">
        <v>747</v>
      </c>
      <c r="J536" s="35"/>
      <c r="K536" s="35"/>
      <c r="L536" s="35"/>
      <c r="M536" s="35"/>
      <c r="N536" s="35"/>
      <c r="O536" s="35"/>
      <c r="P536" s="35"/>
      <c r="Q536" s="35"/>
      <c r="R536" s="35"/>
      <c r="S536" s="35"/>
      <c r="T536" s="35"/>
      <c r="U536" s="35"/>
      <c r="V536" s="35"/>
      <c r="W536" s="35"/>
      <c r="X536" s="35"/>
      <c r="Y536" s="35"/>
      <c r="AC536" s="1967" t="s">
        <v>134</v>
      </c>
      <c r="AD536" s="1851"/>
      <c r="AE536" s="1851"/>
      <c r="AF536" s="1851"/>
      <c r="AG536" s="89" t="s">
        <v>274</v>
      </c>
      <c r="AH536" s="1725"/>
      <c r="AI536" s="1725"/>
      <c r="AJ536" s="1725"/>
      <c r="AK536" s="172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86"/>
      <c r="C537" s="1687"/>
      <c r="D537" s="1687"/>
      <c r="E537" s="1687"/>
      <c r="F537" s="1687"/>
      <c r="G537" s="1687"/>
      <c r="H537" s="1688"/>
      <c r="I537" s="94" t="s">
        <v>748</v>
      </c>
      <c r="J537" s="94"/>
      <c r="K537" s="94"/>
      <c r="L537" s="94"/>
      <c r="M537" s="94"/>
      <c r="N537" s="94"/>
      <c r="O537" s="94"/>
      <c r="P537" s="94"/>
      <c r="Q537" s="94"/>
      <c r="R537" s="94"/>
      <c r="S537" s="94"/>
      <c r="T537" s="94"/>
      <c r="U537" s="94"/>
      <c r="V537" s="94"/>
      <c r="W537" s="94"/>
      <c r="X537" s="94"/>
      <c r="Y537" s="94"/>
      <c r="Z537" s="94"/>
      <c r="AA537" s="94"/>
      <c r="AB537" s="94"/>
      <c r="AC537" s="1967" t="s">
        <v>134</v>
      </c>
      <c r="AD537" s="1851"/>
      <c r="AE537" s="1851"/>
      <c r="AF537" s="1851"/>
      <c r="AG537" s="79" t="s">
        <v>274</v>
      </c>
      <c r="AH537" s="1725"/>
      <c r="AI537" s="1725"/>
      <c r="AJ537" s="1725"/>
      <c r="AK537" s="172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86"/>
      <c r="C538" s="1687"/>
      <c r="D538" s="1687"/>
      <c r="E538" s="1687"/>
      <c r="F538" s="1687"/>
      <c r="G538" s="1687"/>
      <c r="H538" s="1688"/>
      <c r="I538" s="86" t="s">
        <v>749</v>
      </c>
      <c r="J538" s="86"/>
      <c r="K538" s="86"/>
      <c r="L538" s="86"/>
      <c r="M538" s="86"/>
      <c r="N538" s="86"/>
      <c r="O538" s="1672" t="s">
        <v>618</v>
      </c>
      <c r="P538" s="1672"/>
      <c r="Q538" s="1672"/>
      <c r="R538" s="1672"/>
      <c r="S538" s="1672"/>
      <c r="T538" s="1672"/>
      <c r="U538" s="1672"/>
      <c r="V538" s="1672"/>
      <c r="W538" s="1672"/>
      <c r="X538" s="1672"/>
      <c r="Y538" s="1672"/>
      <c r="Z538" s="1672"/>
      <c r="AA538" s="1672"/>
      <c r="AC538" s="1967" t="s">
        <v>134</v>
      </c>
      <c r="AD538" s="1851"/>
      <c r="AE538" s="1851"/>
      <c r="AF538" s="1851"/>
      <c r="AG538" s="89" t="s">
        <v>274</v>
      </c>
      <c r="AH538" s="1725"/>
      <c r="AI538" s="1725"/>
      <c r="AJ538" s="1725"/>
      <c r="AK538" s="17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86"/>
      <c r="C539" s="1687"/>
      <c r="D539" s="1687"/>
      <c r="E539" s="1687"/>
      <c r="F539" s="1687"/>
      <c r="G539" s="1687"/>
      <c r="H539" s="1688"/>
      <c r="I539" s="35" t="s">
        <v>747</v>
      </c>
      <c r="J539" s="35"/>
      <c r="K539" s="35"/>
      <c r="L539" s="35"/>
      <c r="M539" s="35"/>
      <c r="N539" s="35"/>
      <c r="O539" s="35"/>
      <c r="P539" s="35"/>
      <c r="Q539" s="35"/>
      <c r="R539" s="35"/>
      <c r="S539" s="35"/>
      <c r="T539" s="35"/>
      <c r="U539" s="35"/>
      <c r="V539" s="35"/>
      <c r="W539" s="35"/>
      <c r="X539" s="35"/>
      <c r="Y539" s="35"/>
      <c r="AC539" s="1967" t="s">
        <v>134</v>
      </c>
      <c r="AD539" s="1851"/>
      <c r="AE539" s="1851"/>
      <c r="AF539" s="1851"/>
      <c r="AG539" s="79" t="s">
        <v>274</v>
      </c>
      <c r="AH539" s="1725"/>
      <c r="AI539" s="1725"/>
      <c r="AJ539" s="1725"/>
      <c r="AK539" s="172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86"/>
      <c r="C540" s="1687"/>
      <c r="D540" s="1687"/>
      <c r="E540" s="1687"/>
      <c r="F540" s="1687"/>
      <c r="G540" s="1687"/>
      <c r="H540" s="1688"/>
      <c r="I540" s="94" t="s">
        <v>748</v>
      </c>
      <c r="J540" s="94"/>
      <c r="K540" s="94"/>
      <c r="L540" s="94"/>
      <c r="M540" s="94"/>
      <c r="N540" s="94"/>
      <c r="O540" s="94"/>
      <c r="P540" s="94"/>
      <c r="Q540" s="94"/>
      <c r="R540" s="94"/>
      <c r="S540" s="94"/>
      <c r="T540" s="94"/>
      <c r="U540" s="94"/>
      <c r="V540" s="94"/>
      <c r="W540" s="94"/>
      <c r="X540" s="94"/>
      <c r="Y540" s="94"/>
      <c r="Z540" s="94"/>
      <c r="AA540" s="94"/>
      <c r="AB540" s="94"/>
      <c r="AC540" s="1967" t="s">
        <v>134</v>
      </c>
      <c r="AD540" s="1851"/>
      <c r="AE540" s="1851"/>
      <c r="AF540" s="1851"/>
      <c r="AG540" s="89" t="s">
        <v>274</v>
      </c>
      <c r="AH540" s="1725"/>
      <c r="AI540" s="1725"/>
      <c r="AJ540" s="1725"/>
      <c r="AK540" s="172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86"/>
      <c r="C541" s="1687"/>
      <c r="D541" s="1687"/>
      <c r="E541" s="1687"/>
      <c r="F541" s="1687"/>
      <c r="G541" s="1687"/>
      <c r="H541" s="1688"/>
      <c r="I541" s="86" t="s">
        <v>749</v>
      </c>
      <c r="J541" s="86"/>
      <c r="K541" s="86"/>
      <c r="L541" s="86"/>
      <c r="M541" s="86"/>
      <c r="N541" s="86"/>
      <c r="O541" s="1672" t="s">
        <v>618</v>
      </c>
      <c r="P541" s="1672"/>
      <c r="Q541" s="1672"/>
      <c r="R541" s="1672"/>
      <c r="S541" s="1672"/>
      <c r="T541" s="1672"/>
      <c r="U541" s="1672"/>
      <c r="V541" s="1672"/>
      <c r="W541" s="1672"/>
      <c r="X541" s="1672"/>
      <c r="Y541" s="1672"/>
      <c r="Z541" s="1672"/>
      <c r="AA541" s="1672"/>
      <c r="AC541" s="1967" t="s">
        <v>134</v>
      </c>
      <c r="AD541" s="1851"/>
      <c r="AE541" s="1851"/>
      <c r="AF541" s="1851"/>
      <c r="AG541" s="79" t="s">
        <v>274</v>
      </c>
      <c r="AH541" s="1725"/>
      <c r="AI541" s="1725"/>
      <c r="AJ541" s="1725"/>
      <c r="AK541" s="172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86"/>
      <c r="C542" s="1687"/>
      <c r="D542" s="1687"/>
      <c r="E542" s="1687"/>
      <c r="F542" s="1687"/>
      <c r="G542" s="1687"/>
      <c r="H542" s="1688"/>
      <c r="I542" s="35" t="s">
        <v>747</v>
      </c>
      <c r="J542" s="35"/>
      <c r="K542" s="35"/>
      <c r="L542" s="35"/>
      <c r="M542" s="35"/>
      <c r="N542" s="35"/>
      <c r="O542" s="35"/>
      <c r="P542" s="35"/>
      <c r="Q542" s="35"/>
      <c r="R542" s="35"/>
      <c r="S542" s="35"/>
      <c r="T542" s="35"/>
      <c r="U542" s="35"/>
      <c r="V542" s="35"/>
      <c r="W542" s="35"/>
      <c r="X542" s="35"/>
      <c r="Y542" s="35"/>
      <c r="AC542" s="1967" t="s">
        <v>134</v>
      </c>
      <c r="AD542" s="1851"/>
      <c r="AE542" s="1851"/>
      <c r="AF542" s="1851"/>
      <c r="AG542" s="89" t="s">
        <v>274</v>
      </c>
      <c r="AH542" s="1725"/>
      <c r="AI542" s="1725"/>
      <c r="AJ542" s="1725"/>
      <c r="AK542" s="172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86"/>
      <c r="C543" s="1687"/>
      <c r="D543" s="1687"/>
      <c r="E543" s="1687"/>
      <c r="F543" s="1687"/>
      <c r="G543" s="1687"/>
      <c r="H543" s="1688"/>
      <c r="I543" s="94" t="s">
        <v>748</v>
      </c>
      <c r="J543" s="94"/>
      <c r="K543" s="94"/>
      <c r="L543" s="94"/>
      <c r="M543" s="94"/>
      <c r="N543" s="94"/>
      <c r="O543" s="94"/>
      <c r="P543" s="94"/>
      <c r="Q543" s="94"/>
      <c r="R543" s="94"/>
      <c r="S543" s="94"/>
      <c r="T543" s="94"/>
      <c r="U543" s="94"/>
      <c r="V543" s="94"/>
      <c r="W543" s="94"/>
      <c r="X543" s="94"/>
      <c r="Y543" s="94"/>
      <c r="Z543" s="94"/>
      <c r="AA543" s="94"/>
      <c r="AB543" s="94"/>
      <c r="AC543" s="1967" t="s">
        <v>134</v>
      </c>
      <c r="AD543" s="1851"/>
      <c r="AE543" s="1851"/>
      <c r="AF543" s="1851"/>
      <c r="AG543" s="79" t="s">
        <v>274</v>
      </c>
      <c r="AH543" s="1725"/>
      <c r="AI543" s="1725"/>
      <c r="AJ543" s="1725"/>
      <c r="AK543" s="172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86"/>
      <c r="C544" s="1687"/>
      <c r="D544" s="1687"/>
      <c r="E544" s="1687"/>
      <c r="F544" s="1687"/>
      <c r="G544" s="1687"/>
      <c r="H544" s="1688"/>
      <c r="I544" s="86" t="s">
        <v>796</v>
      </c>
      <c r="J544" s="86"/>
      <c r="K544" s="86"/>
      <c r="L544" s="86"/>
      <c r="M544" s="86"/>
      <c r="N544" s="86"/>
      <c r="O544" s="86"/>
      <c r="P544" s="86"/>
      <c r="Q544" s="86"/>
      <c r="R544" s="86"/>
      <c r="S544" s="86"/>
      <c r="T544" s="86"/>
      <c r="U544" s="86"/>
      <c r="V544" s="86"/>
      <c r="W544" s="86"/>
      <c r="X544" s="35"/>
      <c r="Y544" s="35"/>
      <c r="AC544" s="1967">
        <v>12</v>
      </c>
      <c r="AD544" s="1851"/>
      <c r="AE544" s="1851"/>
      <c r="AF544" s="1851"/>
      <c r="AG544" s="79" t="s">
        <v>274</v>
      </c>
      <c r="AH544" s="1725">
        <v>2023</v>
      </c>
      <c r="AI544" s="1725"/>
      <c r="AJ544" s="1725"/>
      <c r="AK544" s="172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86"/>
      <c r="C545" s="1687"/>
      <c r="D545" s="1687"/>
      <c r="E545" s="1687"/>
      <c r="F545" s="1687"/>
      <c r="G545" s="1687"/>
      <c r="H545" s="1688"/>
      <c r="I545" s="35" t="s">
        <v>797</v>
      </c>
      <c r="J545" s="35"/>
      <c r="K545" s="35"/>
      <c r="L545" s="35"/>
      <c r="M545" s="35"/>
      <c r="N545" s="35"/>
      <c r="O545" s="35"/>
      <c r="P545" s="35"/>
      <c r="Q545" s="35"/>
      <c r="R545" s="35"/>
      <c r="S545" s="35"/>
      <c r="T545" s="35"/>
      <c r="U545" s="35"/>
      <c r="V545" s="35"/>
      <c r="W545" s="35"/>
      <c r="X545" s="35"/>
      <c r="Y545" s="35"/>
      <c r="AC545" s="1967">
        <v>3</v>
      </c>
      <c r="AD545" s="1851"/>
      <c r="AE545" s="1851"/>
      <c r="AF545" s="1851"/>
      <c r="AG545" s="89" t="s">
        <v>274</v>
      </c>
      <c r="AH545" s="1725">
        <v>2023</v>
      </c>
      <c r="AI545" s="1725"/>
      <c r="AJ545" s="1725"/>
      <c r="AK545" s="172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86"/>
      <c r="C546" s="1687"/>
      <c r="D546" s="1687"/>
      <c r="E546" s="1687"/>
      <c r="F546" s="1687"/>
      <c r="G546" s="1687"/>
      <c r="H546" s="1688"/>
      <c r="I546" s="35" t="s">
        <v>798</v>
      </c>
      <c r="J546" s="35"/>
      <c r="K546" s="35"/>
      <c r="L546" s="35"/>
      <c r="M546" s="35"/>
      <c r="N546" s="35"/>
      <c r="O546" s="35"/>
      <c r="P546" s="35"/>
      <c r="Q546" s="35"/>
      <c r="R546" s="35"/>
      <c r="S546" s="35"/>
      <c r="T546" s="35"/>
      <c r="U546" s="35"/>
      <c r="V546" s="35"/>
      <c r="W546" s="35"/>
      <c r="X546" s="35"/>
      <c r="Y546" s="35"/>
      <c r="AC546" s="1967">
        <v>11</v>
      </c>
      <c r="AD546" s="1851"/>
      <c r="AE546" s="1851"/>
      <c r="AF546" s="1851"/>
      <c r="AG546" s="79" t="s">
        <v>274</v>
      </c>
      <c r="AH546" s="1725">
        <v>2024</v>
      </c>
      <c r="AI546" s="1725"/>
      <c r="AJ546" s="1725"/>
      <c r="AK546" s="172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86"/>
      <c r="C547" s="1687"/>
      <c r="D547" s="1687"/>
      <c r="E547" s="1687"/>
      <c r="F547" s="1687"/>
      <c r="G547" s="1687"/>
      <c r="H547" s="1688"/>
      <c r="I547" s="35" t="s">
        <v>799</v>
      </c>
      <c r="J547" s="35"/>
      <c r="K547" s="35"/>
      <c r="L547" s="35"/>
      <c r="M547" s="35"/>
      <c r="N547" s="35"/>
      <c r="O547" s="35"/>
      <c r="P547" s="35"/>
      <c r="Q547" s="35"/>
      <c r="R547" s="35"/>
      <c r="S547" s="35"/>
      <c r="T547" s="35"/>
      <c r="U547" s="35"/>
      <c r="V547" s="35"/>
      <c r="W547" s="35"/>
      <c r="X547" s="35"/>
      <c r="Y547" s="35"/>
      <c r="AC547" s="1967">
        <v>11</v>
      </c>
      <c r="AD547" s="1851"/>
      <c r="AE547" s="1851"/>
      <c r="AF547" s="1851"/>
      <c r="AG547" s="79" t="s">
        <v>274</v>
      </c>
      <c r="AH547" s="1725">
        <v>2024</v>
      </c>
      <c r="AI547" s="1725"/>
      <c r="AJ547" s="1725"/>
      <c r="AK547" s="172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89"/>
      <c r="C548" s="1690"/>
      <c r="D548" s="1690"/>
      <c r="E548" s="1690"/>
      <c r="F548" s="1690"/>
      <c r="G548" s="1690"/>
      <c r="H548" s="1691"/>
      <c r="I548" s="94" t="s">
        <v>1486</v>
      </c>
      <c r="J548" s="94"/>
      <c r="K548" s="94"/>
      <c r="L548" s="94"/>
      <c r="M548" s="94"/>
      <c r="N548" s="94"/>
      <c r="O548" s="94"/>
      <c r="P548" s="94"/>
      <c r="Q548" s="94"/>
      <c r="R548" s="94"/>
      <c r="S548" s="94"/>
      <c r="T548" s="94"/>
      <c r="U548" s="94"/>
      <c r="V548" s="94"/>
      <c r="W548" s="94"/>
      <c r="X548" s="94"/>
      <c r="Y548" s="94"/>
      <c r="Z548" s="94"/>
      <c r="AA548" s="94"/>
      <c r="AB548" s="94"/>
      <c r="AC548" s="1967">
        <v>5</v>
      </c>
      <c r="AD548" s="1851"/>
      <c r="AE548" s="1851"/>
      <c r="AF548" s="1851"/>
      <c r="AG548" s="79" t="s">
        <v>274</v>
      </c>
      <c r="AH548" s="1725">
        <v>2025</v>
      </c>
      <c r="AI548" s="1725"/>
      <c r="AJ548" s="1725"/>
      <c r="AK548" s="172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543</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83" t="s">
        <v>801</v>
      </c>
      <c r="C557" s="1684"/>
      <c r="D557" s="1684"/>
      <c r="E557" s="1684"/>
      <c r="F557" s="1684"/>
      <c r="G557" s="1684"/>
      <c r="H557" s="1684"/>
      <c r="I557" s="1684"/>
      <c r="J557" s="1684"/>
      <c r="K557" s="1684"/>
      <c r="L557" s="1684"/>
      <c r="M557" s="1684"/>
      <c r="N557" s="1684"/>
      <c r="O557" s="1684"/>
      <c r="P557" s="1685"/>
      <c r="Q557" s="1683" t="s">
        <v>485</v>
      </c>
      <c r="R557" s="1684"/>
      <c r="S557" s="1685"/>
      <c r="T557" s="1683" t="s">
        <v>2203</v>
      </c>
      <c r="U557" s="1684"/>
      <c r="V557" s="1685"/>
      <c r="W557" s="1683" t="s">
        <v>802</v>
      </c>
      <c r="X557" s="1684"/>
      <c r="Y557" s="1685"/>
      <c r="Z557" s="1683" t="s">
        <v>2208</v>
      </c>
      <c r="AA557" s="1684"/>
      <c r="AB557" s="1684"/>
      <c r="AC557" s="1684"/>
      <c r="AD557" s="1685"/>
      <c r="AE557" s="1683" t="s">
        <v>2205</v>
      </c>
      <c r="AF557" s="1684"/>
      <c r="AG557" s="1684"/>
      <c r="AH557" s="1685"/>
      <c r="AI557" s="1683" t="s">
        <v>2209</v>
      </c>
      <c r="AJ557" s="1684"/>
      <c r="AK557" s="1684"/>
      <c r="AL557" s="1685"/>
      <c r="AM557" s="1683" t="s">
        <v>803</v>
      </c>
      <c r="AN557" s="1684"/>
      <c r="AO557" s="1684"/>
      <c r="AP557" s="1684"/>
      <c r="AQ557" s="1684"/>
      <c r="AR557" s="1684"/>
      <c r="AS557" s="168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86"/>
      <c r="C558" s="1687"/>
      <c r="D558" s="1687"/>
      <c r="E558" s="1687"/>
      <c r="F558" s="1687"/>
      <c r="G558" s="1687"/>
      <c r="H558" s="1687"/>
      <c r="I558" s="1687"/>
      <c r="J558" s="1687"/>
      <c r="K558" s="1687"/>
      <c r="L558" s="1687"/>
      <c r="M558" s="1687"/>
      <c r="N558" s="1687"/>
      <c r="O558" s="1687"/>
      <c r="P558" s="1688"/>
      <c r="Q558" s="1686"/>
      <c r="R558" s="1687"/>
      <c r="S558" s="1688"/>
      <c r="T558" s="1686"/>
      <c r="U558" s="1687"/>
      <c r="V558" s="1688"/>
      <c r="W558" s="1686"/>
      <c r="X558" s="1687"/>
      <c r="Y558" s="1688"/>
      <c r="Z558" s="1686"/>
      <c r="AA558" s="1687"/>
      <c r="AB558" s="1687"/>
      <c r="AC558" s="1687"/>
      <c r="AD558" s="1688"/>
      <c r="AE558" s="1686"/>
      <c r="AF558" s="1687"/>
      <c r="AG558" s="1687"/>
      <c r="AH558" s="1688"/>
      <c r="AI558" s="1686"/>
      <c r="AJ558" s="1687"/>
      <c r="AK558" s="1687"/>
      <c r="AL558" s="1688"/>
      <c r="AM558" s="1686"/>
      <c r="AN558" s="1687"/>
      <c r="AO558" s="1687"/>
      <c r="AP558" s="1687"/>
      <c r="AQ558" s="1687"/>
      <c r="AR558" s="1687"/>
      <c r="AS558" s="168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89"/>
      <c r="C559" s="1690"/>
      <c r="D559" s="1690"/>
      <c r="E559" s="1690"/>
      <c r="F559" s="1690"/>
      <c r="G559" s="1690"/>
      <c r="H559" s="1690"/>
      <c r="I559" s="1690"/>
      <c r="J559" s="1690"/>
      <c r="K559" s="1690"/>
      <c r="L559" s="1690"/>
      <c r="M559" s="1690"/>
      <c r="N559" s="1690"/>
      <c r="O559" s="1690"/>
      <c r="P559" s="1691"/>
      <c r="Q559" s="1689"/>
      <c r="R559" s="1690"/>
      <c r="S559" s="1691"/>
      <c r="T559" s="1689"/>
      <c r="U559" s="1690"/>
      <c r="V559" s="1691"/>
      <c r="W559" s="1689"/>
      <c r="X559" s="1690"/>
      <c r="Y559" s="1691"/>
      <c r="Z559" s="1689"/>
      <c r="AA559" s="1690"/>
      <c r="AB559" s="1690"/>
      <c r="AC559" s="1690"/>
      <c r="AD559" s="1691"/>
      <c r="AE559" s="1689"/>
      <c r="AF559" s="1690"/>
      <c r="AG559" s="1690"/>
      <c r="AH559" s="1691"/>
      <c r="AI559" s="1689"/>
      <c r="AJ559" s="1690"/>
      <c r="AK559" s="1690"/>
      <c r="AL559" s="1691"/>
      <c r="AM559" s="1689"/>
      <c r="AN559" s="1690"/>
      <c r="AO559" s="1690"/>
      <c r="AP559" s="1690"/>
      <c r="AQ559" s="1690"/>
      <c r="AR559" s="1690"/>
      <c r="AS559" s="169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65" t="s">
        <v>2426</v>
      </c>
      <c r="D560" s="1665"/>
      <c r="E560" s="1665"/>
      <c r="F560" s="1665"/>
      <c r="G560" s="1665"/>
      <c r="H560" s="1665"/>
      <c r="I560" s="1665"/>
      <c r="J560" s="1665"/>
      <c r="K560" s="1665"/>
      <c r="L560" s="1665"/>
      <c r="M560" s="1665"/>
      <c r="N560" s="1665"/>
      <c r="O560" s="1665"/>
      <c r="P560" s="2022"/>
      <c r="Q560" s="1828">
        <v>27</v>
      </c>
      <c r="R560" s="1828"/>
      <c r="S560" s="1961"/>
      <c r="T560" s="1960"/>
      <c r="U560" s="1828"/>
      <c r="V560" s="1961"/>
      <c r="W560" s="2024">
        <v>0.05</v>
      </c>
      <c r="X560" s="2025"/>
      <c r="Y560" s="2026"/>
      <c r="Z560" s="2027" t="s">
        <v>2432</v>
      </c>
      <c r="AA560" s="2027"/>
      <c r="AB560" s="2027"/>
      <c r="AC560" s="2027"/>
      <c r="AD560" s="2027"/>
      <c r="AE560" s="2028">
        <v>1</v>
      </c>
      <c r="AF560" s="2029"/>
      <c r="AG560" s="2029"/>
      <c r="AH560" s="2030"/>
      <c r="AI560" s="2031" t="s">
        <v>2431</v>
      </c>
      <c r="AJ560" s="2032"/>
      <c r="AK560" s="2032"/>
      <c r="AL560" s="2033"/>
      <c r="AM560" s="1698">
        <f>[4]EVERYTHING!$C$21</f>
        <v>26325847.607157331</v>
      </c>
      <c r="AN560" s="1699"/>
      <c r="AO560" s="1699"/>
      <c r="AP560" s="1699"/>
      <c r="AQ560" s="1699"/>
      <c r="AR560" s="1699"/>
      <c r="AS560" s="170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65" t="s">
        <v>2422</v>
      </c>
      <c r="D561" s="1665"/>
      <c r="E561" s="1665"/>
      <c r="F561" s="1665"/>
      <c r="G561" s="1665"/>
      <c r="H561" s="1665"/>
      <c r="I561" s="1665"/>
      <c r="J561" s="1665"/>
      <c r="K561" s="1665"/>
      <c r="L561" s="1665"/>
      <c r="M561" s="1665"/>
      <c r="N561" s="1665"/>
      <c r="O561" s="1665"/>
      <c r="P561" s="2022"/>
      <c r="Q561" s="1960">
        <v>660</v>
      </c>
      <c r="R561" s="1828"/>
      <c r="S561" s="1961"/>
      <c r="T561" s="1960"/>
      <c r="U561" s="1828"/>
      <c r="V561" s="1961"/>
      <c r="W561" s="2024">
        <v>0.03</v>
      </c>
      <c r="X561" s="2025"/>
      <c r="Y561" s="2026"/>
      <c r="Z561" s="2027" t="s">
        <v>2433</v>
      </c>
      <c r="AA561" s="2027"/>
      <c r="AB561" s="2027"/>
      <c r="AC561" s="2027"/>
      <c r="AD561" s="2027"/>
      <c r="AE561" s="2028">
        <v>2</v>
      </c>
      <c r="AF561" s="2029"/>
      <c r="AG561" s="2029"/>
      <c r="AH561" s="2030"/>
      <c r="AI561" s="2031" t="s">
        <v>856</v>
      </c>
      <c r="AJ561" s="2032"/>
      <c r="AK561" s="2032"/>
      <c r="AL561" s="2033"/>
      <c r="AM561" s="1698">
        <f>[4]EVERYTHING!$C$7+[4]EVERYTHING!$C$10</f>
        <v>9000000</v>
      </c>
      <c r="AN561" s="1699"/>
      <c r="AO561" s="1699"/>
      <c r="AP561" s="1699"/>
      <c r="AQ561" s="1699"/>
      <c r="AR561" s="1699"/>
      <c r="AS561" s="170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65" t="s">
        <v>2339</v>
      </c>
      <c r="D562" s="1665"/>
      <c r="E562" s="1665"/>
      <c r="F562" s="1665"/>
      <c r="G562" s="1665"/>
      <c r="H562" s="1665"/>
      <c r="I562" s="1665"/>
      <c r="J562" s="1665"/>
      <c r="K562" s="1665"/>
      <c r="L562" s="1665"/>
      <c r="M562" s="1665"/>
      <c r="N562" s="1665"/>
      <c r="O562" s="1665"/>
      <c r="P562" s="2022"/>
      <c r="Q562" s="1960">
        <v>660</v>
      </c>
      <c r="R562" s="1828"/>
      <c r="S562" s="1961"/>
      <c r="T562" s="1960"/>
      <c r="U562" s="1828"/>
      <c r="V562" s="1961"/>
      <c r="W562" s="2024">
        <v>0.03</v>
      </c>
      <c r="X562" s="2025"/>
      <c r="Y562" s="2026"/>
      <c r="Z562" s="2027" t="s">
        <v>2433</v>
      </c>
      <c r="AA562" s="2027"/>
      <c r="AB562" s="2027"/>
      <c r="AC562" s="2027"/>
      <c r="AD562" s="2027"/>
      <c r="AE562" s="2028">
        <v>3</v>
      </c>
      <c r="AF562" s="2029"/>
      <c r="AG562" s="2029"/>
      <c r="AH562" s="2030"/>
      <c r="AI562" s="2031" t="s">
        <v>856</v>
      </c>
      <c r="AJ562" s="2032"/>
      <c r="AK562" s="2032"/>
      <c r="AL562" s="2033"/>
      <c r="AM562" s="1698">
        <f>[4]EVERYTHING!$C$8+[4]EVERYTHING!$C$9</f>
        <v>2351425</v>
      </c>
      <c r="AN562" s="1699"/>
      <c r="AO562" s="1699"/>
      <c r="AP562" s="1699"/>
      <c r="AQ562" s="1699"/>
      <c r="AR562" s="1699"/>
      <c r="AS562" s="170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665" t="s">
        <v>2443</v>
      </c>
      <c r="D563" s="1665"/>
      <c r="E563" s="1665"/>
      <c r="F563" s="1665"/>
      <c r="G563" s="1665"/>
      <c r="H563" s="1665"/>
      <c r="I563" s="1665"/>
      <c r="J563" s="1665"/>
      <c r="K563" s="1665"/>
      <c r="L563" s="1665"/>
      <c r="M563" s="1665"/>
      <c r="N563" s="1665"/>
      <c r="O563" s="1665"/>
      <c r="P563" s="2022"/>
      <c r="Q563" s="1960"/>
      <c r="R563" s="1828"/>
      <c r="S563" s="1961"/>
      <c r="T563" s="1960"/>
      <c r="U563" s="1828"/>
      <c r="V563" s="1961"/>
      <c r="W563" s="2024"/>
      <c r="X563" s="2025"/>
      <c r="Y563" s="2026"/>
      <c r="Z563" s="2027" t="s">
        <v>2189</v>
      </c>
      <c r="AA563" s="2027"/>
      <c r="AB563" s="2027"/>
      <c r="AC563" s="2027"/>
      <c r="AD563" s="2027"/>
      <c r="AE563" s="2028">
        <v>4</v>
      </c>
      <c r="AF563" s="2029"/>
      <c r="AG563" s="2029"/>
      <c r="AH563" s="2030"/>
      <c r="AI563" s="2031"/>
      <c r="AJ563" s="2032"/>
      <c r="AK563" s="2032"/>
      <c r="AL563" s="2033"/>
      <c r="AM563" s="1698">
        <f>[4]EVERYTHING!$C$11</f>
        <v>6000000</v>
      </c>
      <c r="AN563" s="1699"/>
      <c r="AO563" s="1699"/>
      <c r="AP563" s="1699"/>
      <c r="AQ563" s="1699"/>
      <c r="AR563" s="1699"/>
      <c r="AS563" s="170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518" t="s">
        <v>2427</v>
      </c>
      <c r="D564" s="1518"/>
      <c r="E564" s="1518"/>
      <c r="F564" s="1518"/>
      <c r="G564" s="1518"/>
      <c r="H564" s="1518"/>
      <c r="I564" s="1518"/>
      <c r="J564" s="1518"/>
      <c r="K564" s="1518"/>
      <c r="L564" s="1518"/>
      <c r="M564" s="1518"/>
      <c r="N564" s="1518"/>
      <c r="O564" s="1518"/>
      <c r="P564" s="1519"/>
      <c r="Q564" s="1960"/>
      <c r="R564" s="1828"/>
      <c r="S564" s="1961"/>
      <c r="T564" s="1960"/>
      <c r="U564" s="1828"/>
      <c r="V564" s="1961"/>
      <c r="W564" s="2024"/>
      <c r="X564" s="2025"/>
      <c r="Y564" s="2026"/>
      <c r="Z564" s="2027" t="s">
        <v>2189</v>
      </c>
      <c r="AA564" s="2027"/>
      <c r="AB564" s="2027"/>
      <c r="AC564" s="2027"/>
      <c r="AD564" s="2027"/>
      <c r="AE564" s="2028"/>
      <c r="AF564" s="2029"/>
      <c r="AG564" s="2029"/>
      <c r="AH564" s="2030"/>
      <c r="AI564" s="2031"/>
      <c r="AJ564" s="2032"/>
      <c r="AK564" s="2032"/>
      <c r="AL564" s="2033"/>
      <c r="AM564" s="1698">
        <f>[4]EVERYTHING!$C$15</f>
        <v>100</v>
      </c>
      <c r="AN564" s="1699"/>
      <c r="AO564" s="1699"/>
      <c r="AP564" s="1699"/>
      <c r="AQ564" s="1699"/>
      <c r="AR564" s="1699"/>
      <c r="AS564" s="170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665" t="s">
        <v>2430</v>
      </c>
      <c r="D565" s="1665"/>
      <c r="E565" s="1665"/>
      <c r="F565" s="1665"/>
      <c r="G565" s="1665"/>
      <c r="H565" s="1665"/>
      <c r="I565" s="1665"/>
      <c r="J565" s="1665"/>
      <c r="K565" s="1665"/>
      <c r="L565" s="1665"/>
      <c r="M565" s="1665"/>
      <c r="N565" s="1665"/>
      <c r="O565" s="1665"/>
      <c r="P565" s="2022"/>
      <c r="Q565" s="1960"/>
      <c r="R565" s="1828"/>
      <c r="S565" s="1961"/>
      <c r="T565" s="1960"/>
      <c r="U565" s="1828"/>
      <c r="V565" s="1961"/>
      <c r="W565" s="2024"/>
      <c r="X565" s="2025"/>
      <c r="Y565" s="2026"/>
      <c r="Z565" s="2027" t="s">
        <v>2189</v>
      </c>
      <c r="AA565" s="2027"/>
      <c r="AB565" s="2027"/>
      <c r="AC565" s="2027"/>
      <c r="AD565" s="2027"/>
      <c r="AE565" s="2028"/>
      <c r="AF565" s="2029"/>
      <c r="AG565" s="2029"/>
      <c r="AH565" s="2030"/>
      <c r="AI565" s="2031"/>
      <c r="AJ565" s="2032"/>
      <c r="AK565" s="2032"/>
      <c r="AL565" s="2033"/>
      <c r="AM565" s="1698">
        <f>[4]EVERYTHING!$G$16-[4]EVERYTHING!$C$109</f>
        <v>3031207.3724510474</v>
      </c>
      <c r="AN565" s="1699"/>
      <c r="AO565" s="1699"/>
      <c r="AP565" s="1699"/>
      <c r="AQ565" s="1699"/>
      <c r="AR565" s="1699"/>
      <c r="AS565" s="170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65"/>
      <c r="D566" s="1665"/>
      <c r="E566" s="1665"/>
      <c r="F566" s="1665"/>
      <c r="G566" s="1665"/>
      <c r="H566" s="1665"/>
      <c r="I566" s="1665"/>
      <c r="J566" s="1665"/>
      <c r="K566" s="1665"/>
      <c r="L566" s="1665"/>
      <c r="M566" s="1665"/>
      <c r="N566" s="1665"/>
      <c r="O566" s="1665"/>
      <c r="P566" s="2022"/>
      <c r="Q566" s="1960"/>
      <c r="R566" s="1828"/>
      <c r="S566" s="1961"/>
      <c r="T566" s="1960"/>
      <c r="U566" s="1828"/>
      <c r="V566" s="1961"/>
      <c r="W566" s="2024"/>
      <c r="X566" s="2025"/>
      <c r="Y566" s="2026"/>
      <c r="Z566" s="2027" t="s">
        <v>2189</v>
      </c>
      <c r="AA566" s="2027"/>
      <c r="AB566" s="2027"/>
      <c r="AC566" s="2027"/>
      <c r="AD566" s="2027"/>
      <c r="AE566" s="2028"/>
      <c r="AF566" s="2029"/>
      <c r="AG566" s="2029"/>
      <c r="AH566" s="2030"/>
      <c r="AI566" s="2031"/>
      <c r="AJ566" s="2032"/>
      <c r="AK566" s="2032"/>
      <c r="AL566" s="2033"/>
      <c r="AM566" s="1698"/>
      <c r="AN566" s="1699"/>
      <c r="AO566" s="1699"/>
      <c r="AP566" s="1699"/>
      <c r="AQ566" s="1699"/>
      <c r="AR566" s="1699"/>
      <c r="AS566" s="170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65"/>
      <c r="D567" s="1665"/>
      <c r="E567" s="1665"/>
      <c r="F567" s="1665"/>
      <c r="G567" s="1665"/>
      <c r="H567" s="1665"/>
      <c r="I567" s="1665"/>
      <c r="J567" s="1665"/>
      <c r="K567" s="1665"/>
      <c r="L567" s="1665"/>
      <c r="M567" s="1665"/>
      <c r="N567" s="1665"/>
      <c r="O567" s="1665"/>
      <c r="P567" s="2022"/>
      <c r="Q567" s="1960"/>
      <c r="R567" s="1828"/>
      <c r="S567" s="1961"/>
      <c r="T567" s="1960"/>
      <c r="U567" s="1828"/>
      <c r="V567" s="1961"/>
      <c r="W567" s="2024"/>
      <c r="X567" s="2025"/>
      <c r="Y567" s="2026"/>
      <c r="Z567" s="2027" t="s">
        <v>2189</v>
      </c>
      <c r="AA567" s="2027"/>
      <c r="AB567" s="2027"/>
      <c r="AC567" s="2027"/>
      <c r="AD567" s="2027"/>
      <c r="AE567" s="2028"/>
      <c r="AF567" s="2029"/>
      <c r="AG567" s="2029"/>
      <c r="AH567" s="2030"/>
      <c r="AI567" s="2031"/>
      <c r="AJ567" s="2032"/>
      <c r="AK567" s="2032"/>
      <c r="AL567" s="2033"/>
      <c r="AM567" s="1698"/>
      <c r="AN567" s="1699"/>
      <c r="AO567" s="1699"/>
      <c r="AP567" s="1699"/>
      <c r="AQ567" s="1699"/>
      <c r="AR567" s="1699"/>
      <c r="AS567" s="170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65"/>
      <c r="D568" s="1665"/>
      <c r="E568" s="1665"/>
      <c r="F568" s="1665"/>
      <c r="G568" s="1665"/>
      <c r="H568" s="1665"/>
      <c r="I568" s="1665"/>
      <c r="J568" s="1665"/>
      <c r="K568" s="1665"/>
      <c r="L568" s="1665"/>
      <c r="M568" s="1665"/>
      <c r="N568" s="1665"/>
      <c r="O568" s="1665"/>
      <c r="P568" s="2022"/>
      <c r="Q568" s="1960"/>
      <c r="R568" s="1828"/>
      <c r="S568" s="1961"/>
      <c r="T568" s="1960"/>
      <c r="U568" s="1828"/>
      <c r="V568" s="1961"/>
      <c r="W568" s="2024"/>
      <c r="X568" s="2025"/>
      <c r="Y568" s="2026"/>
      <c r="Z568" s="2027" t="s">
        <v>2189</v>
      </c>
      <c r="AA568" s="2027"/>
      <c r="AB568" s="2027"/>
      <c r="AC568" s="2027"/>
      <c r="AD568" s="2027"/>
      <c r="AE568" s="2028"/>
      <c r="AF568" s="2029"/>
      <c r="AG568" s="2029"/>
      <c r="AH568" s="2030"/>
      <c r="AI568" s="2031"/>
      <c r="AJ568" s="2032"/>
      <c r="AK568" s="2032"/>
      <c r="AL568" s="2033"/>
      <c r="AM568" s="1698"/>
      <c r="AN568" s="1699"/>
      <c r="AO568" s="1699"/>
      <c r="AP568" s="1699"/>
      <c r="AQ568" s="1699"/>
      <c r="AR568" s="1699"/>
      <c r="AS568" s="170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665"/>
      <c r="D569" s="1665"/>
      <c r="E569" s="1665"/>
      <c r="F569" s="1665"/>
      <c r="G569" s="1665"/>
      <c r="H569" s="1665"/>
      <c r="I569" s="1665"/>
      <c r="J569" s="1665"/>
      <c r="K569" s="1665"/>
      <c r="L569" s="1665"/>
      <c r="M569" s="1665"/>
      <c r="N569" s="1665"/>
      <c r="O569" s="1665"/>
      <c r="P569" s="2022"/>
      <c r="Q569" s="1960"/>
      <c r="R569" s="1828"/>
      <c r="S569" s="1961"/>
      <c r="T569" s="1960"/>
      <c r="U569" s="1828"/>
      <c r="V569" s="1961"/>
      <c r="W569" s="2024"/>
      <c r="X569" s="2025"/>
      <c r="Y569" s="2026"/>
      <c r="Z569" s="2027" t="s">
        <v>2189</v>
      </c>
      <c r="AA569" s="2027"/>
      <c r="AB569" s="2027"/>
      <c r="AC569" s="2027"/>
      <c r="AD569" s="2027"/>
      <c r="AE569" s="2028"/>
      <c r="AF569" s="2029"/>
      <c r="AG569" s="2029"/>
      <c r="AH569" s="2030"/>
      <c r="AI569" s="2031"/>
      <c r="AJ569" s="2032"/>
      <c r="AK569" s="2032"/>
      <c r="AL569" s="2033"/>
      <c r="AM569" s="1698"/>
      <c r="AN569" s="1699"/>
      <c r="AO569" s="1699"/>
      <c r="AP569" s="1699"/>
      <c r="AQ569" s="1699"/>
      <c r="AR569" s="1699"/>
      <c r="AS569" s="170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5"/>
      <c r="D570" s="1665"/>
      <c r="E570" s="1665"/>
      <c r="F570" s="1665"/>
      <c r="G570" s="1665"/>
      <c r="H570" s="1665"/>
      <c r="I570" s="1665"/>
      <c r="J570" s="1665"/>
      <c r="K570" s="1665"/>
      <c r="L570" s="1665"/>
      <c r="M570" s="1665"/>
      <c r="N570" s="1665"/>
      <c r="O570" s="1665"/>
      <c r="P570" s="2022"/>
      <c r="Q570" s="1960"/>
      <c r="R570" s="1828"/>
      <c r="S570" s="1961"/>
      <c r="T570" s="1960"/>
      <c r="U570" s="1828"/>
      <c r="V570" s="1961"/>
      <c r="W570" s="2024"/>
      <c r="X570" s="2025"/>
      <c r="Y570" s="2026"/>
      <c r="Z570" s="2027" t="s">
        <v>2189</v>
      </c>
      <c r="AA570" s="2027"/>
      <c r="AB570" s="2027"/>
      <c r="AC570" s="2027"/>
      <c r="AD570" s="2027"/>
      <c r="AE570" s="2028"/>
      <c r="AF570" s="2029"/>
      <c r="AG570" s="2029"/>
      <c r="AH570" s="2030"/>
      <c r="AI570" s="2031"/>
      <c r="AJ570" s="2032"/>
      <c r="AK570" s="2032"/>
      <c r="AL570" s="2033"/>
      <c r="AM570" s="1698"/>
      <c r="AN570" s="1699"/>
      <c r="AO570" s="1699"/>
      <c r="AP570" s="1699"/>
      <c r="AQ570" s="1699"/>
      <c r="AR570" s="1699"/>
      <c r="AS570" s="170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5"/>
      <c r="D571" s="1665"/>
      <c r="E571" s="1665"/>
      <c r="F571" s="1665"/>
      <c r="G571" s="1665"/>
      <c r="H571" s="1665"/>
      <c r="I571" s="1665"/>
      <c r="J571" s="1665"/>
      <c r="K571" s="1665"/>
      <c r="L571" s="1665"/>
      <c r="M571" s="1665"/>
      <c r="N571" s="1665"/>
      <c r="O571" s="1665"/>
      <c r="P571" s="2022"/>
      <c r="Q571" s="1960"/>
      <c r="R571" s="1828"/>
      <c r="S571" s="1961"/>
      <c r="T571" s="1960"/>
      <c r="U571" s="1828"/>
      <c r="V571" s="1961"/>
      <c r="W571" s="2024"/>
      <c r="X571" s="2025"/>
      <c r="Y571" s="2026"/>
      <c r="Z571" s="2027" t="s">
        <v>2189</v>
      </c>
      <c r="AA571" s="2027"/>
      <c r="AB571" s="2027"/>
      <c r="AC571" s="2027"/>
      <c r="AD571" s="2027"/>
      <c r="AE571" s="2028"/>
      <c r="AF571" s="2029"/>
      <c r="AG571" s="2029"/>
      <c r="AH571" s="2030"/>
      <c r="AI571" s="2031"/>
      <c r="AJ571" s="2032"/>
      <c r="AK571" s="2032"/>
      <c r="AL571" s="2033"/>
      <c r="AM571" s="1698"/>
      <c r="AN571" s="1699"/>
      <c r="AO571" s="1699"/>
      <c r="AP571" s="1699"/>
      <c r="AQ571" s="1699"/>
      <c r="AR571" s="1699"/>
      <c r="AS571" s="170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9" t="s">
        <v>397</v>
      </c>
      <c r="C572" s="1800"/>
      <c r="D572" s="1800"/>
      <c r="E572" s="1800"/>
      <c r="F572" s="1800"/>
      <c r="G572" s="1800"/>
      <c r="H572" s="1800"/>
      <c r="I572" s="1800"/>
      <c r="J572" s="1800"/>
      <c r="K572" s="1800"/>
      <c r="L572" s="1800"/>
      <c r="M572" s="1800"/>
      <c r="N572" s="1800"/>
      <c r="O572" s="1800"/>
      <c r="P572" s="1800"/>
      <c r="Q572" s="1800"/>
      <c r="R572" s="1800"/>
      <c r="S572" s="1800"/>
      <c r="T572" s="1800"/>
      <c r="U572" s="2066"/>
      <c r="V572" s="1800"/>
      <c r="W572" s="1800"/>
      <c r="X572" s="1800"/>
      <c r="Y572" s="1800"/>
      <c r="Z572" s="1800"/>
      <c r="AA572" s="1800"/>
      <c r="AB572" s="1800"/>
      <c r="AC572" s="1800"/>
      <c r="AD572" s="1800"/>
      <c r="AE572" s="1800"/>
      <c r="AF572" s="1800"/>
      <c r="AG572" s="1800"/>
      <c r="AH572" s="1800"/>
      <c r="AI572" s="1800"/>
      <c r="AJ572" s="1800"/>
      <c r="AK572" s="1800"/>
      <c r="AL572" s="1801"/>
      <c r="AM572" s="1705">
        <f>SUM(AM560:AS571)</f>
        <v>46708579.979608379</v>
      </c>
      <c r="AN572" s="1706"/>
      <c r="AO572" s="1706"/>
      <c r="AP572" s="1706"/>
      <c r="AQ572" s="1706"/>
      <c r="AR572" s="1706"/>
      <c r="AS572" s="170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5"/>
      <c r="AF573" s="1345"/>
      <c r="AG573" s="1345"/>
      <c r="AH573" s="1345"/>
      <c r="AI573" s="1345"/>
      <c r="AJ573" s="1345"/>
      <c r="AK573" s="134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92</v>
      </c>
      <c r="G574" s="1834" t="str">
        <f>C560</f>
        <v>JP Morgan Chase Construction Loan</v>
      </c>
      <c r="H574" s="1834"/>
      <c r="I574" s="1834"/>
      <c r="J574" s="1834"/>
      <c r="K574" s="1834"/>
      <c r="L574" s="1834"/>
      <c r="M574" s="1834"/>
      <c r="N574" s="1834"/>
      <c r="O574" s="1834"/>
      <c r="P574" s="1834"/>
      <c r="Q574" s="1834"/>
      <c r="R574" s="1834"/>
      <c r="S574" s="18"/>
      <c r="T574" s="101" t="s">
        <v>983</v>
      </c>
      <c r="U574" s="16" t="s">
        <v>92</v>
      </c>
      <c r="Z574" s="1834" t="str">
        <f>C561</f>
        <v>County of Santa Clara</v>
      </c>
      <c r="AA574" s="1834"/>
      <c r="AB574" s="1834"/>
      <c r="AC574" s="1834"/>
      <c r="AD574" s="1834"/>
      <c r="AE574" s="1834"/>
      <c r="AF574" s="1834"/>
      <c r="AG574" s="1834"/>
      <c r="AH574" s="1834"/>
      <c r="AI574" s="1834"/>
      <c r="AJ574" s="1834"/>
      <c r="AK574" s="183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673" t="s">
        <v>2444</v>
      </c>
      <c r="H575" s="1672"/>
      <c r="I575" s="1672"/>
      <c r="J575" s="1672"/>
      <c r="K575" s="1672"/>
      <c r="L575" s="1672"/>
      <c r="M575" s="1672"/>
      <c r="N575" s="1672"/>
      <c r="O575" s="1672"/>
      <c r="P575" s="1672"/>
      <c r="Q575" s="1672"/>
      <c r="R575" s="1672"/>
      <c r="S575" s="18"/>
      <c r="T575" s="46"/>
      <c r="U575" s="16" t="s">
        <v>412</v>
      </c>
      <c r="Z575" s="1673" t="s">
        <v>2452</v>
      </c>
      <c r="AA575" s="1672"/>
      <c r="AB575" s="1672"/>
      <c r="AC575" s="1672"/>
      <c r="AD575" s="1672"/>
      <c r="AE575" s="1672"/>
      <c r="AF575" s="1672"/>
      <c r="AG575" s="1672"/>
      <c r="AH575" s="1672"/>
      <c r="AI575" s="1672"/>
      <c r="AJ575" s="1672"/>
      <c r="AK575" s="16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673" t="s">
        <v>124</v>
      </c>
      <c r="H576" s="1672"/>
      <c r="I576" s="1672"/>
      <c r="J576" s="1672"/>
      <c r="K576" s="1672"/>
      <c r="L576" s="1672"/>
      <c r="M576" s="1672"/>
      <c r="N576" s="1672"/>
      <c r="O576" s="1672"/>
      <c r="P576" s="1672"/>
      <c r="Q576" s="1672"/>
      <c r="R576" s="1672"/>
      <c r="S576" s="102"/>
      <c r="T576" s="46"/>
      <c r="U576" s="16" t="s">
        <v>475</v>
      </c>
      <c r="Z576" s="1665" t="s">
        <v>2453</v>
      </c>
      <c r="AA576" s="1666"/>
      <c r="AB576" s="1666"/>
      <c r="AC576" s="1666"/>
      <c r="AD576" s="1666"/>
      <c r="AE576" s="1666"/>
      <c r="AF576" s="1666"/>
      <c r="AG576" s="1666"/>
      <c r="AH576" s="1666"/>
      <c r="AI576" s="1666"/>
      <c r="AJ576" s="1666"/>
      <c r="AK576" s="166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73" t="s">
        <v>2445</v>
      </c>
      <c r="H577" s="1672"/>
      <c r="I577" s="1672"/>
      <c r="J577" s="1672"/>
      <c r="K577" s="1672"/>
      <c r="L577" s="1672"/>
      <c r="M577" s="1672"/>
      <c r="N577" s="1672"/>
      <c r="O577" s="1672"/>
      <c r="P577" s="1672"/>
      <c r="Q577" s="1672"/>
      <c r="R577" s="1672"/>
      <c r="S577" s="18"/>
      <c r="T577" s="46"/>
      <c r="U577" s="16" t="s">
        <v>906</v>
      </c>
      <c r="Z577" s="1665" t="s">
        <v>2454</v>
      </c>
      <c r="AA577" s="1666"/>
      <c r="AB577" s="1666"/>
      <c r="AC577" s="1666"/>
      <c r="AD577" s="1666"/>
      <c r="AE577" s="1666"/>
      <c r="AF577" s="1666"/>
      <c r="AG577" s="1666"/>
      <c r="AH577" s="1666"/>
      <c r="AI577" s="1666"/>
      <c r="AJ577" s="1666"/>
      <c r="AK577" s="166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75" t="s">
        <v>2446</v>
      </c>
      <c r="H578" s="1669"/>
      <c r="I578" s="1669"/>
      <c r="J578" s="1669"/>
      <c r="K578" s="1669"/>
      <c r="L578" s="1669"/>
      <c r="O578" s="149" t="s">
        <v>891</v>
      </c>
      <c r="P578" s="1676"/>
      <c r="Q578" s="1676"/>
      <c r="R578" s="1676"/>
      <c r="S578" s="20"/>
      <c r="T578" s="46"/>
      <c r="U578" s="16" t="s">
        <v>711</v>
      </c>
      <c r="Z578" s="1675" t="s">
        <v>2455</v>
      </c>
      <c r="AA578" s="1669"/>
      <c r="AB578" s="1669"/>
      <c r="AC578" s="1669"/>
      <c r="AD578" s="1669"/>
      <c r="AE578" s="1669"/>
      <c r="AH578" s="149" t="s">
        <v>891</v>
      </c>
      <c r="AI578" s="1676"/>
      <c r="AJ578" s="1676"/>
      <c r="AK578" s="167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73" t="s">
        <v>2447</v>
      </c>
      <c r="I579" s="1672"/>
      <c r="J579" s="1672"/>
      <c r="K579" s="1672"/>
      <c r="L579" s="1672"/>
      <c r="M579" s="1672"/>
      <c r="N579" s="1672"/>
      <c r="O579" s="1672"/>
      <c r="P579" s="1672"/>
      <c r="Q579" s="1672"/>
      <c r="R579" s="1672"/>
      <c r="S579" s="18"/>
      <c r="T579" s="46"/>
      <c r="U579" s="16" t="s">
        <v>907</v>
      </c>
      <c r="AA579" s="1673" t="s">
        <v>2451</v>
      </c>
      <c r="AB579" s="1672"/>
      <c r="AC579" s="1672"/>
      <c r="AD579" s="1672"/>
      <c r="AE579" s="1672"/>
      <c r="AF579" s="1672"/>
      <c r="AG579" s="1672"/>
      <c r="AH579" s="1672"/>
      <c r="AI579" s="1672"/>
      <c r="AJ579" s="1672"/>
      <c r="AK579" s="16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70" t="s">
        <v>118</v>
      </c>
      <c r="O580" s="1670"/>
      <c r="T580" s="46"/>
      <c r="U580" s="16" t="s">
        <v>909</v>
      </c>
      <c r="AG580" s="1832" t="s">
        <v>118</v>
      </c>
      <c r="AH580" s="167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34" t="str">
        <f>C562</f>
        <v>City of Palo Alto</v>
      </c>
      <c r="H582" s="1834"/>
      <c r="I582" s="1834"/>
      <c r="J582" s="1834"/>
      <c r="K582" s="1834"/>
      <c r="L582" s="1834"/>
      <c r="M582" s="1834"/>
      <c r="N582" s="1834"/>
      <c r="O582" s="1834"/>
      <c r="P582" s="1834"/>
      <c r="Q582" s="1834"/>
      <c r="R582" s="1834"/>
      <c r="T582" s="101" t="s">
        <v>476</v>
      </c>
      <c r="U582" s="16" t="s">
        <v>92</v>
      </c>
      <c r="Z582" s="1834" t="str">
        <f>C563</f>
        <v>Value of Donated Land (GP equity or deferred fee or sponsor loan TBD based on investor negotiations)</v>
      </c>
      <c r="AA582" s="1834"/>
      <c r="AB582" s="1834"/>
      <c r="AC582" s="1834"/>
      <c r="AD582" s="1834"/>
      <c r="AE582" s="1834"/>
      <c r="AF582" s="1834"/>
      <c r="AG582" s="1834"/>
      <c r="AH582" s="1834"/>
      <c r="AI582" s="1834"/>
      <c r="AJ582" s="1834"/>
      <c r="AK582" s="183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73" t="s">
        <v>2448</v>
      </c>
      <c r="H583" s="1672"/>
      <c r="I583" s="1672"/>
      <c r="J583" s="1672"/>
      <c r="K583" s="1672"/>
      <c r="L583" s="1672"/>
      <c r="M583" s="1672"/>
      <c r="N583" s="1672"/>
      <c r="O583" s="1672"/>
      <c r="P583" s="1672"/>
      <c r="Q583" s="1672"/>
      <c r="R583" s="1672"/>
      <c r="T583" s="46"/>
      <c r="U583" s="16" t="s">
        <v>412</v>
      </c>
      <c r="Z583" s="1673" t="s">
        <v>2452</v>
      </c>
      <c r="AA583" s="1672"/>
      <c r="AB583" s="1672"/>
      <c r="AC583" s="1672"/>
      <c r="AD583" s="1672"/>
      <c r="AE583" s="1672"/>
      <c r="AF583" s="1672"/>
      <c r="AG583" s="1672"/>
      <c r="AH583" s="1672"/>
      <c r="AI583" s="1672"/>
      <c r="AJ583" s="1672"/>
      <c r="AK583" s="16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65" t="s">
        <v>2342</v>
      </c>
      <c r="H584" s="1666"/>
      <c r="I584" s="1666"/>
      <c r="J584" s="1666"/>
      <c r="K584" s="1666"/>
      <c r="L584" s="1666"/>
      <c r="M584" s="1666"/>
      <c r="N584" s="1666"/>
      <c r="O584" s="1666"/>
      <c r="P584" s="1666"/>
      <c r="Q584" s="1666"/>
      <c r="R584" s="1666"/>
      <c r="T584" s="46"/>
      <c r="U584" s="16" t="s">
        <v>475</v>
      </c>
      <c r="Z584" s="1665" t="s">
        <v>2453</v>
      </c>
      <c r="AA584" s="1666"/>
      <c r="AB584" s="1666"/>
      <c r="AC584" s="1666"/>
      <c r="AD584" s="1666"/>
      <c r="AE584" s="1666"/>
      <c r="AF584" s="1666"/>
      <c r="AG584" s="1666"/>
      <c r="AH584" s="1666"/>
      <c r="AI584" s="1666"/>
      <c r="AJ584" s="1666"/>
      <c r="AK584" s="166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65" t="s">
        <v>2449</v>
      </c>
      <c r="H585" s="1666"/>
      <c r="I585" s="1666"/>
      <c r="J585" s="1666"/>
      <c r="K585" s="1666"/>
      <c r="L585" s="1666"/>
      <c r="M585" s="1666"/>
      <c r="N585" s="1666"/>
      <c r="O585" s="1666"/>
      <c r="P585" s="1666"/>
      <c r="Q585" s="1666"/>
      <c r="R585" s="1666"/>
      <c r="T585" s="46"/>
      <c r="U585" s="16" t="s">
        <v>906</v>
      </c>
      <c r="Z585" s="1665" t="s">
        <v>2454</v>
      </c>
      <c r="AA585" s="1666"/>
      <c r="AB585" s="1666"/>
      <c r="AC585" s="1666"/>
      <c r="AD585" s="1666"/>
      <c r="AE585" s="1666"/>
      <c r="AF585" s="1666"/>
      <c r="AG585" s="1666"/>
      <c r="AH585" s="1666"/>
      <c r="AI585" s="1666"/>
      <c r="AJ585" s="1666"/>
      <c r="AK585" s="166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75" t="s">
        <v>2450</v>
      </c>
      <c r="H586" s="1669"/>
      <c r="I586" s="1669"/>
      <c r="J586" s="1669"/>
      <c r="K586" s="1669"/>
      <c r="L586" s="1669"/>
      <c r="O586" s="149" t="s">
        <v>891</v>
      </c>
      <c r="P586" s="1676"/>
      <c r="Q586" s="1676"/>
      <c r="R586" s="1676"/>
      <c r="T586" s="46"/>
      <c r="U586" s="16" t="s">
        <v>711</v>
      </c>
      <c r="Z586" s="1675" t="s">
        <v>2455</v>
      </c>
      <c r="AA586" s="1669"/>
      <c r="AB586" s="1669"/>
      <c r="AC586" s="1669"/>
      <c r="AD586" s="1669"/>
      <c r="AE586" s="1669"/>
      <c r="AH586" s="149" t="s">
        <v>891</v>
      </c>
      <c r="AI586" s="1676"/>
      <c r="AJ586" s="1676"/>
      <c r="AK586" s="167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73" t="s">
        <v>2451</v>
      </c>
      <c r="I587" s="1672"/>
      <c r="J587" s="1672"/>
      <c r="K587" s="1672"/>
      <c r="L587" s="1672"/>
      <c r="M587" s="1672"/>
      <c r="N587" s="1672"/>
      <c r="O587" s="1672"/>
      <c r="P587" s="1672"/>
      <c r="Q587" s="1672"/>
      <c r="R587" s="1672"/>
      <c r="T587" s="46"/>
      <c r="U587" s="16" t="s">
        <v>907</v>
      </c>
      <c r="AA587" s="1673" t="s">
        <v>2456</v>
      </c>
      <c r="AB587" s="1672"/>
      <c r="AC587" s="1672"/>
      <c r="AD587" s="1672"/>
      <c r="AE587" s="1672"/>
      <c r="AF587" s="1672"/>
      <c r="AG587" s="1672"/>
      <c r="AH587" s="1672"/>
      <c r="AI587" s="1672"/>
      <c r="AJ587" s="1672"/>
      <c r="AK587" s="16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83" t="s">
        <v>118</v>
      </c>
      <c r="O588" s="1725"/>
      <c r="T588" s="46"/>
      <c r="U588" s="16" t="s">
        <v>909</v>
      </c>
      <c r="AG588" s="1725" t="s">
        <v>118</v>
      </c>
      <c r="AH588" s="172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34" t="str">
        <f>C564</f>
        <v>GP Equity (Eden Housing)</v>
      </c>
      <c r="H590" s="1834"/>
      <c r="I590" s="1834"/>
      <c r="J590" s="1834"/>
      <c r="K590" s="1834"/>
      <c r="L590" s="1834"/>
      <c r="M590" s="1834"/>
      <c r="N590" s="1834"/>
      <c r="O590" s="1834"/>
      <c r="P590" s="1834"/>
      <c r="Q590" s="1834"/>
      <c r="R590" s="1834"/>
      <c r="T590" s="101" t="s">
        <v>479</v>
      </c>
      <c r="U590" s="16" t="s">
        <v>92</v>
      </c>
      <c r="Z590" s="1834" t="str">
        <f>C565</f>
        <v>Investor Equity</v>
      </c>
      <c r="AA590" s="1834"/>
      <c r="AB590" s="1834"/>
      <c r="AC590" s="1834"/>
      <c r="AD590" s="1834"/>
      <c r="AE590" s="1834"/>
      <c r="AF590" s="1834"/>
      <c r="AG590" s="1834"/>
      <c r="AH590" s="1834"/>
      <c r="AI590" s="1834"/>
      <c r="AJ590" s="1834"/>
      <c r="AK590" s="183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73" t="s">
        <v>2457</v>
      </c>
      <c r="H591" s="1672"/>
      <c r="I591" s="1672"/>
      <c r="J591" s="1672"/>
      <c r="K591" s="1672"/>
      <c r="L591" s="1672"/>
      <c r="M591" s="1672"/>
      <c r="N591" s="1672"/>
      <c r="O591" s="1672"/>
      <c r="P591" s="1672"/>
      <c r="Q591" s="1672"/>
      <c r="R591" s="1672"/>
      <c r="T591" s="46"/>
      <c r="U591" s="16" t="s">
        <v>412</v>
      </c>
      <c r="Z591" s="1672"/>
      <c r="AA591" s="1672"/>
      <c r="AB591" s="1672"/>
      <c r="AC591" s="1672"/>
      <c r="AD591" s="1672"/>
      <c r="AE591" s="1672"/>
      <c r="AF591" s="1672"/>
      <c r="AG591" s="1672"/>
      <c r="AH591" s="1672"/>
      <c r="AI591" s="1672"/>
      <c r="AJ591" s="1672"/>
      <c r="AK591" s="16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73" t="s">
        <v>2349</v>
      </c>
      <c r="H592" s="1672"/>
      <c r="I592" s="1672"/>
      <c r="J592" s="1672"/>
      <c r="K592" s="1672"/>
      <c r="L592" s="1672"/>
      <c r="M592" s="1672"/>
      <c r="N592" s="1672"/>
      <c r="O592" s="1672"/>
      <c r="P592" s="1672"/>
      <c r="Q592" s="1672"/>
      <c r="R592" s="1672"/>
      <c r="T592" s="46"/>
      <c r="U592" s="16" t="s">
        <v>475</v>
      </c>
      <c r="Z592" s="1666"/>
      <c r="AA592" s="1666"/>
      <c r="AB592" s="1666"/>
      <c r="AC592" s="1666"/>
      <c r="AD592" s="1666"/>
      <c r="AE592" s="1666"/>
      <c r="AF592" s="1666"/>
      <c r="AG592" s="1666"/>
      <c r="AH592" s="1666"/>
      <c r="AI592" s="1666"/>
      <c r="AJ592" s="1666"/>
      <c r="AK592" s="166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73" t="s">
        <v>2352</v>
      </c>
      <c r="H593" s="1672"/>
      <c r="I593" s="1672"/>
      <c r="J593" s="1672"/>
      <c r="K593" s="1672"/>
      <c r="L593" s="1672"/>
      <c r="M593" s="1672"/>
      <c r="N593" s="1672"/>
      <c r="O593" s="1672"/>
      <c r="P593" s="1672"/>
      <c r="Q593" s="1672"/>
      <c r="R593" s="1672"/>
      <c r="T593" s="46"/>
      <c r="U593" s="16" t="s">
        <v>906</v>
      </c>
      <c r="Z593" s="1666"/>
      <c r="AA593" s="1666"/>
      <c r="AB593" s="1666"/>
      <c r="AC593" s="1666"/>
      <c r="AD593" s="1666"/>
      <c r="AE593" s="1666"/>
      <c r="AF593" s="1666"/>
      <c r="AG593" s="1666"/>
      <c r="AH593" s="1666"/>
      <c r="AI593" s="1666"/>
      <c r="AJ593" s="1666"/>
      <c r="AK593" s="166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75" t="s">
        <v>2458</v>
      </c>
      <c r="H594" s="1669"/>
      <c r="I594" s="1669"/>
      <c r="J594" s="1669"/>
      <c r="K594" s="1669"/>
      <c r="L594" s="1669"/>
      <c r="O594" s="149" t="s">
        <v>891</v>
      </c>
      <c r="P594" s="1676"/>
      <c r="Q594" s="1676"/>
      <c r="R594" s="1676"/>
      <c r="T594" s="46"/>
      <c r="U594" s="16" t="s">
        <v>711</v>
      </c>
      <c r="Z594" s="1669"/>
      <c r="AA594" s="1669"/>
      <c r="AB594" s="1669"/>
      <c r="AC594" s="1669"/>
      <c r="AD594" s="1669"/>
      <c r="AE594" s="1669"/>
      <c r="AH594" s="149" t="s">
        <v>891</v>
      </c>
      <c r="AI594" s="1676"/>
      <c r="AJ594" s="1676"/>
      <c r="AK594" s="16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73" t="s">
        <v>2459</v>
      </c>
      <c r="I595" s="1672"/>
      <c r="J595" s="1672"/>
      <c r="K595" s="1672"/>
      <c r="L595" s="1672"/>
      <c r="M595" s="1672"/>
      <c r="N595" s="1672"/>
      <c r="O595" s="1672"/>
      <c r="P595" s="1672"/>
      <c r="Q595" s="1672"/>
      <c r="R595" s="1672"/>
      <c r="T595" s="46"/>
      <c r="U595" s="16" t="s">
        <v>907</v>
      </c>
      <c r="AA595" s="1673" t="s">
        <v>2459</v>
      </c>
      <c r="AB595" s="1672"/>
      <c r="AC595" s="1672"/>
      <c r="AD595" s="1672"/>
      <c r="AE595" s="1672"/>
      <c r="AF595" s="1672"/>
      <c r="AG595" s="1672"/>
      <c r="AH595" s="1672"/>
      <c r="AI595" s="1672"/>
      <c r="AJ595" s="1672"/>
      <c r="AK595" s="16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25" t="s">
        <v>527</v>
      </c>
      <c r="O596" s="1725"/>
      <c r="T596" s="46"/>
      <c r="U596" s="16" t="s">
        <v>909</v>
      </c>
      <c r="AG596" s="1725" t="s">
        <v>527</v>
      </c>
      <c r="AH596" s="172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34">
        <f>C566</f>
        <v>0</v>
      </c>
      <c r="H598" s="1834"/>
      <c r="I598" s="1834"/>
      <c r="J598" s="1834"/>
      <c r="K598" s="1834"/>
      <c r="L598" s="1834"/>
      <c r="M598" s="1834"/>
      <c r="N598" s="1834"/>
      <c r="O598" s="1834"/>
      <c r="P598" s="1834"/>
      <c r="Q598" s="1834"/>
      <c r="R598" s="1834"/>
      <c r="T598" s="101" t="s">
        <v>805</v>
      </c>
      <c r="U598" s="16" t="s">
        <v>92</v>
      </c>
      <c r="Z598" s="1834">
        <f>C567</f>
        <v>0</v>
      </c>
      <c r="AA598" s="1834"/>
      <c r="AB598" s="1834"/>
      <c r="AC598" s="1834"/>
      <c r="AD598" s="1834"/>
      <c r="AE598" s="1834"/>
      <c r="AF598" s="1834"/>
      <c r="AG598" s="1834"/>
      <c r="AH598" s="1834"/>
      <c r="AI598" s="1834"/>
      <c r="AJ598" s="1834"/>
      <c r="AK598" s="183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672"/>
      <c r="H599" s="1672"/>
      <c r="I599" s="1672"/>
      <c r="J599" s="1672"/>
      <c r="K599" s="1672"/>
      <c r="L599" s="1672"/>
      <c r="M599" s="1672"/>
      <c r="N599" s="1672"/>
      <c r="O599" s="1672"/>
      <c r="P599" s="1672"/>
      <c r="Q599" s="1672"/>
      <c r="R599" s="1672"/>
      <c r="T599" s="46"/>
      <c r="U599" s="16" t="s">
        <v>412</v>
      </c>
      <c r="Z599" s="1672"/>
      <c r="AA599" s="1672"/>
      <c r="AB599" s="1672"/>
      <c r="AC599" s="1672"/>
      <c r="AD599" s="1672"/>
      <c r="AE599" s="1672"/>
      <c r="AF599" s="1672"/>
      <c r="AG599" s="1672"/>
      <c r="AH599" s="1672"/>
      <c r="AI599" s="1672"/>
      <c r="AJ599" s="1672"/>
      <c r="AK599" s="16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72"/>
      <c r="H600" s="1672"/>
      <c r="I600" s="1672"/>
      <c r="J600" s="1672"/>
      <c r="K600" s="1672"/>
      <c r="L600" s="1672"/>
      <c r="M600" s="1672"/>
      <c r="N600" s="1672"/>
      <c r="O600" s="1672"/>
      <c r="P600" s="1672"/>
      <c r="Q600" s="1672"/>
      <c r="R600" s="1672"/>
      <c r="S600" s="16"/>
      <c r="T600" s="46"/>
      <c r="U600" s="16" t="s">
        <v>475</v>
      </c>
      <c r="V600" s="16"/>
      <c r="W600" s="16"/>
      <c r="X600" s="16"/>
      <c r="Y600" s="16"/>
      <c r="Z600" s="1666"/>
      <c r="AA600" s="1666"/>
      <c r="AB600" s="1666"/>
      <c r="AC600" s="1666"/>
      <c r="AD600" s="1666"/>
      <c r="AE600" s="1666"/>
      <c r="AF600" s="1666"/>
      <c r="AG600" s="1666"/>
      <c r="AH600" s="1666"/>
      <c r="AI600" s="1666"/>
      <c r="AJ600" s="1666"/>
      <c r="AK600" s="166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72"/>
      <c r="H601" s="1672"/>
      <c r="I601" s="1672"/>
      <c r="J601" s="1672"/>
      <c r="K601" s="1672"/>
      <c r="L601" s="1672"/>
      <c r="M601" s="1672"/>
      <c r="N601" s="1672"/>
      <c r="O601" s="1672"/>
      <c r="P601" s="1672"/>
      <c r="Q601" s="1672"/>
      <c r="R601" s="1672"/>
      <c r="S601" s="16"/>
      <c r="T601" s="46"/>
      <c r="U601" s="16" t="s">
        <v>906</v>
      </c>
      <c r="V601" s="16"/>
      <c r="W601" s="16"/>
      <c r="X601" s="16"/>
      <c r="Y601" s="16"/>
      <c r="Z601" s="1666"/>
      <c r="AA601" s="1666"/>
      <c r="AB601" s="1666"/>
      <c r="AC601" s="1666"/>
      <c r="AD601" s="1666"/>
      <c r="AE601" s="1666"/>
      <c r="AF601" s="1666"/>
      <c r="AG601" s="1666"/>
      <c r="AH601" s="1666"/>
      <c r="AI601" s="1666"/>
      <c r="AJ601" s="1666"/>
      <c r="AK601" s="1666"/>
      <c r="AL601" s="16"/>
      <c r="AM601" s="72"/>
      <c r="AN601" s="72"/>
      <c r="AO601" s="72"/>
      <c r="AP601" s="72"/>
      <c r="AQ601" s="72"/>
      <c r="AR601" s="72"/>
      <c r="AS601" s="72"/>
      <c r="AT601" s="72"/>
      <c r="AU601" s="72"/>
      <c r="AV601" s="72"/>
      <c r="AW601" s="72"/>
      <c r="AX601" s="72"/>
      <c r="AY601" s="72"/>
      <c r="AZ601" s="72"/>
      <c r="BN601" s="1390" t="s">
        <v>464</v>
      </c>
      <c r="BO601" s="1390"/>
      <c r="BP601" s="1390"/>
      <c r="BQ601" s="1391"/>
      <c r="BR601" s="1392"/>
      <c r="BS601" s="1390" t="s">
        <v>487</v>
      </c>
      <c r="BT601" s="1390"/>
      <c r="BU601" s="1390"/>
      <c r="BV601" s="1391"/>
      <c r="BW601" s="1392"/>
      <c r="BX601" s="1392" t="s">
        <v>844</v>
      </c>
      <c r="BY601" s="1390"/>
      <c r="BZ601" s="1390"/>
      <c r="CA601" s="1390"/>
      <c r="CB601" s="1390"/>
      <c r="CC601" s="1390" t="s">
        <v>845</v>
      </c>
      <c r="CD601" s="1390"/>
      <c r="CE601" s="1390"/>
      <c r="CF601" s="1390"/>
      <c r="CG601" s="1390"/>
      <c r="CH601" s="1390" t="s">
        <v>858</v>
      </c>
      <c r="CI601" s="1390"/>
      <c r="CJ601" s="1390"/>
      <c r="CK601" s="1390"/>
      <c r="CL601" s="1390"/>
      <c r="CM601" s="1390" t="s">
        <v>381</v>
      </c>
      <c r="CN601" s="1390"/>
      <c r="CO601" s="1390"/>
      <c r="CP601" s="1391"/>
      <c r="CQ601" s="1392"/>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69"/>
      <c r="H602" s="1669"/>
      <c r="I602" s="1669"/>
      <c r="J602" s="1669"/>
      <c r="K602" s="1669"/>
      <c r="L602" s="1669"/>
      <c r="M602" s="16"/>
      <c r="N602" s="16"/>
      <c r="O602" s="149" t="s">
        <v>891</v>
      </c>
      <c r="P602" s="1676"/>
      <c r="Q602" s="1676"/>
      <c r="R602" s="1676"/>
      <c r="S602" s="16"/>
      <c r="T602" s="46"/>
      <c r="U602" s="16" t="s">
        <v>711</v>
      </c>
      <c r="V602" s="16"/>
      <c r="W602" s="16"/>
      <c r="X602" s="16"/>
      <c r="Y602" s="16"/>
      <c r="Z602" s="1669"/>
      <c r="AA602" s="1669"/>
      <c r="AB602" s="1669"/>
      <c r="AC602" s="1669"/>
      <c r="AD602" s="1669"/>
      <c r="AE602" s="1669"/>
      <c r="AF602" s="16"/>
      <c r="AG602" s="16"/>
      <c r="AH602" s="149" t="s">
        <v>891</v>
      </c>
      <c r="AI602" s="1676"/>
      <c r="AJ602" s="1676"/>
      <c r="AK602" s="1676"/>
      <c r="AL602" s="16"/>
      <c r="AZ602" s="8" t="s">
        <v>486</v>
      </c>
      <c r="BA602" s="72"/>
      <c r="BB602" s="72"/>
      <c r="BC602" s="72"/>
      <c r="BD602" s="72"/>
      <c r="BE602" s="334" t="s">
        <v>388</v>
      </c>
      <c r="BF602" s="335"/>
      <c r="BG602" s="1802"/>
      <c r="BH602" s="1805"/>
      <c r="BI602" s="334" t="s">
        <v>389</v>
      </c>
      <c r="BJ602" s="335"/>
      <c r="BK602" s="1802"/>
      <c r="BL602" s="1805"/>
      <c r="BN602" s="1802">
        <f t="shared" ref="BN602:BN626" si="0">IF(B706="SRO/Studio",G706,0)</f>
        <v>14</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31">
        <f t="shared" ref="CM602:CM626" si="5">IF(B706="5 Bedrooms",G706,0)</f>
        <v>0</v>
      </c>
      <c r="CN602" s="2132"/>
      <c r="CO602" s="2132"/>
      <c r="CP602" s="2132"/>
      <c r="CQ602" s="1804"/>
      <c r="CS602" s="1390" t="s">
        <v>464</v>
      </c>
      <c r="CT602" s="1390"/>
      <c r="CU602" s="1390"/>
      <c r="CV602" s="1390"/>
      <c r="CW602" s="1390"/>
      <c r="CX602" s="1390" t="s">
        <v>487</v>
      </c>
      <c r="CY602" s="1390"/>
      <c r="CZ602" s="1391"/>
      <c r="DA602" s="1393"/>
      <c r="DB602" s="1392"/>
      <c r="DC602" s="1390" t="s">
        <v>844</v>
      </c>
      <c r="DD602" s="1390"/>
      <c r="DE602" s="1390"/>
      <c r="DF602" s="1390"/>
      <c r="DG602" s="1390"/>
      <c r="DH602" s="1390" t="s">
        <v>845</v>
      </c>
      <c r="DI602" s="1390"/>
      <c r="DJ602" s="1390"/>
      <c r="DK602" s="1390"/>
      <c r="DL602" s="1390"/>
      <c r="DM602" s="1390" t="s">
        <v>858</v>
      </c>
      <c r="DN602" s="1390"/>
      <c r="DO602" s="1390"/>
      <c r="DP602" s="1390"/>
      <c r="DQ602" s="1390"/>
      <c r="DR602" s="1390" t="s">
        <v>381</v>
      </c>
      <c r="DS602" s="1390"/>
      <c r="DT602" s="1390"/>
      <c r="DU602" s="1390"/>
      <c r="DV602" s="1390"/>
    </row>
    <row r="603" spans="1:126" s="8" customFormat="1" ht="12.75">
      <c r="A603" s="46"/>
      <c r="B603" s="16" t="s">
        <v>907</v>
      </c>
      <c r="C603" s="16"/>
      <c r="D603" s="16"/>
      <c r="E603" s="16"/>
      <c r="F603" s="16"/>
      <c r="G603" s="16"/>
      <c r="H603" s="1672"/>
      <c r="I603" s="1672"/>
      <c r="J603" s="1672"/>
      <c r="K603" s="1672"/>
      <c r="L603" s="1672"/>
      <c r="M603" s="1672"/>
      <c r="N603" s="1672"/>
      <c r="O603" s="1672"/>
      <c r="P603" s="1672"/>
      <c r="Q603" s="1672"/>
      <c r="R603" s="1672"/>
      <c r="S603" s="16"/>
      <c r="T603" s="46"/>
      <c r="U603" s="16" t="s">
        <v>907</v>
      </c>
      <c r="V603" s="16"/>
      <c r="W603" s="16"/>
      <c r="X603" s="16"/>
      <c r="Y603" s="16"/>
      <c r="Z603" s="16"/>
      <c r="AA603" s="1672"/>
      <c r="AB603" s="1672"/>
      <c r="AC603" s="1672"/>
      <c r="AD603" s="1672"/>
      <c r="AE603" s="1672"/>
      <c r="AF603" s="1672"/>
      <c r="AG603" s="1672"/>
      <c r="AH603" s="1672"/>
      <c r="AI603" s="1672"/>
      <c r="AJ603" s="1672"/>
      <c r="AK603" s="1672"/>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14</v>
      </c>
      <c r="BL603" s="1805"/>
      <c r="BN603" s="1802">
        <f t="shared" si="0"/>
        <v>7</v>
      </c>
      <c r="BO603" s="1803"/>
      <c r="BP603" s="1803"/>
      <c r="BQ603" s="1803"/>
      <c r="BR603" s="1804"/>
      <c r="BS603" s="1802">
        <f t="shared" si="1"/>
        <v>0</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8">
        <f>IF(AND(B706="SRO/Studio",AH706&lt;=0.3),G706,0)</f>
        <v>14</v>
      </c>
      <c r="CT603" s="2129"/>
      <c r="CU603" s="2129"/>
      <c r="CV603" s="2129"/>
      <c r="CW603" s="2130"/>
      <c r="CX603" s="2128">
        <f>IF(AND(B706="1 Bedroom",AH706&lt;=0.3),G706,0)</f>
        <v>0</v>
      </c>
      <c r="CY603" s="2129"/>
      <c r="CZ603" s="2129"/>
      <c r="DA603" s="2129"/>
      <c r="DB603" s="2130"/>
      <c r="DC603" s="2128">
        <f>IF(AND(B706="2 Bedrooms",AH706&lt;=0.3),G706,0)</f>
        <v>0</v>
      </c>
      <c r="DD603" s="2129"/>
      <c r="DE603" s="2129"/>
      <c r="DF603" s="2129"/>
      <c r="DG603" s="2130"/>
      <c r="DH603" s="2128">
        <f>IF(AND(B706="3 Bedrooms",AH706&lt;=0.3),G706,0)</f>
        <v>0</v>
      </c>
      <c r="DI603" s="2129"/>
      <c r="DJ603" s="2129"/>
      <c r="DK603" s="2129"/>
      <c r="DL603" s="2130"/>
      <c r="DM603" s="2128">
        <f>IF(AND(B706="4 Bedrooms",AH706&lt;=0.3),G706,0)</f>
        <v>0</v>
      </c>
      <c r="DN603" s="2129"/>
      <c r="DO603" s="2129"/>
      <c r="DP603" s="2129"/>
      <c r="DQ603" s="2130"/>
      <c r="DR603" s="2128">
        <f>IF(AND(B706="5 Bedrooms",AH706&lt;=0.3),G706,0)</f>
        <v>0</v>
      </c>
      <c r="DS603" s="2129"/>
      <c r="DT603" s="2129"/>
      <c r="DU603" s="2129"/>
      <c r="DV603" s="2130"/>
    </row>
    <row r="604" spans="1:126" s="8" customFormat="1" ht="12.75">
      <c r="A604" s="46"/>
      <c r="B604" s="16" t="s">
        <v>909</v>
      </c>
      <c r="C604" s="16"/>
      <c r="D604" s="16"/>
      <c r="E604" s="16"/>
      <c r="F604" s="16"/>
      <c r="G604" s="16"/>
      <c r="H604" s="16"/>
      <c r="I604" s="16"/>
      <c r="J604" s="16"/>
      <c r="K604" s="16"/>
      <c r="L604" s="16"/>
      <c r="M604" s="16"/>
      <c r="N604" s="1725" t="s">
        <v>527</v>
      </c>
      <c r="O604" s="1725"/>
      <c r="P604" s="16"/>
      <c r="Q604" s="16"/>
      <c r="R604" s="16"/>
      <c r="S604" s="16"/>
      <c r="T604" s="46"/>
      <c r="U604" s="16" t="s">
        <v>909</v>
      </c>
      <c r="V604" s="16"/>
      <c r="W604" s="16"/>
      <c r="X604" s="16"/>
      <c r="Y604" s="16"/>
      <c r="Z604" s="16"/>
      <c r="AA604" s="16"/>
      <c r="AB604" s="16"/>
      <c r="AC604" s="16"/>
      <c r="AD604" s="16"/>
      <c r="AE604" s="16"/>
      <c r="AF604" s="16"/>
      <c r="AG604" s="1725" t="s">
        <v>527</v>
      </c>
      <c r="AH604" s="1725"/>
      <c r="AI604" s="16"/>
      <c r="AJ604" s="16"/>
      <c r="AK604" s="16"/>
      <c r="AL604" s="16"/>
      <c r="AZ604" s="8" t="s">
        <v>844</v>
      </c>
      <c r="BA604" s="72"/>
      <c r="BB604" s="72"/>
      <c r="BC604" s="72"/>
      <c r="BD604" s="72"/>
      <c r="BE604" s="1806">
        <f t="shared" ref="BE604:BE627" si="8">IF(AND(AH707&lt;=0.5,AH707&gt;=0.36),1,0)</f>
        <v>1</v>
      </c>
      <c r="BF604" s="1807"/>
      <c r="BG604" s="1802">
        <f t="shared" si="6"/>
        <v>7</v>
      </c>
      <c r="BH604" s="1805"/>
      <c r="BI604" s="1806">
        <f t="shared" ref="BI604:BI627" si="9">IF(AND(AH707&lt;=0.35,AH707&gt;0),1,0)</f>
        <v>0</v>
      </c>
      <c r="BJ604" s="1807"/>
      <c r="BK604" s="1802">
        <f t="shared" si="7"/>
        <v>0</v>
      </c>
      <c r="BL604" s="1805"/>
      <c r="BN604" s="1802">
        <f t="shared" si="0"/>
        <v>5</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8">
        <f t="shared" ref="CS604:CS627" si="10">IF(AND(B707="SRO/Studio",AH707&lt;=0.3),G707,0)</f>
        <v>0</v>
      </c>
      <c r="CT604" s="2129"/>
      <c r="CU604" s="2129"/>
      <c r="CV604" s="2129"/>
      <c r="CW604" s="2130"/>
      <c r="CX604" s="2128">
        <f t="shared" ref="CX604:CX627" si="11">IF(AND(B707="1 Bedroom",AH707&lt;=0.3),G707,0)</f>
        <v>0</v>
      </c>
      <c r="CY604" s="2129"/>
      <c r="CZ604" s="2129"/>
      <c r="DA604" s="2129"/>
      <c r="DB604" s="2130"/>
      <c r="DC604" s="2128">
        <f t="shared" ref="DC604:DC627" si="12">IF(AND(B707="2 Bedrooms",AH707&lt;=0.3),G707,0)</f>
        <v>0</v>
      </c>
      <c r="DD604" s="2129"/>
      <c r="DE604" s="2129"/>
      <c r="DF604" s="2129"/>
      <c r="DG604" s="2130"/>
      <c r="DH604" s="2128">
        <f t="shared" ref="DH604:DH627" si="13">IF(AND(B707="3 Bedrooms",AH707&lt;=0.3),G707,0)</f>
        <v>0</v>
      </c>
      <c r="DI604" s="2129"/>
      <c r="DJ604" s="2129"/>
      <c r="DK604" s="2129"/>
      <c r="DL604" s="2130"/>
      <c r="DM604" s="2128">
        <f t="shared" ref="DM604:DM627" si="14">IF(AND(B707="4 Bedrooms",AH707&lt;=0.3),G707,0)</f>
        <v>0</v>
      </c>
      <c r="DN604" s="2129"/>
      <c r="DO604" s="2129"/>
      <c r="DP604" s="2129"/>
      <c r="DQ604" s="2130"/>
      <c r="DR604" s="2128">
        <f t="shared" ref="DR604:DR627" si="15">IF(AND(B707="5 Bedrooms",AH707&lt;=0.3),G707,0)</f>
        <v>0</v>
      </c>
      <c r="DS604" s="2129"/>
      <c r="DT604" s="2129"/>
      <c r="DU604" s="2129"/>
      <c r="DV604" s="2130"/>
    </row>
    <row r="605" spans="1:126" ht="12.75">
      <c r="AZ605" s="8" t="s">
        <v>845</v>
      </c>
      <c r="BA605" s="72"/>
      <c r="BB605" s="72"/>
      <c r="BC605" s="72"/>
      <c r="BD605" s="72"/>
      <c r="BE605" s="1806">
        <f t="shared" si="8"/>
        <v>1</v>
      </c>
      <c r="BF605" s="1807"/>
      <c r="BG605" s="1802">
        <f t="shared" si="6"/>
        <v>5</v>
      </c>
      <c r="BH605" s="1805"/>
      <c r="BI605" s="1806">
        <f t="shared" si="9"/>
        <v>0</v>
      </c>
      <c r="BJ605" s="1807"/>
      <c r="BK605" s="1802">
        <f t="shared" si="7"/>
        <v>0</v>
      </c>
      <c r="BL605" s="1805"/>
      <c r="BN605" s="1802">
        <f t="shared" si="0"/>
        <v>11</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8">
        <f t="shared" si="10"/>
        <v>0</v>
      </c>
      <c r="CT605" s="2129"/>
      <c r="CU605" s="2129"/>
      <c r="CV605" s="2129"/>
      <c r="CW605" s="2130"/>
      <c r="CX605" s="2128">
        <f t="shared" si="11"/>
        <v>0</v>
      </c>
      <c r="CY605" s="2129"/>
      <c r="CZ605" s="2129"/>
      <c r="DA605" s="2129"/>
      <c r="DB605" s="2130"/>
      <c r="DC605" s="2128">
        <f t="shared" si="12"/>
        <v>0</v>
      </c>
      <c r="DD605" s="2129"/>
      <c r="DE605" s="2129"/>
      <c r="DF605" s="2129"/>
      <c r="DG605" s="2130"/>
      <c r="DH605" s="2128">
        <f t="shared" si="13"/>
        <v>0</v>
      </c>
      <c r="DI605" s="2129"/>
      <c r="DJ605" s="2129"/>
      <c r="DK605" s="2129"/>
      <c r="DL605" s="2130"/>
      <c r="DM605" s="2128">
        <f t="shared" si="14"/>
        <v>0</v>
      </c>
      <c r="DN605" s="2129"/>
      <c r="DO605" s="2129"/>
      <c r="DP605" s="2129"/>
      <c r="DQ605" s="2130"/>
      <c r="DR605" s="2128">
        <f t="shared" si="15"/>
        <v>0</v>
      </c>
      <c r="DS605" s="2129"/>
      <c r="DT605" s="2129"/>
      <c r="DU605" s="2129"/>
      <c r="DV605" s="2130"/>
    </row>
    <row r="606" spans="1:126" ht="12.75">
      <c r="A606" s="101" t="s">
        <v>602</v>
      </c>
      <c r="B606" s="16" t="s">
        <v>92</v>
      </c>
      <c r="G606" s="1834">
        <f>C568</f>
        <v>0</v>
      </c>
      <c r="H606" s="1834"/>
      <c r="I606" s="1834"/>
      <c r="J606" s="1834"/>
      <c r="K606" s="1834"/>
      <c r="L606" s="1834"/>
      <c r="M606" s="1834"/>
      <c r="N606" s="1834"/>
      <c r="O606" s="1834"/>
      <c r="P606" s="1834"/>
      <c r="Q606" s="1834"/>
      <c r="R606" s="1834"/>
      <c r="T606" s="101" t="s">
        <v>189</v>
      </c>
      <c r="U606" s="16" t="s">
        <v>92</v>
      </c>
      <c r="Z606" s="1834">
        <f>C569</f>
        <v>0</v>
      </c>
      <c r="AA606" s="1834"/>
      <c r="AB606" s="1834"/>
      <c r="AC606" s="1834"/>
      <c r="AD606" s="1834"/>
      <c r="AE606" s="1834"/>
      <c r="AF606" s="1834"/>
      <c r="AG606" s="1834"/>
      <c r="AH606" s="1834"/>
      <c r="AI606" s="1834"/>
      <c r="AJ606" s="1834"/>
      <c r="AK606" s="1834"/>
      <c r="AZ606" s="8" t="s">
        <v>846</v>
      </c>
      <c r="BA606" s="72"/>
      <c r="BB606" s="72"/>
      <c r="BC606" s="72"/>
      <c r="BD606" s="72"/>
      <c r="BE606" s="1806">
        <f t="shared" si="8"/>
        <v>1</v>
      </c>
      <c r="BF606" s="1807"/>
      <c r="BG606" s="1802">
        <f t="shared" si="6"/>
        <v>11</v>
      </c>
      <c r="BH606" s="1805"/>
      <c r="BI606" s="1806">
        <f t="shared" si="9"/>
        <v>0</v>
      </c>
      <c r="BJ606" s="1807"/>
      <c r="BK606" s="1802">
        <f t="shared" si="7"/>
        <v>0</v>
      </c>
      <c r="BL606" s="1805"/>
      <c r="BN606" s="1802">
        <f t="shared" si="0"/>
        <v>0</v>
      </c>
      <c r="BO606" s="1803"/>
      <c r="BP606" s="1803"/>
      <c r="BQ606" s="1803"/>
      <c r="BR606" s="1804"/>
      <c r="BS606" s="1802">
        <f t="shared" si="1"/>
        <v>1</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8">
        <f t="shared" si="10"/>
        <v>0</v>
      </c>
      <c r="CT606" s="2129"/>
      <c r="CU606" s="2129"/>
      <c r="CV606" s="2129"/>
      <c r="CW606" s="2130"/>
      <c r="CX606" s="2128">
        <f t="shared" si="11"/>
        <v>0</v>
      </c>
      <c r="CY606" s="2129"/>
      <c r="CZ606" s="2129"/>
      <c r="DA606" s="2129"/>
      <c r="DB606" s="2130"/>
      <c r="DC606" s="2128">
        <f t="shared" si="12"/>
        <v>0</v>
      </c>
      <c r="DD606" s="2129"/>
      <c r="DE606" s="2129"/>
      <c r="DF606" s="2129"/>
      <c r="DG606" s="2130"/>
      <c r="DH606" s="2128">
        <f t="shared" si="13"/>
        <v>0</v>
      </c>
      <c r="DI606" s="2129"/>
      <c r="DJ606" s="2129"/>
      <c r="DK606" s="2129"/>
      <c r="DL606" s="2130"/>
      <c r="DM606" s="2128">
        <f t="shared" si="14"/>
        <v>0</v>
      </c>
      <c r="DN606" s="2129"/>
      <c r="DO606" s="2129"/>
      <c r="DP606" s="2129"/>
      <c r="DQ606" s="2130"/>
      <c r="DR606" s="2128">
        <f t="shared" si="15"/>
        <v>0</v>
      </c>
      <c r="DS606" s="2129"/>
      <c r="DT606" s="2129"/>
      <c r="DU606" s="2129"/>
      <c r="DV606" s="2130"/>
    </row>
    <row r="607" spans="1:126" ht="12.75">
      <c r="A607" s="46"/>
      <c r="B607" s="16" t="s">
        <v>412</v>
      </c>
      <c r="G607" s="1672"/>
      <c r="H607" s="1672"/>
      <c r="I607" s="1672"/>
      <c r="J607" s="1672"/>
      <c r="K607" s="1672"/>
      <c r="L607" s="1672"/>
      <c r="M607" s="1672"/>
      <c r="N607" s="1672"/>
      <c r="O607" s="1672"/>
      <c r="P607" s="1672"/>
      <c r="Q607" s="1672"/>
      <c r="R607" s="1672"/>
      <c r="T607" s="46"/>
      <c r="U607" s="16" t="s">
        <v>412</v>
      </c>
      <c r="Z607" s="1672"/>
      <c r="AA607" s="1672"/>
      <c r="AB607" s="1672"/>
      <c r="AC607" s="1672"/>
      <c r="AD607" s="1672"/>
      <c r="AE607" s="1672"/>
      <c r="AF607" s="1672"/>
      <c r="AG607" s="1672"/>
      <c r="AH607" s="1672"/>
      <c r="AI607" s="1672"/>
      <c r="AJ607" s="1672"/>
      <c r="AK607" s="1672"/>
      <c r="AZ607" s="8" t="s">
        <v>381</v>
      </c>
      <c r="BA607" s="72"/>
      <c r="BB607" s="72"/>
      <c r="BC607" s="72"/>
      <c r="BD607" s="72"/>
      <c r="BE607" s="1806">
        <f t="shared" si="8"/>
        <v>0</v>
      </c>
      <c r="BF607" s="1807"/>
      <c r="BG607" s="1802">
        <f t="shared" si="6"/>
        <v>0</v>
      </c>
      <c r="BH607" s="1805"/>
      <c r="BI607" s="1806">
        <f t="shared" si="9"/>
        <v>1</v>
      </c>
      <c r="BJ607" s="1807"/>
      <c r="BK607" s="1802">
        <f t="shared" si="7"/>
        <v>1</v>
      </c>
      <c r="BL607" s="1805"/>
      <c r="BN607" s="1802">
        <f t="shared" si="0"/>
        <v>0</v>
      </c>
      <c r="BO607" s="1803"/>
      <c r="BP607" s="1803"/>
      <c r="BQ607" s="1803"/>
      <c r="BR607" s="1804"/>
      <c r="BS607" s="1802">
        <f t="shared" si="1"/>
        <v>2</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8">
        <f t="shared" si="10"/>
        <v>0</v>
      </c>
      <c r="CT607" s="2129"/>
      <c r="CU607" s="2129"/>
      <c r="CV607" s="2129"/>
      <c r="CW607" s="2130"/>
      <c r="CX607" s="2128">
        <f t="shared" si="11"/>
        <v>1</v>
      </c>
      <c r="CY607" s="2129"/>
      <c r="CZ607" s="2129"/>
      <c r="DA607" s="2129"/>
      <c r="DB607" s="2130"/>
      <c r="DC607" s="2128">
        <f t="shared" si="12"/>
        <v>0</v>
      </c>
      <c r="DD607" s="2129"/>
      <c r="DE607" s="2129"/>
      <c r="DF607" s="2129"/>
      <c r="DG607" s="2130"/>
      <c r="DH607" s="2128">
        <f t="shared" si="13"/>
        <v>0</v>
      </c>
      <c r="DI607" s="2129"/>
      <c r="DJ607" s="2129"/>
      <c r="DK607" s="2129"/>
      <c r="DL607" s="2130"/>
      <c r="DM607" s="2128">
        <f t="shared" si="14"/>
        <v>0</v>
      </c>
      <c r="DN607" s="2129"/>
      <c r="DO607" s="2129"/>
      <c r="DP607" s="2129"/>
      <c r="DQ607" s="2130"/>
      <c r="DR607" s="2128">
        <f t="shared" si="15"/>
        <v>0</v>
      </c>
      <c r="DS607" s="2129"/>
      <c r="DT607" s="2129"/>
      <c r="DU607" s="2129"/>
      <c r="DV607" s="2130"/>
    </row>
    <row r="608" spans="1:126" ht="12.75">
      <c r="A608" s="46"/>
      <c r="B608" s="16" t="s">
        <v>475</v>
      </c>
      <c r="G608" s="1672"/>
      <c r="H608" s="1672"/>
      <c r="I608" s="1672"/>
      <c r="J608" s="1672"/>
      <c r="K608" s="1672"/>
      <c r="L608" s="1672"/>
      <c r="M608" s="1672"/>
      <c r="N608" s="1672"/>
      <c r="O608" s="1672"/>
      <c r="P608" s="1672"/>
      <c r="Q608" s="1672"/>
      <c r="R608" s="1672"/>
      <c r="T608" s="46"/>
      <c r="U608" s="16" t="s">
        <v>475</v>
      </c>
      <c r="Z608" s="1666"/>
      <c r="AA608" s="1666"/>
      <c r="AB608" s="1666"/>
      <c r="AC608" s="1666"/>
      <c r="AD608" s="1666"/>
      <c r="AE608" s="1666"/>
      <c r="AF608" s="1666"/>
      <c r="AG608" s="1666"/>
      <c r="AH608" s="1666"/>
      <c r="AI608" s="1666"/>
      <c r="AJ608" s="1666"/>
      <c r="AK608" s="1666"/>
      <c r="AZ608" s="72"/>
      <c r="BA608" s="72"/>
      <c r="BB608" s="72"/>
      <c r="BC608" s="72"/>
      <c r="BD608" s="72"/>
      <c r="BE608" s="1806">
        <f t="shared" si="8"/>
        <v>1</v>
      </c>
      <c r="BF608" s="1807"/>
      <c r="BG608" s="1802">
        <f t="shared" si="6"/>
        <v>2</v>
      </c>
      <c r="BH608" s="1805"/>
      <c r="BI608" s="1806">
        <f t="shared" si="9"/>
        <v>0</v>
      </c>
      <c r="BJ608" s="1807"/>
      <c r="BK608" s="1802">
        <f t="shared" si="7"/>
        <v>0</v>
      </c>
      <c r="BL608" s="1805"/>
      <c r="BN608" s="1802">
        <f t="shared" si="0"/>
        <v>0</v>
      </c>
      <c r="BO608" s="1803"/>
      <c r="BP608" s="1803"/>
      <c r="BQ608" s="1803"/>
      <c r="BR608" s="1804"/>
      <c r="BS608" s="1802">
        <f t="shared" si="1"/>
        <v>2</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8">
        <f t="shared" si="10"/>
        <v>0</v>
      </c>
      <c r="CT608" s="2129"/>
      <c r="CU608" s="2129"/>
      <c r="CV608" s="2129"/>
      <c r="CW608" s="2130"/>
      <c r="CX608" s="2128">
        <f t="shared" si="11"/>
        <v>0</v>
      </c>
      <c r="CY608" s="2129"/>
      <c r="CZ608" s="2129"/>
      <c r="DA608" s="2129"/>
      <c r="DB608" s="2130"/>
      <c r="DC608" s="2128">
        <f t="shared" si="12"/>
        <v>0</v>
      </c>
      <c r="DD608" s="2129"/>
      <c r="DE608" s="2129"/>
      <c r="DF608" s="2129"/>
      <c r="DG608" s="2130"/>
      <c r="DH608" s="2128">
        <f t="shared" si="13"/>
        <v>0</v>
      </c>
      <c r="DI608" s="2129"/>
      <c r="DJ608" s="2129"/>
      <c r="DK608" s="2129"/>
      <c r="DL608" s="2130"/>
      <c r="DM608" s="2128">
        <f t="shared" si="14"/>
        <v>0</v>
      </c>
      <c r="DN608" s="2129"/>
      <c r="DO608" s="2129"/>
      <c r="DP608" s="2129"/>
      <c r="DQ608" s="2130"/>
      <c r="DR608" s="2128">
        <f t="shared" si="15"/>
        <v>0</v>
      </c>
      <c r="DS608" s="2129"/>
      <c r="DT608" s="2129"/>
      <c r="DU608" s="2129"/>
      <c r="DV608" s="2130"/>
    </row>
    <row r="609" spans="1:126" ht="12.75">
      <c r="A609" s="46"/>
      <c r="B609" s="16" t="s">
        <v>906</v>
      </c>
      <c r="G609" s="1672"/>
      <c r="H609" s="1672"/>
      <c r="I609" s="1672"/>
      <c r="J609" s="1672"/>
      <c r="K609" s="1672"/>
      <c r="L609" s="1672"/>
      <c r="M609" s="1672"/>
      <c r="N609" s="1672"/>
      <c r="O609" s="1672"/>
      <c r="P609" s="1672"/>
      <c r="Q609" s="1672"/>
      <c r="R609" s="1672"/>
      <c r="T609" s="46"/>
      <c r="U609" s="16" t="s">
        <v>906</v>
      </c>
      <c r="Z609" s="1666"/>
      <c r="AA609" s="1666"/>
      <c r="AB609" s="1666"/>
      <c r="AC609" s="1666"/>
      <c r="AD609" s="1666"/>
      <c r="AE609" s="1666"/>
      <c r="AF609" s="1666"/>
      <c r="AG609" s="1666"/>
      <c r="AH609" s="1666"/>
      <c r="AI609" s="1666"/>
      <c r="AJ609" s="1666"/>
      <c r="AK609" s="1666"/>
      <c r="AZ609" s="72"/>
      <c r="BA609" s="72"/>
      <c r="BB609" s="72"/>
      <c r="BC609" s="72"/>
      <c r="BD609" s="72"/>
      <c r="BE609" s="1806">
        <f t="shared" si="8"/>
        <v>1</v>
      </c>
      <c r="BF609" s="1807"/>
      <c r="BG609" s="1802">
        <f t="shared" si="6"/>
        <v>2</v>
      </c>
      <c r="BH609" s="1805"/>
      <c r="BI609" s="1806">
        <f t="shared" si="9"/>
        <v>0</v>
      </c>
      <c r="BJ609" s="1807"/>
      <c r="BK609" s="1802">
        <f t="shared" si="7"/>
        <v>0</v>
      </c>
      <c r="BL609" s="1805"/>
      <c r="BN609" s="1802">
        <f t="shared" si="0"/>
        <v>0</v>
      </c>
      <c r="BO609" s="1803"/>
      <c r="BP609" s="1803"/>
      <c r="BQ609" s="1803"/>
      <c r="BR609" s="1804"/>
      <c r="BS609" s="1802">
        <f t="shared" si="1"/>
        <v>3</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8">
        <f t="shared" si="10"/>
        <v>0</v>
      </c>
      <c r="CT609" s="2129"/>
      <c r="CU609" s="2129"/>
      <c r="CV609" s="2129"/>
      <c r="CW609" s="2130"/>
      <c r="CX609" s="2128">
        <f t="shared" si="11"/>
        <v>0</v>
      </c>
      <c r="CY609" s="2129"/>
      <c r="CZ609" s="2129"/>
      <c r="DA609" s="2129"/>
      <c r="DB609" s="2130"/>
      <c r="DC609" s="2128">
        <f t="shared" si="12"/>
        <v>0</v>
      </c>
      <c r="DD609" s="2129"/>
      <c r="DE609" s="2129"/>
      <c r="DF609" s="2129"/>
      <c r="DG609" s="2130"/>
      <c r="DH609" s="2128">
        <f t="shared" si="13"/>
        <v>0</v>
      </c>
      <c r="DI609" s="2129"/>
      <c r="DJ609" s="2129"/>
      <c r="DK609" s="2129"/>
      <c r="DL609" s="2130"/>
      <c r="DM609" s="2128">
        <f t="shared" si="14"/>
        <v>0</v>
      </c>
      <c r="DN609" s="2129"/>
      <c r="DO609" s="2129"/>
      <c r="DP609" s="2129"/>
      <c r="DQ609" s="2130"/>
      <c r="DR609" s="2128">
        <f t="shared" si="15"/>
        <v>0</v>
      </c>
      <c r="DS609" s="2129"/>
      <c r="DT609" s="2129"/>
      <c r="DU609" s="2129"/>
      <c r="DV609" s="2130"/>
    </row>
    <row r="610" spans="1:126" ht="12.75">
      <c r="A610" s="46"/>
      <c r="B610" s="16" t="s">
        <v>711</v>
      </c>
      <c r="G610" s="1669"/>
      <c r="H610" s="1669"/>
      <c r="I610" s="1669"/>
      <c r="J610" s="1669"/>
      <c r="K610" s="1669"/>
      <c r="L610" s="1669"/>
      <c r="O610" s="149" t="s">
        <v>891</v>
      </c>
      <c r="P610" s="1676"/>
      <c r="Q610" s="1676"/>
      <c r="R610" s="1676"/>
      <c r="T610" s="46"/>
      <c r="U610" s="16" t="s">
        <v>711</v>
      </c>
      <c r="Z610" s="1669"/>
      <c r="AA610" s="1669"/>
      <c r="AB610" s="1669"/>
      <c r="AC610" s="1669"/>
      <c r="AD610" s="1669"/>
      <c r="AE610" s="1669"/>
      <c r="AH610" s="149" t="s">
        <v>891</v>
      </c>
      <c r="AI610" s="1676"/>
      <c r="AJ610" s="1676"/>
      <c r="AK610" s="1676"/>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1</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28">
        <f t="shared" si="10"/>
        <v>0</v>
      </c>
      <c r="CT610" s="2129"/>
      <c r="CU610" s="2129"/>
      <c r="CV610" s="2129"/>
      <c r="CW610" s="2130"/>
      <c r="CX610" s="2128">
        <f t="shared" si="11"/>
        <v>0</v>
      </c>
      <c r="CY610" s="2129"/>
      <c r="CZ610" s="2129"/>
      <c r="DA610" s="2129"/>
      <c r="DB610" s="2130"/>
      <c r="DC610" s="2128">
        <f t="shared" si="12"/>
        <v>0</v>
      </c>
      <c r="DD610" s="2129"/>
      <c r="DE610" s="2129"/>
      <c r="DF610" s="2129"/>
      <c r="DG610" s="2130"/>
      <c r="DH610" s="2128">
        <f t="shared" si="13"/>
        <v>0</v>
      </c>
      <c r="DI610" s="2129"/>
      <c r="DJ610" s="2129"/>
      <c r="DK610" s="2129"/>
      <c r="DL610" s="2130"/>
      <c r="DM610" s="2128">
        <f t="shared" si="14"/>
        <v>0</v>
      </c>
      <c r="DN610" s="2129"/>
      <c r="DO610" s="2129"/>
      <c r="DP610" s="2129"/>
      <c r="DQ610" s="2130"/>
      <c r="DR610" s="2128">
        <f t="shared" si="15"/>
        <v>0</v>
      </c>
      <c r="DS610" s="2129"/>
      <c r="DT610" s="2129"/>
      <c r="DU610" s="2129"/>
      <c r="DV610" s="2130"/>
    </row>
    <row r="611" spans="1:126" s="8" customFormat="1" ht="12.75">
      <c r="A611" s="46"/>
      <c r="B611" s="16" t="s">
        <v>907</v>
      </c>
      <c r="C611" s="16"/>
      <c r="D611" s="16"/>
      <c r="E611" s="16"/>
      <c r="F611" s="16"/>
      <c r="G611" s="16"/>
      <c r="H611" s="1672"/>
      <c r="I611" s="1672"/>
      <c r="J611" s="1672"/>
      <c r="K611" s="1672"/>
      <c r="L611" s="1672"/>
      <c r="M611" s="1672"/>
      <c r="N611" s="1672"/>
      <c r="O611" s="1672"/>
      <c r="P611" s="1672"/>
      <c r="Q611" s="1672"/>
      <c r="R611" s="1672"/>
      <c r="S611" s="16"/>
      <c r="T611" s="46"/>
      <c r="U611" s="16" t="s">
        <v>907</v>
      </c>
      <c r="V611" s="16"/>
      <c r="W611" s="16"/>
      <c r="X611" s="16"/>
      <c r="Y611" s="16"/>
      <c r="Z611" s="16"/>
      <c r="AA611" s="1672"/>
      <c r="AB611" s="1672"/>
      <c r="AC611" s="1672"/>
      <c r="AD611" s="1672"/>
      <c r="AE611" s="1672"/>
      <c r="AF611" s="1672"/>
      <c r="AG611" s="1672"/>
      <c r="AH611" s="1672"/>
      <c r="AI611" s="1672"/>
      <c r="AJ611" s="1672"/>
      <c r="AK611" s="1672"/>
      <c r="AL611" s="16"/>
      <c r="AZ611" s="72"/>
      <c r="BA611" s="72"/>
      <c r="BB611" s="72"/>
      <c r="BC611" s="72"/>
      <c r="BD611" s="72"/>
      <c r="BE611" s="1806">
        <f t="shared" si="8"/>
        <v>0</v>
      </c>
      <c r="BF611" s="1807"/>
      <c r="BG611" s="1802">
        <f t="shared" si="6"/>
        <v>0</v>
      </c>
      <c r="BH611" s="1805"/>
      <c r="BI611" s="1806">
        <f t="shared" si="9"/>
        <v>1</v>
      </c>
      <c r="BJ611" s="1807"/>
      <c r="BK611" s="1802">
        <f t="shared" si="7"/>
        <v>1</v>
      </c>
      <c r="BL611" s="1805"/>
      <c r="BN611" s="1802">
        <f t="shared" si="0"/>
        <v>0</v>
      </c>
      <c r="BO611" s="1803"/>
      <c r="BP611" s="1803"/>
      <c r="BQ611" s="1803"/>
      <c r="BR611" s="1804"/>
      <c r="BS611" s="1802">
        <f t="shared" si="1"/>
        <v>0</v>
      </c>
      <c r="BT611" s="1803"/>
      <c r="BU611" s="1803"/>
      <c r="BV611" s="1803"/>
      <c r="BW611" s="1805"/>
      <c r="BX611" s="1802">
        <f t="shared" si="2"/>
        <v>1</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28">
        <f t="shared" si="10"/>
        <v>0</v>
      </c>
      <c r="CT611" s="2129"/>
      <c r="CU611" s="2129"/>
      <c r="CV611" s="2129"/>
      <c r="CW611" s="2130"/>
      <c r="CX611" s="2128">
        <f t="shared" si="11"/>
        <v>0</v>
      </c>
      <c r="CY611" s="2129"/>
      <c r="CZ611" s="2129"/>
      <c r="DA611" s="2129"/>
      <c r="DB611" s="2130"/>
      <c r="DC611" s="2128">
        <f t="shared" si="12"/>
        <v>1</v>
      </c>
      <c r="DD611" s="2129"/>
      <c r="DE611" s="2129"/>
      <c r="DF611" s="2129"/>
      <c r="DG611" s="2130"/>
      <c r="DH611" s="2128">
        <f t="shared" si="13"/>
        <v>0</v>
      </c>
      <c r="DI611" s="2129"/>
      <c r="DJ611" s="2129"/>
      <c r="DK611" s="2129"/>
      <c r="DL611" s="2130"/>
      <c r="DM611" s="2128">
        <f t="shared" si="14"/>
        <v>0</v>
      </c>
      <c r="DN611" s="2129"/>
      <c r="DO611" s="2129"/>
      <c r="DP611" s="2129"/>
      <c r="DQ611" s="2130"/>
      <c r="DR611" s="2128">
        <f t="shared" si="15"/>
        <v>0</v>
      </c>
      <c r="DS611" s="2129"/>
      <c r="DT611" s="2129"/>
      <c r="DU611" s="2129"/>
      <c r="DV611" s="2130"/>
    </row>
    <row r="612" spans="1:126" s="8" customFormat="1" ht="12.75">
      <c r="A612" s="46"/>
      <c r="B612" s="16" t="s">
        <v>909</v>
      </c>
      <c r="C612" s="16"/>
      <c r="D612" s="16"/>
      <c r="E612" s="16"/>
      <c r="F612" s="16"/>
      <c r="G612" s="16"/>
      <c r="H612" s="16"/>
      <c r="I612" s="16"/>
      <c r="J612" s="16"/>
      <c r="K612" s="16"/>
      <c r="L612" s="16"/>
      <c r="M612" s="16"/>
      <c r="N612" s="1725" t="s">
        <v>527</v>
      </c>
      <c r="O612" s="1725"/>
      <c r="P612" s="16"/>
      <c r="Q612" s="16"/>
      <c r="R612" s="16"/>
      <c r="S612" s="16"/>
      <c r="T612" s="46"/>
      <c r="U612" s="16" t="s">
        <v>909</v>
      </c>
      <c r="V612" s="16"/>
      <c r="W612" s="16"/>
      <c r="X612" s="16"/>
      <c r="Y612" s="16"/>
      <c r="Z612" s="16"/>
      <c r="AA612" s="16"/>
      <c r="AB612" s="16"/>
      <c r="AC612" s="16"/>
      <c r="AD612" s="16"/>
      <c r="AE612" s="16"/>
      <c r="AF612" s="16"/>
      <c r="AG612" s="1725" t="s">
        <v>527</v>
      </c>
      <c r="AH612" s="1725"/>
      <c r="AI612" s="16"/>
      <c r="AJ612" s="16"/>
      <c r="AK612" s="16"/>
      <c r="AL612" s="16"/>
      <c r="AZ612" s="72"/>
      <c r="BA612" s="72"/>
      <c r="BB612" s="72"/>
      <c r="BC612" s="72"/>
      <c r="BD612" s="72"/>
      <c r="BE612" s="1806">
        <f t="shared" si="8"/>
        <v>1</v>
      </c>
      <c r="BF612" s="1807"/>
      <c r="BG612" s="1802">
        <f t="shared" si="6"/>
        <v>1</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2</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28">
        <f t="shared" si="10"/>
        <v>0</v>
      </c>
      <c r="CT612" s="2129"/>
      <c r="CU612" s="2129"/>
      <c r="CV612" s="2129"/>
      <c r="CW612" s="2130"/>
      <c r="CX612" s="2128">
        <f t="shared" si="11"/>
        <v>0</v>
      </c>
      <c r="CY612" s="2129"/>
      <c r="CZ612" s="2129"/>
      <c r="DA612" s="2129"/>
      <c r="DB612" s="2130"/>
      <c r="DC612" s="2128">
        <f t="shared" si="12"/>
        <v>0</v>
      </c>
      <c r="DD612" s="2129"/>
      <c r="DE612" s="2129"/>
      <c r="DF612" s="2129"/>
      <c r="DG612" s="2130"/>
      <c r="DH612" s="2128">
        <f t="shared" si="13"/>
        <v>0</v>
      </c>
      <c r="DI612" s="2129"/>
      <c r="DJ612" s="2129"/>
      <c r="DK612" s="2129"/>
      <c r="DL612" s="2130"/>
      <c r="DM612" s="2128">
        <f t="shared" si="14"/>
        <v>0</v>
      </c>
      <c r="DN612" s="2129"/>
      <c r="DO612" s="2129"/>
      <c r="DP612" s="2129"/>
      <c r="DQ612" s="2130"/>
      <c r="DR612" s="2128">
        <f t="shared" si="15"/>
        <v>0</v>
      </c>
      <c r="DS612" s="2129"/>
      <c r="DT612" s="2129"/>
      <c r="DU612" s="2129"/>
      <c r="DV612" s="213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8">
        <f t="shared" si="10"/>
        <v>0</v>
      </c>
      <c r="CT613" s="2129"/>
      <c r="CU613" s="2129"/>
      <c r="CV613" s="2129"/>
      <c r="CW613" s="2130"/>
      <c r="CX613" s="2128">
        <f t="shared" si="11"/>
        <v>0</v>
      </c>
      <c r="CY613" s="2129"/>
      <c r="CZ613" s="2129"/>
      <c r="DA613" s="2129"/>
      <c r="DB613" s="2130"/>
      <c r="DC613" s="2128">
        <f t="shared" si="12"/>
        <v>0</v>
      </c>
      <c r="DD613" s="2129"/>
      <c r="DE613" s="2129"/>
      <c r="DF613" s="2129"/>
      <c r="DG613" s="2130"/>
      <c r="DH613" s="2128">
        <f t="shared" si="13"/>
        <v>0</v>
      </c>
      <c r="DI613" s="2129"/>
      <c r="DJ613" s="2129"/>
      <c r="DK613" s="2129"/>
      <c r="DL613" s="2130"/>
      <c r="DM613" s="2128">
        <f t="shared" si="14"/>
        <v>0</v>
      </c>
      <c r="DN613" s="2129"/>
      <c r="DO613" s="2129"/>
      <c r="DP613" s="2129"/>
      <c r="DQ613" s="2130"/>
      <c r="DR613" s="2128">
        <f t="shared" si="15"/>
        <v>0</v>
      </c>
      <c r="DS613" s="2129"/>
      <c r="DT613" s="2129"/>
      <c r="DU613" s="2129"/>
      <c r="DV613" s="2130"/>
    </row>
    <row r="614" spans="1:126" ht="12.75">
      <c r="A614" s="101" t="s">
        <v>37</v>
      </c>
      <c r="B614" s="16" t="s">
        <v>92</v>
      </c>
      <c r="G614" s="1834">
        <f>C570</f>
        <v>0</v>
      </c>
      <c r="H614" s="1834"/>
      <c r="I614" s="1834"/>
      <c r="J614" s="1834"/>
      <c r="K614" s="1834"/>
      <c r="L614" s="1834"/>
      <c r="M614" s="1834"/>
      <c r="N614" s="1834"/>
      <c r="O614" s="1834"/>
      <c r="P614" s="1834"/>
      <c r="Q614" s="1834"/>
      <c r="R614" s="1834"/>
      <c r="T614" s="101" t="s">
        <v>38</v>
      </c>
      <c r="U614" s="16" t="s">
        <v>92</v>
      </c>
      <c r="Z614" s="1834">
        <f>C571</f>
        <v>0</v>
      </c>
      <c r="AA614" s="1834"/>
      <c r="AB614" s="1834"/>
      <c r="AC614" s="1834"/>
      <c r="AD614" s="1834"/>
      <c r="AE614" s="1834"/>
      <c r="AF614" s="1834"/>
      <c r="AG614" s="1834"/>
      <c r="AH614" s="1834"/>
      <c r="AI614" s="1834"/>
      <c r="AJ614" s="1834"/>
      <c r="AK614" s="1834"/>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8">
        <f t="shared" si="10"/>
        <v>0</v>
      </c>
      <c r="CT614" s="2129"/>
      <c r="CU614" s="2129"/>
      <c r="CV614" s="2129"/>
      <c r="CW614" s="2130"/>
      <c r="CX614" s="2128">
        <f t="shared" si="11"/>
        <v>0</v>
      </c>
      <c r="CY614" s="2129"/>
      <c r="CZ614" s="2129"/>
      <c r="DA614" s="2129"/>
      <c r="DB614" s="2130"/>
      <c r="DC614" s="2128">
        <f t="shared" si="12"/>
        <v>0</v>
      </c>
      <c r="DD614" s="2129"/>
      <c r="DE614" s="2129"/>
      <c r="DF614" s="2129"/>
      <c r="DG614" s="2130"/>
      <c r="DH614" s="2128">
        <f t="shared" si="13"/>
        <v>0</v>
      </c>
      <c r="DI614" s="2129"/>
      <c r="DJ614" s="2129"/>
      <c r="DK614" s="2129"/>
      <c r="DL614" s="2130"/>
      <c r="DM614" s="2128">
        <f t="shared" si="14"/>
        <v>0</v>
      </c>
      <c r="DN614" s="2129"/>
      <c r="DO614" s="2129"/>
      <c r="DP614" s="2129"/>
      <c r="DQ614" s="2130"/>
      <c r="DR614" s="2128">
        <f t="shared" si="15"/>
        <v>0</v>
      </c>
      <c r="DS614" s="2129"/>
      <c r="DT614" s="2129"/>
      <c r="DU614" s="2129"/>
      <c r="DV614" s="2130"/>
    </row>
    <row r="615" spans="1:126" ht="12.75">
      <c r="B615" s="16" t="s">
        <v>412</v>
      </c>
      <c r="G615" s="1672"/>
      <c r="H615" s="1672"/>
      <c r="I615" s="1672"/>
      <c r="J615" s="1672"/>
      <c r="K615" s="1672"/>
      <c r="L615" s="1672"/>
      <c r="M615" s="1672"/>
      <c r="N615" s="1672"/>
      <c r="O615" s="1672"/>
      <c r="P615" s="1672"/>
      <c r="Q615" s="1672"/>
      <c r="R615" s="1672"/>
      <c r="U615" s="16" t="s">
        <v>412</v>
      </c>
      <c r="Z615" s="1672"/>
      <c r="AA615" s="1672"/>
      <c r="AB615" s="1672"/>
      <c r="AC615" s="1672"/>
      <c r="AD615" s="1672"/>
      <c r="AE615" s="1672"/>
      <c r="AF615" s="1672"/>
      <c r="AG615" s="1672"/>
      <c r="AH615" s="1672"/>
      <c r="AI615" s="1672"/>
      <c r="AJ615" s="1672"/>
      <c r="AK615" s="1672"/>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8">
        <f t="shared" si="10"/>
        <v>0</v>
      </c>
      <c r="CT615" s="2129"/>
      <c r="CU615" s="2129"/>
      <c r="CV615" s="2129"/>
      <c r="CW615" s="2130"/>
      <c r="CX615" s="2128">
        <f t="shared" si="11"/>
        <v>0</v>
      </c>
      <c r="CY615" s="2129"/>
      <c r="CZ615" s="2129"/>
      <c r="DA615" s="2129"/>
      <c r="DB615" s="2130"/>
      <c r="DC615" s="2128">
        <f t="shared" si="12"/>
        <v>0</v>
      </c>
      <c r="DD615" s="2129"/>
      <c r="DE615" s="2129"/>
      <c r="DF615" s="2129"/>
      <c r="DG615" s="2130"/>
      <c r="DH615" s="2128">
        <f t="shared" si="13"/>
        <v>0</v>
      </c>
      <c r="DI615" s="2129"/>
      <c r="DJ615" s="2129"/>
      <c r="DK615" s="2129"/>
      <c r="DL615" s="2130"/>
      <c r="DM615" s="2128">
        <f t="shared" si="14"/>
        <v>0</v>
      </c>
      <c r="DN615" s="2129"/>
      <c r="DO615" s="2129"/>
      <c r="DP615" s="2129"/>
      <c r="DQ615" s="2130"/>
      <c r="DR615" s="2128">
        <f t="shared" si="15"/>
        <v>0</v>
      </c>
      <c r="DS615" s="2129"/>
      <c r="DT615" s="2129"/>
      <c r="DU615" s="2129"/>
      <c r="DV615" s="2130"/>
    </row>
    <row r="616" spans="1:126" ht="12.75">
      <c r="B616" s="16" t="s">
        <v>475</v>
      </c>
      <c r="G616" s="1672"/>
      <c r="H616" s="1672"/>
      <c r="I616" s="1672"/>
      <c r="J616" s="1672"/>
      <c r="K616" s="1672"/>
      <c r="L616" s="1672"/>
      <c r="M616" s="1672"/>
      <c r="N616" s="1672"/>
      <c r="O616" s="1672"/>
      <c r="P616" s="1672"/>
      <c r="Q616" s="1672"/>
      <c r="R616" s="1672"/>
      <c r="U616" s="16" t="s">
        <v>475</v>
      </c>
      <c r="Z616" s="1666"/>
      <c r="AA616" s="1666"/>
      <c r="AB616" s="1666"/>
      <c r="AC616" s="1666"/>
      <c r="AD616" s="1666"/>
      <c r="AE616" s="1666"/>
      <c r="AF616" s="1666"/>
      <c r="AG616" s="1666"/>
      <c r="AH616" s="1666"/>
      <c r="AI616" s="1666"/>
      <c r="AJ616" s="1666"/>
      <c r="AK616" s="1666"/>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8">
        <f t="shared" si="10"/>
        <v>0</v>
      </c>
      <c r="CT616" s="2129"/>
      <c r="CU616" s="2129"/>
      <c r="CV616" s="2129"/>
      <c r="CW616" s="2130"/>
      <c r="CX616" s="2128">
        <f t="shared" si="11"/>
        <v>0</v>
      </c>
      <c r="CY616" s="2129"/>
      <c r="CZ616" s="2129"/>
      <c r="DA616" s="2129"/>
      <c r="DB616" s="2130"/>
      <c r="DC616" s="2128">
        <f t="shared" si="12"/>
        <v>0</v>
      </c>
      <c r="DD616" s="2129"/>
      <c r="DE616" s="2129"/>
      <c r="DF616" s="2129"/>
      <c r="DG616" s="2130"/>
      <c r="DH616" s="2128">
        <f t="shared" si="13"/>
        <v>0</v>
      </c>
      <c r="DI616" s="2129"/>
      <c r="DJ616" s="2129"/>
      <c r="DK616" s="2129"/>
      <c r="DL616" s="2130"/>
      <c r="DM616" s="2128">
        <f t="shared" si="14"/>
        <v>0</v>
      </c>
      <c r="DN616" s="2129"/>
      <c r="DO616" s="2129"/>
      <c r="DP616" s="2129"/>
      <c r="DQ616" s="2130"/>
      <c r="DR616" s="2128">
        <f t="shared" si="15"/>
        <v>0</v>
      </c>
      <c r="DS616" s="2129"/>
      <c r="DT616" s="2129"/>
      <c r="DU616" s="2129"/>
      <c r="DV616" s="2130"/>
    </row>
    <row r="617" spans="1:126" ht="12.75">
      <c r="B617" s="16" t="s">
        <v>906</v>
      </c>
      <c r="G617" s="1672"/>
      <c r="H617" s="1672"/>
      <c r="I617" s="1672"/>
      <c r="J617" s="1672"/>
      <c r="K617" s="1672"/>
      <c r="L617" s="1672"/>
      <c r="M617" s="1672"/>
      <c r="N617" s="1672"/>
      <c r="O617" s="1672"/>
      <c r="P617" s="1672"/>
      <c r="Q617" s="1672"/>
      <c r="R617" s="1672"/>
      <c r="U617" s="16" t="s">
        <v>906</v>
      </c>
      <c r="Z617" s="1666"/>
      <c r="AA617" s="1666"/>
      <c r="AB617" s="1666"/>
      <c r="AC617" s="1666"/>
      <c r="AD617" s="1666"/>
      <c r="AE617" s="1666"/>
      <c r="AF617" s="1666"/>
      <c r="AG617" s="1666"/>
      <c r="AH617" s="1666"/>
      <c r="AI617" s="1666"/>
      <c r="AJ617" s="1666"/>
      <c r="AK617" s="1666"/>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8">
        <f t="shared" si="10"/>
        <v>0</v>
      </c>
      <c r="CT617" s="2129"/>
      <c r="CU617" s="2129"/>
      <c r="CV617" s="2129"/>
      <c r="CW617" s="2130"/>
      <c r="CX617" s="2128">
        <f t="shared" si="11"/>
        <v>0</v>
      </c>
      <c r="CY617" s="2129"/>
      <c r="CZ617" s="2129"/>
      <c r="DA617" s="2129"/>
      <c r="DB617" s="2130"/>
      <c r="DC617" s="2128">
        <f t="shared" si="12"/>
        <v>0</v>
      </c>
      <c r="DD617" s="2129"/>
      <c r="DE617" s="2129"/>
      <c r="DF617" s="2129"/>
      <c r="DG617" s="2130"/>
      <c r="DH617" s="2128">
        <f t="shared" si="13"/>
        <v>0</v>
      </c>
      <c r="DI617" s="2129"/>
      <c r="DJ617" s="2129"/>
      <c r="DK617" s="2129"/>
      <c r="DL617" s="2130"/>
      <c r="DM617" s="2128">
        <f t="shared" si="14"/>
        <v>0</v>
      </c>
      <c r="DN617" s="2129"/>
      <c r="DO617" s="2129"/>
      <c r="DP617" s="2129"/>
      <c r="DQ617" s="2130"/>
      <c r="DR617" s="2128">
        <f t="shared" si="15"/>
        <v>0</v>
      </c>
      <c r="DS617" s="2129"/>
      <c r="DT617" s="2129"/>
      <c r="DU617" s="2129"/>
      <c r="DV617" s="2130"/>
    </row>
    <row r="618" spans="1:126" ht="12.75">
      <c r="B618" s="16" t="s">
        <v>711</v>
      </c>
      <c r="G618" s="1669"/>
      <c r="H618" s="1669"/>
      <c r="I618" s="1669"/>
      <c r="J618" s="1669"/>
      <c r="K618" s="1669"/>
      <c r="L618" s="1669"/>
      <c r="O618" s="149" t="s">
        <v>891</v>
      </c>
      <c r="P618" s="1676"/>
      <c r="Q618" s="1676"/>
      <c r="R618" s="1676"/>
      <c r="U618" s="16" t="s">
        <v>711</v>
      </c>
      <c r="Z618" s="1669"/>
      <c r="AA618" s="1669"/>
      <c r="AB618" s="1669"/>
      <c r="AC618" s="1669"/>
      <c r="AD618" s="1669"/>
      <c r="AE618" s="1669"/>
      <c r="AH618" s="149" t="s">
        <v>891</v>
      </c>
      <c r="AI618" s="1676"/>
      <c r="AJ618" s="1676"/>
      <c r="AK618" s="1676"/>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8">
        <f t="shared" si="10"/>
        <v>0</v>
      </c>
      <c r="CT618" s="2129"/>
      <c r="CU618" s="2129"/>
      <c r="CV618" s="2129"/>
      <c r="CW618" s="2130"/>
      <c r="CX618" s="2128">
        <f t="shared" si="11"/>
        <v>0</v>
      </c>
      <c r="CY618" s="2129"/>
      <c r="CZ618" s="2129"/>
      <c r="DA618" s="2129"/>
      <c r="DB618" s="2130"/>
      <c r="DC618" s="2128">
        <f t="shared" si="12"/>
        <v>0</v>
      </c>
      <c r="DD618" s="2129"/>
      <c r="DE618" s="2129"/>
      <c r="DF618" s="2129"/>
      <c r="DG618" s="2130"/>
      <c r="DH618" s="2128">
        <f t="shared" si="13"/>
        <v>0</v>
      </c>
      <c r="DI618" s="2129"/>
      <c r="DJ618" s="2129"/>
      <c r="DK618" s="2129"/>
      <c r="DL618" s="2130"/>
      <c r="DM618" s="2128">
        <f t="shared" si="14"/>
        <v>0</v>
      </c>
      <c r="DN618" s="2129"/>
      <c r="DO618" s="2129"/>
      <c r="DP618" s="2129"/>
      <c r="DQ618" s="2130"/>
      <c r="DR618" s="2128">
        <f t="shared" si="15"/>
        <v>0</v>
      </c>
      <c r="DS618" s="2129"/>
      <c r="DT618" s="2129"/>
      <c r="DU618" s="2129"/>
      <c r="DV618" s="2130"/>
    </row>
    <row r="619" spans="1:126" ht="12.75">
      <c r="B619" s="16" t="s">
        <v>907</v>
      </c>
      <c r="H619" s="1672"/>
      <c r="I619" s="1672"/>
      <c r="J619" s="1672"/>
      <c r="K619" s="1672"/>
      <c r="L619" s="1672"/>
      <c r="M619" s="1672"/>
      <c r="N619" s="1672"/>
      <c r="O619" s="1672"/>
      <c r="P619" s="1672"/>
      <c r="Q619" s="1672"/>
      <c r="R619" s="1672"/>
      <c r="U619" s="16" t="s">
        <v>907</v>
      </c>
      <c r="AA619" s="1672"/>
      <c r="AB619" s="1672"/>
      <c r="AC619" s="1672"/>
      <c r="AD619" s="1672"/>
      <c r="AE619" s="1672"/>
      <c r="AF619" s="1672"/>
      <c r="AG619" s="1672"/>
      <c r="AH619" s="1672"/>
      <c r="AI619" s="1672"/>
      <c r="AJ619" s="1672"/>
      <c r="AK619" s="1672"/>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8">
        <f t="shared" si="10"/>
        <v>0</v>
      </c>
      <c r="CT619" s="2129"/>
      <c r="CU619" s="2129"/>
      <c r="CV619" s="2129"/>
      <c r="CW619" s="2130"/>
      <c r="CX619" s="2128">
        <f t="shared" si="11"/>
        <v>0</v>
      </c>
      <c r="CY619" s="2129"/>
      <c r="CZ619" s="2129"/>
      <c r="DA619" s="2129"/>
      <c r="DB619" s="2130"/>
      <c r="DC619" s="2128">
        <f t="shared" si="12"/>
        <v>0</v>
      </c>
      <c r="DD619" s="2129"/>
      <c r="DE619" s="2129"/>
      <c r="DF619" s="2129"/>
      <c r="DG619" s="2130"/>
      <c r="DH619" s="2128">
        <f t="shared" si="13"/>
        <v>0</v>
      </c>
      <c r="DI619" s="2129"/>
      <c r="DJ619" s="2129"/>
      <c r="DK619" s="2129"/>
      <c r="DL619" s="2130"/>
      <c r="DM619" s="2128">
        <f t="shared" si="14"/>
        <v>0</v>
      </c>
      <c r="DN619" s="2129"/>
      <c r="DO619" s="2129"/>
      <c r="DP619" s="2129"/>
      <c r="DQ619" s="2130"/>
      <c r="DR619" s="2128">
        <f t="shared" si="15"/>
        <v>0</v>
      </c>
      <c r="DS619" s="2129"/>
      <c r="DT619" s="2129"/>
      <c r="DU619" s="2129"/>
      <c r="DV619" s="2130"/>
    </row>
    <row r="620" spans="1:126" ht="12.75" customHeight="1">
      <c r="B620" s="16" t="s">
        <v>909</v>
      </c>
      <c r="N620" s="1670" t="s">
        <v>527</v>
      </c>
      <c r="O620" s="1670"/>
      <c r="U620" s="16" t="s">
        <v>909</v>
      </c>
      <c r="AG620" s="1670" t="s">
        <v>527</v>
      </c>
      <c r="AH620" s="1670"/>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8">
        <f t="shared" si="10"/>
        <v>0</v>
      </c>
      <c r="CT620" s="2129"/>
      <c r="CU620" s="2129"/>
      <c r="CV620" s="2129"/>
      <c r="CW620" s="2130"/>
      <c r="CX620" s="2128">
        <f t="shared" si="11"/>
        <v>0</v>
      </c>
      <c r="CY620" s="2129"/>
      <c r="CZ620" s="2129"/>
      <c r="DA620" s="2129"/>
      <c r="DB620" s="2130"/>
      <c r="DC620" s="2128">
        <f t="shared" si="12"/>
        <v>0</v>
      </c>
      <c r="DD620" s="2129"/>
      <c r="DE620" s="2129"/>
      <c r="DF620" s="2129"/>
      <c r="DG620" s="2130"/>
      <c r="DH620" s="2128">
        <f t="shared" si="13"/>
        <v>0</v>
      </c>
      <c r="DI620" s="2129"/>
      <c r="DJ620" s="2129"/>
      <c r="DK620" s="2129"/>
      <c r="DL620" s="2130"/>
      <c r="DM620" s="2128">
        <f t="shared" si="14"/>
        <v>0</v>
      </c>
      <c r="DN620" s="2129"/>
      <c r="DO620" s="2129"/>
      <c r="DP620" s="2129"/>
      <c r="DQ620" s="2130"/>
      <c r="DR620" s="2128">
        <f t="shared" si="15"/>
        <v>0</v>
      </c>
      <c r="DS620" s="2129"/>
      <c r="DT620" s="2129"/>
      <c r="DU620" s="2129"/>
      <c r="DV620" s="2130"/>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8">
        <f t="shared" si="10"/>
        <v>0</v>
      </c>
      <c r="CT621" s="2129"/>
      <c r="CU621" s="2129"/>
      <c r="CV621" s="2129"/>
      <c r="CW621" s="2130"/>
      <c r="CX621" s="2128">
        <f t="shared" si="11"/>
        <v>0</v>
      </c>
      <c r="CY621" s="2129"/>
      <c r="CZ621" s="2129"/>
      <c r="DA621" s="2129"/>
      <c r="DB621" s="2130"/>
      <c r="DC621" s="2128">
        <f t="shared" si="12"/>
        <v>0</v>
      </c>
      <c r="DD621" s="2129"/>
      <c r="DE621" s="2129"/>
      <c r="DF621" s="2129"/>
      <c r="DG621" s="2130"/>
      <c r="DH621" s="2128">
        <f t="shared" si="13"/>
        <v>0</v>
      </c>
      <c r="DI621" s="2129"/>
      <c r="DJ621" s="2129"/>
      <c r="DK621" s="2129"/>
      <c r="DL621" s="2130"/>
      <c r="DM621" s="2128">
        <f t="shared" si="14"/>
        <v>0</v>
      </c>
      <c r="DN621" s="2129"/>
      <c r="DO621" s="2129"/>
      <c r="DP621" s="2129"/>
      <c r="DQ621" s="2130"/>
      <c r="DR621" s="2128">
        <f t="shared" si="15"/>
        <v>0</v>
      </c>
      <c r="DS621" s="2129"/>
      <c r="DT621" s="2129"/>
      <c r="DU621" s="2129"/>
      <c r="DV621" s="2130"/>
    </row>
    <row r="622" spans="1:126" ht="12.75" customHeight="1">
      <c r="A622" s="1524" t="s">
        <v>136</v>
      </c>
      <c r="B622" s="1524"/>
      <c r="C622" s="1524"/>
      <c r="D622" s="1524"/>
      <c r="E622" s="1524"/>
      <c r="F622" s="1524"/>
      <c r="G622" s="1524"/>
      <c r="H622" s="1524"/>
      <c r="I622" s="1524"/>
      <c r="J622" s="1524"/>
      <c r="K622" s="1524"/>
      <c r="L622" s="1524"/>
      <c r="M622" s="1524"/>
      <c r="N622" s="1524"/>
      <c r="O622" s="1524"/>
      <c r="P622" s="1524"/>
      <c r="Q622" s="1524"/>
      <c r="R622" s="1524"/>
      <c r="S622" s="1524"/>
      <c r="T622" s="1524"/>
      <c r="U622" s="1524"/>
      <c r="V622" s="1524"/>
      <c r="W622" s="1524"/>
      <c r="X622" s="1524"/>
      <c r="Y622" s="1524"/>
      <c r="Z622" s="1524"/>
      <c r="AA622" s="1524"/>
      <c r="AB622" s="1524"/>
      <c r="AC622" s="1524"/>
      <c r="AD622" s="1524"/>
      <c r="AE622" s="1524"/>
      <c r="AF622" s="1524"/>
      <c r="AG622" s="1524"/>
      <c r="AH622" s="1524"/>
      <c r="AI622" s="1524"/>
      <c r="AJ622" s="1524"/>
      <c r="AK622" s="1524"/>
      <c r="AL622" s="1524"/>
      <c r="AM622" s="1524"/>
      <c r="AN622" s="1524"/>
      <c r="AO622" s="1524"/>
      <c r="AP622" s="1524"/>
      <c r="AQ622" s="1524"/>
      <c r="AR622" s="1524"/>
      <c r="AS622" s="1524"/>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8">
        <f t="shared" si="10"/>
        <v>0</v>
      </c>
      <c r="CT622" s="2129"/>
      <c r="CU622" s="2129"/>
      <c r="CV622" s="2129"/>
      <c r="CW622" s="2130"/>
      <c r="CX622" s="2128">
        <f t="shared" si="11"/>
        <v>0</v>
      </c>
      <c r="CY622" s="2129"/>
      <c r="CZ622" s="2129"/>
      <c r="DA622" s="2129"/>
      <c r="DB622" s="2130"/>
      <c r="DC622" s="2128">
        <f t="shared" si="12"/>
        <v>0</v>
      </c>
      <c r="DD622" s="2129"/>
      <c r="DE622" s="2129"/>
      <c r="DF622" s="2129"/>
      <c r="DG622" s="2130"/>
      <c r="DH622" s="2128">
        <f t="shared" si="13"/>
        <v>0</v>
      </c>
      <c r="DI622" s="2129"/>
      <c r="DJ622" s="2129"/>
      <c r="DK622" s="2129"/>
      <c r="DL622" s="2130"/>
      <c r="DM622" s="2128">
        <f t="shared" si="14"/>
        <v>0</v>
      </c>
      <c r="DN622" s="2129"/>
      <c r="DO622" s="2129"/>
      <c r="DP622" s="2129"/>
      <c r="DQ622" s="2130"/>
      <c r="DR622" s="2128">
        <f t="shared" si="15"/>
        <v>0</v>
      </c>
      <c r="DS622" s="2129"/>
      <c r="DT622" s="2129"/>
      <c r="DU622" s="2129"/>
      <c r="DV622" s="2130"/>
    </row>
    <row r="623" spans="1:126" ht="12.75">
      <c r="A623" s="1524"/>
      <c r="B623" s="1524"/>
      <c r="C623" s="1524"/>
      <c r="D623" s="1524"/>
      <c r="E623" s="1524"/>
      <c r="F623" s="1524"/>
      <c r="G623" s="1524"/>
      <c r="H623" s="1524"/>
      <c r="I623" s="1524"/>
      <c r="J623" s="1524"/>
      <c r="K623" s="1524"/>
      <c r="L623" s="1524"/>
      <c r="M623" s="1524"/>
      <c r="N623" s="1524"/>
      <c r="O623" s="1524"/>
      <c r="P623" s="1524"/>
      <c r="Q623" s="1524"/>
      <c r="R623" s="1524"/>
      <c r="S623" s="1524"/>
      <c r="T623" s="1524"/>
      <c r="U623" s="1524"/>
      <c r="V623" s="1524"/>
      <c r="W623" s="1524"/>
      <c r="X623" s="1524"/>
      <c r="Y623" s="1524"/>
      <c r="Z623" s="1524"/>
      <c r="AA623" s="1524"/>
      <c r="AB623" s="1524"/>
      <c r="AC623" s="1524"/>
      <c r="AD623" s="1524"/>
      <c r="AE623" s="1524"/>
      <c r="AF623" s="1524"/>
      <c r="AG623" s="1524"/>
      <c r="AH623" s="1524"/>
      <c r="AI623" s="1524"/>
      <c r="AJ623" s="1524"/>
      <c r="AK623" s="1524"/>
      <c r="AL623" s="1524"/>
      <c r="AM623" s="1524"/>
      <c r="AN623" s="1524"/>
      <c r="AO623" s="1524"/>
      <c r="AP623" s="1524"/>
      <c r="AQ623" s="1524"/>
      <c r="AR623" s="1524"/>
      <c r="AS623" s="1524"/>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8">
        <f t="shared" si="10"/>
        <v>0</v>
      </c>
      <c r="CT623" s="2129"/>
      <c r="CU623" s="2129"/>
      <c r="CV623" s="2129"/>
      <c r="CW623" s="2130"/>
      <c r="CX623" s="2128">
        <f t="shared" si="11"/>
        <v>0</v>
      </c>
      <c r="CY623" s="2129"/>
      <c r="CZ623" s="2129"/>
      <c r="DA623" s="2129"/>
      <c r="DB623" s="2130"/>
      <c r="DC623" s="2128">
        <f t="shared" si="12"/>
        <v>0</v>
      </c>
      <c r="DD623" s="2129"/>
      <c r="DE623" s="2129"/>
      <c r="DF623" s="2129"/>
      <c r="DG623" s="2130"/>
      <c r="DH623" s="2128">
        <f t="shared" si="13"/>
        <v>0</v>
      </c>
      <c r="DI623" s="2129"/>
      <c r="DJ623" s="2129"/>
      <c r="DK623" s="2129"/>
      <c r="DL623" s="2130"/>
      <c r="DM623" s="2128">
        <f t="shared" si="14"/>
        <v>0</v>
      </c>
      <c r="DN623" s="2129"/>
      <c r="DO623" s="2129"/>
      <c r="DP623" s="2129"/>
      <c r="DQ623" s="2130"/>
      <c r="DR623" s="2128">
        <f t="shared" si="15"/>
        <v>0</v>
      </c>
      <c r="DS623" s="2129"/>
      <c r="DT623" s="2129"/>
      <c r="DU623" s="2129"/>
      <c r="DV623" s="213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8">
        <f t="shared" si="10"/>
        <v>0</v>
      </c>
      <c r="CT624" s="2129"/>
      <c r="CU624" s="2129"/>
      <c r="CV624" s="2129"/>
      <c r="CW624" s="2130"/>
      <c r="CX624" s="2128">
        <f t="shared" si="11"/>
        <v>0</v>
      </c>
      <c r="CY624" s="2129"/>
      <c r="CZ624" s="2129"/>
      <c r="DA624" s="2129"/>
      <c r="DB624" s="2130"/>
      <c r="DC624" s="2128">
        <f t="shared" si="12"/>
        <v>0</v>
      </c>
      <c r="DD624" s="2129"/>
      <c r="DE624" s="2129"/>
      <c r="DF624" s="2129"/>
      <c r="DG624" s="2130"/>
      <c r="DH624" s="2128">
        <f t="shared" si="13"/>
        <v>0</v>
      </c>
      <c r="DI624" s="2129"/>
      <c r="DJ624" s="2129"/>
      <c r="DK624" s="2129"/>
      <c r="DL624" s="2130"/>
      <c r="DM624" s="2128">
        <f t="shared" si="14"/>
        <v>0</v>
      </c>
      <c r="DN624" s="2129"/>
      <c r="DO624" s="2129"/>
      <c r="DP624" s="2129"/>
      <c r="DQ624" s="2130"/>
      <c r="DR624" s="2128">
        <f t="shared" si="15"/>
        <v>0</v>
      </c>
      <c r="DS624" s="2129"/>
      <c r="DT624" s="2129"/>
      <c r="DU624" s="2129"/>
      <c r="DV624" s="2130"/>
    </row>
    <row r="625" spans="1:126" ht="12.75">
      <c r="A625" s="63" t="s">
        <v>714</v>
      </c>
      <c r="B625" s="63"/>
      <c r="C625" s="63" t="s">
        <v>910</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8">
        <f t="shared" si="10"/>
        <v>0</v>
      </c>
      <c r="CT625" s="2129"/>
      <c r="CU625" s="2129"/>
      <c r="CV625" s="2129"/>
      <c r="CW625" s="2130"/>
      <c r="CX625" s="2128">
        <f t="shared" si="11"/>
        <v>0</v>
      </c>
      <c r="CY625" s="2129"/>
      <c r="CZ625" s="2129"/>
      <c r="DA625" s="2129"/>
      <c r="DB625" s="2130"/>
      <c r="DC625" s="2128">
        <f t="shared" si="12"/>
        <v>0</v>
      </c>
      <c r="DD625" s="2129"/>
      <c r="DE625" s="2129"/>
      <c r="DF625" s="2129"/>
      <c r="DG625" s="2130"/>
      <c r="DH625" s="2128">
        <f t="shared" si="13"/>
        <v>0</v>
      </c>
      <c r="DI625" s="2129"/>
      <c r="DJ625" s="2129"/>
      <c r="DK625" s="2129"/>
      <c r="DL625" s="2130"/>
      <c r="DM625" s="2128">
        <f t="shared" si="14"/>
        <v>0</v>
      </c>
      <c r="DN625" s="2129"/>
      <c r="DO625" s="2129"/>
      <c r="DP625" s="2129"/>
      <c r="DQ625" s="2130"/>
      <c r="DR625" s="2128">
        <f t="shared" si="15"/>
        <v>0</v>
      </c>
      <c r="DS625" s="2129"/>
      <c r="DT625" s="2129"/>
      <c r="DU625" s="2129"/>
      <c r="DV625" s="2130"/>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8">
        <f t="shared" si="10"/>
        <v>0</v>
      </c>
      <c r="CT626" s="2129"/>
      <c r="CU626" s="2129"/>
      <c r="CV626" s="2129"/>
      <c r="CW626" s="2130"/>
      <c r="CX626" s="2128">
        <f t="shared" si="11"/>
        <v>0</v>
      </c>
      <c r="CY626" s="2129"/>
      <c r="CZ626" s="2129"/>
      <c r="DA626" s="2129"/>
      <c r="DB626" s="2130"/>
      <c r="DC626" s="2128">
        <f t="shared" si="12"/>
        <v>0</v>
      </c>
      <c r="DD626" s="2129"/>
      <c r="DE626" s="2129"/>
      <c r="DF626" s="2129"/>
      <c r="DG626" s="2130"/>
      <c r="DH626" s="2128">
        <f t="shared" si="13"/>
        <v>0</v>
      </c>
      <c r="DI626" s="2129"/>
      <c r="DJ626" s="2129"/>
      <c r="DK626" s="2129"/>
      <c r="DL626" s="2130"/>
      <c r="DM626" s="2128">
        <f t="shared" si="14"/>
        <v>0</v>
      </c>
      <c r="DN626" s="2129"/>
      <c r="DO626" s="2129"/>
      <c r="DP626" s="2129"/>
      <c r="DQ626" s="2130"/>
      <c r="DR626" s="2128">
        <f t="shared" si="15"/>
        <v>0</v>
      </c>
      <c r="DS626" s="2129"/>
      <c r="DT626" s="2129"/>
      <c r="DU626" s="2129"/>
      <c r="DV626" s="2130"/>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37</v>
      </c>
      <c r="BO627" s="2133"/>
      <c r="BP627" s="2133"/>
      <c r="BQ627" s="2133"/>
      <c r="BR627" s="1807"/>
      <c r="BS627" s="1806">
        <f>SUM(BS602:BW626)</f>
        <v>8</v>
      </c>
      <c r="BT627" s="2133"/>
      <c r="BU627" s="2133"/>
      <c r="BV627" s="2133"/>
      <c r="BW627" s="1807"/>
      <c r="BX627" s="1806">
        <f>SUM(BX602:CB626)</f>
        <v>4</v>
      </c>
      <c r="BY627" s="2133"/>
      <c r="BZ627" s="2133"/>
      <c r="CA627" s="2133"/>
      <c r="CB627" s="1807"/>
      <c r="CC627" s="1806">
        <f>SUM(CC602:CG626)</f>
        <v>0</v>
      </c>
      <c r="CD627" s="2133"/>
      <c r="CE627" s="2133"/>
      <c r="CF627" s="2133"/>
      <c r="CG627" s="1807"/>
      <c r="CH627" s="1806">
        <f>SUM(CH602:CL626)</f>
        <v>0</v>
      </c>
      <c r="CI627" s="2133"/>
      <c r="CJ627" s="2133"/>
      <c r="CK627" s="2133"/>
      <c r="CL627" s="1807"/>
      <c r="CM627" s="1806">
        <f>SUM(CM602:CQ626)</f>
        <v>0</v>
      </c>
      <c r="CN627" s="2133"/>
      <c r="CO627" s="2133"/>
      <c r="CP627" s="2133"/>
      <c r="CQ627" s="1807"/>
      <c r="CS627" s="2128">
        <f t="shared" si="10"/>
        <v>0</v>
      </c>
      <c r="CT627" s="2129"/>
      <c r="CU627" s="2129"/>
      <c r="CV627" s="2129"/>
      <c r="CW627" s="2130"/>
      <c r="CX627" s="2128">
        <f t="shared" si="11"/>
        <v>0</v>
      </c>
      <c r="CY627" s="2129"/>
      <c r="CZ627" s="2129"/>
      <c r="DA627" s="2129"/>
      <c r="DB627" s="2130"/>
      <c r="DC627" s="2128">
        <f t="shared" si="12"/>
        <v>0</v>
      </c>
      <c r="DD627" s="2129"/>
      <c r="DE627" s="2129"/>
      <c r="DF627" s="2129"/>
      <c r="DG627" s="2130"/>
      <c r="DH627" s="2128">
        <f t="shared" si="13"/>
        <v>0</v>
      </c>
      <c r="DI627" s="2129"/>
      <c r="DJ627" s="2129"/>
      <c r="DK627" s="2129"/>
      <c r="DL627" s="2130"/>
      <c r="DM627" s="2128">
        <f t="shared" si="14"/>
        <v>0</v>
      </c>
      <c r="DN627" s="2129"/>
      <c r="DO627" s="2129"/>
      <c r="DP627" s="2129"/>
      <c r="DQ627" s="2130"/>
      <c r="DR627" s="2128">
        <f t="shared" si="15"/>
        <v>0</v>
      </c>
      <c r="DS627" s="2129"/>
      <c r="DT627" s="2129"/>
      <c r="DU627" s="2129"/>
      <c r="DV627" s="2130"/>
    </row>
    <row r="628" spans="1:126" ht="13.5" thickBot="1">
      <c r="B628" s="138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28</v>
      </c>
      <c r="BH628" s="1807"/>
      <c r="BI628" s="72"/>
      <c r="BJ628" s="72"/>
      <c r="BK628" s="1806">
        <f>SUM(BK603:BL627)</f>
        <v>16</v>
      </c>
      <c r="BL628" s="1807"/>
      <c r="BN628" s="72" t="s">
        <v>1887</v>
      </c>
      <c r="BO628" s="72"/>
      <c r="BP628" s="72"/>
      <c r="BQ628" s="72"/>
      <c r="BR628" s="714">
        <f>BN627*1</f>
        <v>37</v>
      </c>
      <c r="BS628" s="72"/>
      <c r="BT628" s="72"/>
      <c r="BU628" s="72"/>
      <c r="BV628" s="72"/>
      <c r="BW628" s="714">
        <f>BS627*1</f>
        <v>8</v>
      </c>
      <c r="BX628" s="72"/>
      <c r="BY628" s="72"/>
      <c r="BZ628" s="72"/>
      <c r="CA628" s="72"/>
      <c r="CB628" s="714">
        <f>BX627*2</f>
        <v>8</v>
      </c>
      <c r="CC628" s="72"/>
      <c r="CD628" s="72"/>
      <c r="CE628" s="72"/>
      <c r="CF628" s="72"/>
      <c r="CG628" s="714">
        <f>CC627*3</f>
        <v>0</v>
      </c>
      <c r="CH628" s="72"/>
      <c r="CI628" s="72"/>
      <c r="CJ628" s="72"/>
      <c r="CK628" s="72"/>
      <c r="CL628" s="714">
        <f>CH627*4</f>
        <v>0</v>
      </c>
      <c r="CM628" s="72"/>
      <c r="CN628" s="72"/>
      <c r="CO628" s="72"/>
      <c r="CP628" s="72"/>
      <c r="CQ628" s="713">
        <f>CM627*5</f>
        <v>0</v>
      </c>
      <c r="CS628" s="1806">
        <f>SUM(CS603:CW627)</f>
        <v>14</v>
      </c>
      <c r="CT628" s="2133"/>
      <c r="CU628" s="2133"/>
      <c r="CV628" s="2133"/>
      <c r="CW628" s="1807"/>
      <c r="CX628" s="1806">
        <f>SUM(CX603:DB627)</f>
        <v>1</v>
      </c>
      <c r="CY628" s="2133"/>
      <c r="CZ628" s="2133"/>
      <c r="DA628" s="2133"/>
      <c r="DB628" s="1807"/>
      <c r="DC628" s="1806">
        <f>SUM(DC603:DG627)</f>
        <v>1</v>
      </c>
      <c r="DD628" s="2133"/>
      <c r="DE628" s="2133"/>
      <c r="DF628" s="2133"/>
      <c r="DG628" s="1807"/>
      <c r="DH628" s="1806">
        <f>SUM(DH603:DL627)</f>
        <v>0</v>
      </c>
      <c r="DI628" s="2133"/>
      <c r="DJ628" s="2133"/>
      <c r="DK628" s="2133"/>
      <c r="DL628" s="1807"/>
      <c r="DM628" s="1806">
        <f>SUM(DM603:DQ627)</f>
        <v>0</v>
      </c>
      <c r="DN628" s="2133"/>
      <c r="DO628" s="2133"/>
      <c r="DP628" s="2133"/>
      <c r="DQ628" s="1807"/>
      <c r="DR628" s="1806">
        <f>SUM(DR603:DV627)</f>
        <v>0</v>
      </c>
      <c r="DS628" s="2133"/>
      <c r="DT628" s="2133"/>
      <c r="DU628" s="2133"/>
      <c r="DV628" s="1807"/>
    </row>
    <row r="629" spans="1:126" ht="13.5" customHeight="1" thickBot="1">
      <c r="A629" s="1341"/>
      <c r="B629" s="2068" t="s">
        <v>801</v>
      </c>
      <c r="C629" s="2069"/>
      <c r="D629" s="2069"/>
      <c r="E629" s="2069"/>
      <c r="F629" s="2069"/>
      <c r="G629" s="2069"/>
      <c r="H629" s="2069"/>
      <c r="I629" s="2069"/>
      <c r="J629" s="2069"/>
      <c r="K629" s="2069"/>
      <c r="L629" s="2069"/>
      <c r="M629" s="2069"/>
      <c r="N629" s="2070"/>
      <c r="O629" s="1683" t="s">
        <v>485</v>
      </c>
      <c r="P629" s="1684"/>
      <c r="Q629" s="1685"/>
      <c r="R629" s="1683" t="s">
        <v>2203</v>
      </c>
      <c r="S629" s="1684"/>
      <c r="T629" s="1685"/>
      <c r="U629" s="2038" t="s">
        <v>802</v>
      </c>
      <c r="V629" s="2038"/>
      <c r="W629" s="2039"/>
      <c r="X629" s="1683" t="s">
        <v>2204</v>
      </c>
      <c r="Y629" s="1684"/>
      <c r="Z629" s="1684"/>
      <c r="AA629" s="1684"/>
      <c r="AB629" s="1685"/>
      <c r="AC629" s="2044" t="s">
        <v>2205</v>
      </c>
      <c r="AD629" s="2045"/>
      <c r="AE629" s="2046"/>
      <c r="AF629" s="1683" t="s">
        <v>2206</v>
      </c>
      <c r="AG629" s="1684"/>
      <c r="AH629" s="1684"/>
      <c r="AI629" s="1684"/>
      <c r="AJ629" s="1685"/>
      <c r="AK629" s="2053" t="s">
        <v>2207</v>
      </c>
      <c r="AL629" s="2054"/>
      <c r="AM629" s="2054"/>
      <c r="AN629" s="2055"/>
      <c r="AO629" s="2037" t="s">
        <v>803</v>
      </c>
      <c r="AP629" s="2037"/>
      <c r="AQ629" s="2037"/>
      <c r="AR629" s="2037"/>
      <c r="AS629" s="2037"/>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9" t="s">
        <v>1888</v>
      </c>
      <c r="CQ629" s="715">
        <f>BR628+BW628+CB628+CG628+CL628+CQ628</f>
        <v>53</v>
      </c>
      <c r="CR629" s="72"/>
      <c r="CS629" s="72"/>
    </row>
    <row r="630" spans="1:126" ht="12.75">
      <c r="A630" s="1341"/>
      <c r="B630" s="2071"/>
      <c r="C630" s="1954"/>
      <c r="D630" s="1954"/>
      <c r="E630" s="1954"/>
      <c r="F630" s="1954"/>
      <c r="G630" s="1954"/>
      <c r="H630" s="1954"/>
      <c r="I630" s="1954"/>
      <c r="J630" s="1954"/>
      <c r="K630" s="1954"/>
      <c r="L630" s="1954"/>
      <c r="M630" s="1954"/>
      <c r="N630" s="2072"/>
      <c r="O630" s="1686"/>
      <c r="P630" s="1687"/>
      <c r="Q630" s="1688"/>
      <c r="R630" s="1686"/>
      <c r="S630" s="1687"/>
      <c r="T630" s="1688"/>
      <c r="U630" s="2040"/>
      <c r="V630" s="2040"/>
      <c r="W630" s="2041"/>
      <c r="X630" s="1686"/>
      <c r="Y630" s="1687"/>
      <c r="Z630" s="1687"/>
      <c r="AA630" s="1687"/>
      <c r="AB630" s="1688"/>
      <c r="AC630" s="2047"/>
      <c r="AD630" s="2048"/>
      <c r="AE630" s="2049"/>
      <c r="AF630" s="1686"/>
      <c r="AG630" s="1687"/>
      <c r="AH630" s="1687"/>
      <c r="AI630" s="1687"/>
      <c r="AJ630" s="1688"/>
      <c r="AK630" s="2056"/>
      <c r="AL630" s="2057"/>
      <c r="AM630" s="2057"/>
      <c r="AN630" s="2058"/>
      <c r="AO630" s="2037"/>
      <c r="AP630" s="2037"/>
      <c r="AQ630" s="2037"/>
      <c r="AR630" s="2037"/>
      <c r="AS630" s="2037"/>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31">
        <f>IF(J752="5 Bedrooms",O752,0)</f>
        <v>0</v>
      </c>
      <c r="CN630" s="2132"/>
      <c r="CO630" s="2132"/>
      <c r="CP630" s="2132"/>
      <c r="CQ630" s="1804"/>
      <c r="CR630" s="72"/>
      <c r="CS630" s="72"/>
    </row>
    <row r="631" spans="1:126" ht="12.75" customHeight="1">
      <c r="A631" s="1341"/>
      <c r="B631" s="2073"/>
      <c r="C631" s="1954"/>
      <c r="D631" s="1954"/>
      <c r="E631" s="1954"/>
      <c r="F631" s="1954"/>
      <c r="G631" s="1954"/>
      <c r="H631" s="1954"/>
      <c r="I631" s="1954"/>
      <c r="J631" s="1954"/>
      <c r="K631" s="1954"/>
      <c r="L631" s="1954"/>
      <c r="M631" s="1954"/>
      <c r="N631" s="2072"/>
      <c r="O631" s="1689"/>
      <c r="P631" s="1690"/>
      <c r="Q631" s="1691"/>
      <c r="R631" s="1689"/>
      <c r="S631" s="1690"/>
      <c r="T631" s="1691"/>
      <c r="U631" s="2042"/>
      <c r="V631" s="2042"/>
      <c r="W631" s="2043"/>
      <c r="X631" s="1689"/>
      <c r="Y631" s="1690"/>
      <c r="Z631" s="1690"/>
      <c r="AA631" s="1690"/>
      <c r="AB631" s="1691"/>
      <c r="AC631" s="2050"/>
      <c r="AD631" s="2051"/>
      <c r="AE631" s="2052"/>
      <c r="AF631" s="1689"/>
      <c r="AG631" s="1690"/>
      <c r="AH631" s="1690"/>
      <c r="AI631" s="1690"/>
      <c r="AJ631" s="1691"/>
      <c r="AK631" s="2059"/>
      <c r="AL631" s="2060"/>
      <c r="AM631" s="2060"/>
      <c r="AN631" s="2061"/>
      <c r="AO631" s="2037"/>
      <c r="AP631" s="2037"/>
      <c r="AQ631" s="2037"/>
      <c r="AR631" s="2037"/>
      <c r="AS631" s="2037"/>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31">
        <f>IF(J753="5 Bedrooms",O753,0)</f>
        <v>0</v>
      </c>
      <c r="CN631" s="2132"/>
      <c r="CO631" s="2132"/>
      <c r="CP631" s="2132"/>
      <c r="CQ631" s="1804"/>
      <c r="CR631" s="72"/>
      <c r="CS631" s="72"/>
    </row>
    <row r="632" spans="1:126" ht="12.75" customHeight="1">
      <c r="B632" s="97" t="s">
        <v>982</v>
      </c>
      <c r="C632" s="1665" t="s">
        <v>2428</v>
      </c>
      <c r="D632" s="1665"/>
      <c r="E632" s="1665"/>
      <c r="F632" s="1665"/>
      <c r="G632" s="1665"/>
      <c r="H632" s="1665"/>
      <c r="I632" s="1665"/>
      <c r="J632" s="1665"/>
      <c r="K632" s="1665"/>
      <c r="L632" s="1665"/>
      <c r="M632" s="1665"/>
      <c r="N632" s="2022"/>
      <c r="O632" s="1960">
        <f>30*12</f>
        <v>360</v>
      </c>
      <c r="P632" s="1828"/>
      <c r="Q632" s="1961"/>
      <c r="R632" s="1960">
        <v>360</v>
      </c>
      <c r="S632" s="1828"/>
      <c r="T632" s="1961"/>
      <c r="U632" s="1962">
        <v>6.9500000000000006E-2</v>
      </c>
      <c r="V632" s="1963"/>
      <c r="W632" s="1964"/>
      <c r="X632" s="1695" t="s">
        <v>2209</v>
      </c>
      <c r="Y632" s="1965"/>
      <c r="Z632" s="1965"/>
      <c r="AA632" s="1965"/>
      <c r="AB632" s="1966"/>
      <c r="AC632" s="1958">
        <v>1</v>
      </c>
      <c r="AD632" s="1671"/>
      <c r="AE632" s="1959"/>
      <c r="AF632" s="1730">
        <f>[4]EVERYTHING!$U$48+[4]EVERYTHING!$U$49</f>
        <v>464846.29777597461</v>
      </c>
      <c r="AG632" s="1731"/>
      <c r="AH632" s="1731"/>
      <c r="AI632" s="1731"/>
      <c r="AJ632" s="1732"/>
      <c r="AK632" s="2034"/>
      <c r="AL632" s="2035"/>
      <c r="AM632" s="2035"/>
      <c r="AN632" s="2036"/>
      <c r="AO632" s="1755">
        <f>[4]EVERYTHING!$C$5+[4]EVERYTHING!$C$6</f>
        <v>5852000</v>
      </c>
      <c r="AP632" s="1755"/>
      <c r="AQ632" s="1755"/>
      <c r="AR632" s="1755"/>
      <c r="AS632" s="1755"/>
      <c r="AU632" s="75"/>
      <c r="AV632" s="75"/>
      <c r="AW632" s="75"/>
      <c r="AX632" s="75"/>
      <c r="AY632" s="75"/>
      <c r="BA632" s="72" t="s">
        <v>2189</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31">
        <f>IF(J754="5 Bedrooms",O754,0)</f>
        <v>0</v>
      </c>
      <c r="CN632" s="2132"/>
      <c r="CO632" s="2132"/>
      <c r="CP632" s="2132"/>
      <c r="CQ632" s="1804"/>
      <c r="CR632" s="72"/>
      <c r="CS632" s="72"/>
    </row>
    <row r="633" spans="1:126" ht="12.75">
      <c r="B633" s="98" t="s">
        <v>983</v>
      </c>
      <c r="C633" s="1665" t="s">
        <v>2422</v>
      </c>
      <c r="D633" s="1665"/>
      <c r="E633" s="1665"/>
      <c r="F633" s="1665"/>
      <c r="G633" s="1665"/>
      <c r="H633" s="1665"/>
      <c r="I633" s="1665"/>
      <c r="J633" s="1665"/>
      <c r="K633" s="1665"/>
      <c r="L633" s="1665"/>
      <c r="M633" s="1665"/>
      <c r="N633" s="2022"/>
      <c r="O633" s="1960">
        <v>660</v>
      </c>
      <c r="P633" s="1828"/>
      <c r="Q633" s="1961"/>
      <c r="R633" s="1960"/>
      <c r="S633" s="1828"/>
      <c r="T633" s="1961"/>
      <c r="U633" s="1962">
        <v>0.03</v>
      </c>
      <c r="V633" s="1963"/>
      <c r="W633" s="1964"/>
      <c r="X633" s="1695" t="s">
        <v>855</v>
      </c>
      <c r="Y633" s="1965"/>
      <c r="Z633" s="1965"/>
      <c r="AA633" s="1965"/>
      <c r="AB633" s="1966"/>
      <c r="AC633" s="1958">
        <v>2</v>
      </c>
      <c r="AD633" s="1671"/>
      <c r="AE633" s="1959"/>
      <c r="AF633" s="1730"/>
      <c r="AG633" s="1731"/>
      <c r="AH633" s="1731"/>
      <c r="AI633" s="1731"/>
      <c r="AJ633" s="1732"/>
      <c r="AK633" s="2034"/>
      <c r="AL633" s="2035"/>
      <c r="AM633" s="2035"/>
      <c r="AN633" s="2036"/>
      <c r="AO633" s="1755">
        <f>[4]EVERYTHING!$C$7+[4]EVERYTHING!$C$10</f>
        <v>9000000</v>
      </c>
      <c r="AP633" s="1755"/>
      <c r="AQ633" s="1755"/>
      <c r="AR633" s="1755"/>
      <c r="AS633" s="1755"/>
      <c r="AU633" s="75"/>
      <c r="AV633" s="75"/>
      <c r="AW633" s="75"/>
      <c r="AX633" s="75"/>
      <c r="AY633" s="75"/>
      <c r="BA633" s="72" t="s">
        <v>856</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31">
        <f>IF(J755="5 Bedrooms",O755,0)</f>
        <v>0</v>
      </c>
      <c r="CN633" s="2132"/>
      <c r="CO633" s="2132"/>
      <c r="CP633" s="2132"/>
      <c r="CQ633" s="1804"/>
      <c r="CR633" s="72"/>
      <c r="CS633" s="72"/>
    </row>
    <row r="634" spans="1:126" ht="12.75">
      <c r="B634" s="98" t="s">
        <v>989</v>
      </c>
      <c r="C634" s="1665" t="s">
        <v>2339</v>
      </c>
      <c r="D634" s="1665"/>
      <c r="E634" s="1665"/>
      <c r="F634" s="1665"/>
      <c r="G634" s="1665"/>
      <c r="H634" s="1665"/>
      <c r="I634" s="1665"/>
      <c r="J634" s="1665"/>
      <c r="K634" s="1665"/>
      <c r="L634" s="1665"/>
      <c r="M634" s="1665"/>
      <c r="N634" s="2022"/>
      <c r="O634" s="1960">
        <v>660</v>
      </c>
      <c r="P634" s="1828"/>
      <c r="Q634" s="1961"/>
      <c r="R634" s="1960"/>
      <c r="S634" s="1828"/>
      <c r="T634" s="1961"/>
      <c r="U634" s="1962">
        <v>0.03</v>
      </c>
      <c r="V634" s="1963"/>
      <c r="W634" s="1964"/>
      <c r="X634" s="1695" t="s">
        <v>855</v>
      </c>
      <c r="Y634" s="1965"/>
      <c r="Z634" s="1965"/>
      <c r="AA634" s="1965"/>
      <c r="AB634" s="1966"/>
      <c r="AC634" s="1958">
        <v>3</v>
      </c>
      <c r="AD634" s="1671"/>
      <c r="AE634" s="1959"/>
      <c r="AF634" s="1730"/>
      <c r="AG634" s="1731"/>
      <c r="AH634" s="1731"/>
      <c r="AI634" s="1731"/>
      <c r="AJ634" s="1732"/>
      <c r="AK634" s="2034"/>
      <c r="AL634" s="2035"/>
      <c r="AM634" s="2035"/>
      <c r="AN634" s="2036"/>
      <c r="AO634" s="1755">
        <f>[4]EVERYTHING!$C$8+[4]EVERYTHING!$C$9</f>
        <v>2351425</v>
      </c>
      <c r="AP634" s="1755"/>
      <c r="AQ634" s="1755"/>
      <c r="AR634" s="1755"/>
      <c r="AS634" s="1755"/>
      <c r="AU634" s="75"/>
      <c r="AV634" s="75"/>
      <c r="AW634" s="75"/>
      <c r="AX634" s="75"/>
      <c r="AY634" s="75"/>
      <c r="AZ634" s="75"/>
      <c r="BA634" s="72" t="s">
        <v>855</v>
      </c>
      <c r="BB634" s="75"/>
      <c r="BC634" s="75"/>
      <c r="BD634" s="75"/>
      <c r="BN634" s="2134">
        <f>SUM(BN630:BR633)</f>
        <v>0</v>
      </c>
      <c r="BO634" s="2135"/>
      <c r="BP634" s="2135"/>
      <c r="BQ634" s="2135"/>
      <c r="BR634" s="2136"/>
      <c r="BS634" s="2134">
        <f>SUM(BS630:BW633)</f>
        <v>0</v>
      </c>
      <c r="BT634" s="2135"/>
      <c r="BU634" s="2135"/>
      <c r="BV634" s="2135"/>
      <c r="BW634" s="2136"/>
      <c r="BX634" s="2134">
        <f>SUM(BX630:CB633)</f>
        <v>1</v>
      </c>
      <c r="BY634" s="2135"/>
      <c r="BZ634" s="2135"/>
      <c r="CA634" s="2135"/>
      <c r="CB634" s="2136"/>
      <c r="CC634" s="2134">
        <f>SUM(CC630:CG633)</f>
        <v>0</v>
      </c>
      <c r="CD634" s="2135"/>
      <c r="CE634" s="2135"/>
      <c r="CF634" s="2135"/>
      <c r="CG634" s="2136"/>
      <c r="CH634" s="2134">
        <f>SUM(CH630:CL633)</f>
        <v>0</v>
      </c>
      <c r="CI634" s="2135"/>
      <c r="CJ634" s="2135"/>
      <c r="CK634" s="2135"/>
      <c r="CL634" s="2136"/>
      <c r="CM634" s="2134">
        <f>SUM(CM630:CQ633)</f>
        <v>0</v>
      </c>
      <c r="CN634" s="2135"/>
      <c r="CO634" s="2135"/>
      <c r="CP634" s="2135"/>
      <c r="CQ634" s="2136"/>
      <c r="CS634" s="714">
        <f>BN634+BS634+BX634+CC634+CH634+CM634</f>
        <v>1</v>
      </c>
      <c r="CT634" s="142" t="s">
        <v>2193</v>
      </c>
      <c r="CU634" s="72"/>
    </row>
    <row r="635" spans="1:126" ht="12.75">
      <c r="B635" s="98" t="s">
        <v>476</v>
      </c>
      <c r="C635" s="1665" t="s">
        <v>2443</v>
      </c>
      <c r="D635" s="1665"/>
      <c r="E635" s="1665"/>
      <c r="F635" s="1665"/>
      <c r="G635" s="1665"/>
      <c r="H635" s="1665"/>
      <c r="I635" s="1665"/>
      <c r="J635" s="1665"/>
      <c r="K635" s="1665"/>
      <c r="L635" s="1665"/>
      <c r="M635" s="1665"/>
      <c r="N635" s="2022"/>
      <c r="O635" s="1960"/>
      <c r="P635" s="1828"/>
      <c r="Q635" s="1961"/>
      <c r="R635" s="1960"/>
      <c r="S635" s="1828"/>
      <c r="T635" s="1961"/>
      <c r="U635" s="1962"/>
      <c r="V635" s="1963"/>
      <c r="W635" s="1964"/>
      <c r="X635" s="1695" t="s">
        <v>2189</v>
      </c>
      <c r="Y635" s="1965"/>
      <c r="Z635" s="1965"/>
      <c r="AA635" s="1965"/>
      <c r="AB635" s="1966"/>
      <c r="AC635" s="1958">
        <v>4</v>
      </c>
      <c r="AD635" s="1671"/>
      <c r="AE635" s="1959"/>
      <c r="AF635" s="1730"/>
      <c r="AG635" s="1731"/>
      <c r="AH635" s="1731"/>
      <c r="AI635" s="1731"/>
      <c r="AJ635" s="1732"/>
      <c r="AK635" s="2034"/>
      <c r="AL635" s="2035"/>
      <c r="AM635" s="2035"/>
      <c r="AN635" s="2036"/>
      <c r="AO635" s="1755">
        <f>[4]EVERYTHING!$C$11</f>
        <v>6000000</v>
      </c>
      <c r="AP635" s="1755"/>
      <c r="AQ635" s="1755"/>
      <c r="AR635" s="1755"/>
      <c r="AS635" s="1755"/>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665" t="s">
        <v>2427</v>
      </c>
      <c r="D636" s="1665"/>
      <c r="E636" s="1665"/>
      <c r="F636" s="1665"/>
      <c r="G636" s="1665"/>
      <c r="H636" s="1665"/>
      <c r="I636" s="1665"/>
      <c r="J636" s="1665"/>
      <c r="K636" s="1665"/>
      <c r="L636" s="1665"/>
      <c r="M636" s="1665"/>
      <c r="N636" s="2022"/>
      <c r="O636" s="1960"/>
      <c r="P636" s="1828"/>
      <c r="Q636" s="1961"/>
      <c r="R636" s="1960"/>
      <c r="S636" s="1828"/>
      <c r="T636" s="1961"/>
      <c r="U636" s="1962"/>
      <c r="V636" s="1963"/>
      <c r="W636" s="1964"/>
      <c r="X636" s="1695" t="s">
        <v>2189</v>
      </c>
      <c r="Y636" s="1965"/>
      <c r="Z636" s="1965"/>
      <c r="AA636" s="1965"/>
      <c r="AB636" s="1966"/>
      <c r="AC636" s="1958"/>
      <c r="AD636" s="1671"/>
      <c r="AE636" s="1959"/>
      <c r="AF636" s="1730"/>
      <c r="AG636" s="1731"/>
      <c r="AH636" s="1731"/>
      <c r="AI636" s="1731"/>
      <c r="AJ636" s="1732"/>
      <c r="AK636" s="2034"/>
      <c r="AL636" s="2035"/>
      <c r="AM636" s="2035"/>
      <c r="AN636" s="2036"/>
      <c r="AO636" s="1755">
        <f>[4]EVERYTHING!$C$15</f>
        <v>100</v>
      </c>
      <c r="AP636" s="1755"/>
      <c r="AQ636" s="1755"/>
      <c r="AR636" s="1755"/>
      <c r="AS636" s="1755"/>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479</v>
      </c>
      <c r="C637" s="1665"/>
      <c r="D637" s="1665"/>
      <c r="E637" s="1665"/>
      <c r="F637" s="1665"/>
      <c r="G637" s="1665"/>
      <c r="H637" s="1665"/>
      <c r="I637" s="1665"/>
      <c r="J637" s="1665"/>
      <c r="K637" s="1665"/>
      <c r="L637" s="1665"/>
      <c r="M637" s="1665"/>
      <c r="N637" s="2022"/>
      <c r="O637" s="1960"/>
      <c r="P637" s="1828"/>
      <c r="Q637" s="1961"/>
      <c r="R637" s="1960"/>
      <c r="S637" s="1828"/>
      <c r="T637" s="1961"/>
      <c r="U637" s="1962"/>
      <c r="V637" s="1963"/>
      <c r="W637" s="1964"/>
      <c r="X637" s="1695" t="s">
        <v>2189</v>
      </c>
      <c r="Y637" s="1965"/>
      <c r="Z637" s="1965"/>
      <c r="AA637" s="1965"/>
      <c r="AB637" s="1966"/>
      <c r="AC637" s="1958"/>
      <c r="AD637" s="1671"/>
      <c r="AE637" s="1959"/>
      <c r="AF637" s="1730"/>
      <c r="AG637" s="1731"/>
      <c r="AH637" s="1731"/>
      <c r="AI637" s="1731"/>
      <c r="AJ637" s="1732"/>
      <c r="AK637" s="2034"/>
      <c r="AL637" s="2035"/>
      <c r="AM637" s="2035"/>
      <c r="AN637" s="2036"/>
      <c r="AO637" s="1755"/>
      <c r="AP637" s="1755"/>
      <c r="AQ637" s="1755"/>
      <c r="AR637" s="1755"/>
      <c r="AS637" s="1755"/>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804</v>
      </c>
      <c r="C638" s="1665"/>
      <c r="D638" s="1665"/>
      <c r="E638" s="1665"/>
      <c r="F638" s="1665"/>
      <c r="G638" s="1665"/>
      <c r="H638" s="1665"/>
      <c r="I638" s="1665"/>
      <c r="J638" s="1665"/>
      <c r="K638" s="1665"/>
      <c r="L638" s="1665"/>
      <c r="M638" s="1665"/>
      <c r="N638" s="2022"/>
      <c r="O638" s="1960"/>
      <c r="P638" s="1828"/>
      <c r="Q638" s="1961"/>
      <c r="R638" s="1960"/>
      <c r="S638" s="1828"/>
      <c r="T638" s="1961"/>
      <c r="U638" s="1962"/>
      <c r="V638" s="1963"/>
      <c r="W638" s="1964"/>
      <c r="X638" s="1695" t="s">
        <v>2189</v>
      </c>
      <c r="Y638" s="1965"/>
      <c r="Z638" s="1965"/>
      <c r="AA638" s="1965"/>
      <c r="AB638" s="1966"/>
      <c r="AC638" s="1958"/>
      <c r="AD638" s="1671"/>
      <c r="AE638" s="1959"/>
      <c r="AF638" s="1730"/>
      <c r="AG638" s="1731"/>
      <c r="AH638" s="1731"/>
      <c r="AI638" s="1731"/>
      <c r="AJ638" s="1732"/>
      <c r="AK638" s="2034"/>
      <c r="AL638" s="2035"/>
      <c r="AM638" s="2035"/>
      <c r="AN638" s="2036"/>
      <c r="AO638" s="1755"/>
      <c r="AP638" s="1755"/>
      <c r="AQ638" s="1755"/>
      <c r="AR638" s="1755"/>
      <c r="AS638" s="1755"/>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805</v>
      </c>
      <c r="C639" s="1665"/>
      <c r="D639" s="1665"/>
      <c r="E639" s="1665"/>
      <c r="F639" s="1665"/>
      <c r="G639" s="1665"/>
      <c r="H639" s="1665"/>
      <c r="I639" s="1665"/>
      <c r="J639" s="1665"/>
      <c r="K639" s="1665"/>
      <c r="L639" s="1665"/>
      <c r="M639" s="1665"/>
      <c r="N639" s="2022"/>
      <c r="O639" s="1960"/>
      <c r="P639" s="1828"/>
      <c r="Q639" s="1961"/>
      <c r="R639" s="1960"/>
      <c r="S639" s="1828"/>
      <c r="T639" s="1961"/>
      <c r="U639" s="1962"/>
      <c r="V639" s="1963"/>
      <c r="W639" s="1964"/>
      <c r="X639" s="1695" t="s">
        <v>2189</v>
      </c>
      <c r="Y639" s="1965"/>
      <c r="Z639" s="1965"/>
      <c r="AA639" s="1965"/>
      <c r="AB639" s="1966"/>
      <c r="AC639" s="1958"/>
      <c r="AD639" s="1671"/>
      <c r="AE639" s="1959"/>
      <c r="AF639" s="1730"/>
      <c r="AG639" s="1731"/>
      <c r="AH639" s="1731"/>
      <c r="AI639" s="1731"/>
      <c r="AJ639" s="1732"/>
      <c r="AK639" s="2034"/>
      <c r="AL639" s="2035"/>
      <c r="AM639" s="2035"/>
      <c r="AN639" s="2036"/>
      <c r="AO639" s="1755"/>
      <c r="AP639" s="1755"/>
      <c r="AQ639" s="1755"/>
      <c r="AR639" s="1755"/>
      <c r="AS639" s="1755"/>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602</v>
      </c>
      <c r="C640" s="1665"/>
      <c r="D640" s="1665"/>
      <c r="E640" s="1665"/>
      <c r="F640" s="1665"/>
      <c r="G640" s="1665"/>
      <c r="H640" s="1665"/>
      <c r="I640" s="1665"/>
      <c r="J640" s="1665"/>
      <c r="K640" s="1665"/>
      <c r="L640" s="1665"/>
      <c r="M640" s="1665"/>
      <c r="N640" s="2022"/>
      <c r="O640" s="1960"/>
      <c r="P640" s="1828"/>
      <c r="Q640" s="1961"/>
      <c r="R640" s="1960"/>
      <c r="S640" s="1828"/>
      <c r="T640" s="1961"/>
      <c r="U640" s="1962"/>
      <c r="V640" s="1963"/>
      <c r="W640" s="1964"/>
      <c r="X640" s="1695" t="s">
        <v>2189</v>
      </c>
      <c r="Y640" s="1965"/>
      <c r="Z640" s="1965"/>
      <c r="AA640" s="1965"/>
      <c r="AB640" s="1966"/>
      <c r="AC640" s="1958"/>
      <c r="AD640" s="1671"/>
      <c r="AE640" s="1959"/>
      <c r="AF640" s="1730"/>
      <c r="AG640" s="1731"/>
      <c r="AH640" s="1731"/>
      <c r="AI640" s="1731"/>
      <c r="AJ640" s="1732"/>
      <c r="AK640" s="2034"/>
      <c r="AL640" s="2035"/>
      <c r="AM640" s="2035"/>
      <c r="AN640" s="2036"/>
      <c r="AO640" s="1755"/>
      <c r="AP640" s="1755"/>
      <c r="AQ640" s="1755"/>
      <c r="AR640" s="1755"/>
      <c r="AS640" s="1755"/>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189</v>
      </c>
      <c r="C641" s="1665"/>
      <c r="D641" s="1665"/>
      <c r="E641" s="1665"/>
      <c r="F641" s="1665"/>
      <c r="G641" s="1665"/>
      <c r="H641" s="1665"/>
      <c r="I641" s="1665"/>
      <c r="J641" s="1665"/>
      <c r="K641" s="1665"/>
      <c r="L641" s="1665"/>
      <c r="M641" s="1665"/>
      <c r="N641" s="2022"/>
      <c r="O641" s="1960"/>
      <c r="P641" s="1828"/>
      <c r="Q641" s="1961"/>
      <c r="R641" s="1960"/>
      <c r="S641" s="1828"/>
      <c r="T641" s="1961"/>
      <c r="U641" s="1962"/>
      <c r="V641" s="1963"/>
      <c r="W641" s="1964"/>
      <c r="X641" s="1695" t="s">
        <v>2189</v>
      </c>
      <c r="Y641" s="1965"/>
      <c r="Z641" s="1965"/>
      <c r="AA641" s="1965"/>
      <c r="AB641" s="1966"/>
      <c r="AC641" s="1958"/>
      <c r="AD641" s="1671"/>
      <c r="AE641" s="1959"/>
      <c r="AF641" s="1730"/>
      <c r="AG641" s="1731"/>
      <c r="AH641" s="1731"/>
      <c r="AI641" s="1731"/>
      <c r="AJ641" s="1732"/>
      <c r="AK641" s="2034"/>
      <c r="AL641" s="2035"/>
      <c r="AM641" s="2035"/>
      <c r="AN641" s="2036"/>
      <c r="AO641" s="1755"/>
      <c r="AP641" s="1755"/>
      <c r="AQ641" s="1755"/>
      <c r="AR641" s="1755"/>
      <c r="AS641" s="1755"/>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65"/>
      <c r="D642" s="1665"/>
      <c r="E642" s="1665"/>
      <c r="F642" s="1665"/>
      <c r="G642" s="1665"/>
      <c r="H642" s="1665"/>
      <c r="I642" s="1665"/>
      <c r="J642" s="1665"/>
      <c r="K642" s="1665"/>
      <c r="L642" s="1665"/>
      <c r="M642" s="1665"/>
      <c r="N642" s="2022"/>
      <c r="O642" s="1960"/>
      <c r="P642" s="1828"/>
      <c r="Q642" s="1961"/>
      <c r="R642" s="1960"/>
      <c r="S642" s="1828"/>
      <c r="T642" s="1961"/>
      <c r="U642" s="1962"/>
      <c r="V642" s="1963"/>
      <c r="W642" s="1964"/>
      <c r="X642" s="1695" t="s">
        <v>2189</v>
      </c>
      <c r="Y642" s="1965"/>
      <c r="Z642" s="1965"/>
      <c r="AA642" s="1965"/>
      <c r="AB642" s="1966"/>
      <c r="AC642" s="1958"/>
      <c r="AD642" s="1671"/>
      <c r="AE642" s="1959"/>
      <c r="AF642" s="1730"/>
      <c r="AG642" s="1731"/>
      <c r="AH642" s="1731"/>
      <c r="AI642" s="1731"/>
      <c r="AJ642" s="1732"/>
      <c r="AK642" s="2034"/>
      <c r="AL642" s="2035"/>
      <c r="AM642" s="2035"/>
      <c r="AN642" s="2036"/>
      <c r="AO642" s="1755"/>
      <c r="AP642" s="1755"/>
      <c r="AQ642" s="1755"/>
      <c r="AR642" s="1755"/>
      <c r="AS642" s="1755"/>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5"/>
      <c r="D643" s="1665"/>
      <c r="E643" s="1665"/>
      <c r="F643" s="1665"/>
      <c r="G643" s="1665"/>
      <c r="H643" s="1665"/>
      <c r="I643" s="1665"/>
      <c r="J643" s="1665"/>
      <c r="K643" s="1665"/>
      <c r="L643" s="1665"/>
      <c r="M643" s="1665"/>
      <c r="N643" s="2022"/>
      <c r="O643" s="1960"/>
      <c r="P643" s="1828"/>
      <c r="Q643" s="1961"/>
      <c r="R643" s="1960"/>
      <c r="S643" s="1828"/>
      <c r="T643" s="1961"/>
      <c r="U643" s="1962"/>
      <c r="V643" s="1963"/>
      <c r="W643" s="1964"/>
      <c r="X643" s="1695" t="s">
        <v>2189</v>
      </c>
      <c r="Y643" s="1965"/>
      <c r="Z643" s="1965"/>
      <c r="AA643" s="1965"/>
      <c r="AB643" s="1966"/>
      <c r="AC643" s="1958"/>
      <c r="AD643" s="1671"/>
      <c r="AE643" s="1959"/>
      <c r="AF643" s="1730"/>
      <c r="AG643" s="1731"/>
      <c r="AH643" s="1731"/>
      <c r="AI643" s="1731"/>
      <c r="AJ643" s="1732"/>
      <c r="AK643" s="2034"/>
      <c r="AL643" s="2035"/>
      <c r="AM643" s="2035"/>
      <c r="AN643" s="2036"/>
      <c r="AO643" s="1755"/>
      <c r="AP643" s="1755"/>
      <c r="AQ643" s="1755"/>
      <c r="AR643" s="1755"/>
      <c r="AS643" s="1755"/>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99" t="s">
        <v>398</v>
      </c>
      <c r="C644" s="1800"/>
      <c r="D644" s="1800"/>
      <c r="E644" s="1800"/>
      <c r="F644" s="1800"/>
      <c r="G644" s="1800"/>
      <c r="H644" s="1800"/>
      <c r="I644" s="1800"/>
      <c r="J644" s="1800"/>
      <c r="K644" s="1800"/>
      <c r="L644" s="1800"/>
      <c r="M644" s="1800"/>
      <c r="N644" s="1800"/>
      <c r="O644" s="1800"/>
      <c r="P644" s="1800"/>
      <c r="Q644" s="1800"/>
      <c r="R644" s="1800"/>
      <c r="S644" s="1800"/>
      <c r="T644" s="1800"/>
      <c r="U644" s="1800"/>
      <c r="V644" s="1800"/>
      <c r="W644" s="1800"/>
      <c r="X644" s="1800"/>
      <c r="Y644" s="1800"/>
      <c r="Z644" s="1800"/>
      <c r="AA644" s="1800"/>
      <c r="AB644" s="1800"/>
      <c r="AC644" s="1800"/>
      <c r="AD644" s="1800"/>
      <c r="AE644" s="1800"/>
      <c r="AF644" s="1800"/>
      <c r="AG644" s="1800"/>
      <c r="AH644" s="1800"/>
      <c r="AI644" s="1800"/>
      <c r="AJ644" s="1800"/>
      <c r="AK644" s="1800"/>
      <c r="AL644" s="1800"/>
      <c r="AM644" s="1800"/>
      <c r="AN644" s="1801"/>
      <c r="AO644" s="1705">
        <f>SUM(AO632:AS643)</f>
        <v>23203525</v>
      </c>
      <c r="AP644" s="1706"/>
      <c r="AQ644" s="1706"/>
      <c r="AR644" s="1706"/>
      <c r="AS644" s="1707"/>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99" t="s">
        <v>399</v>
      </c>
      <c r="C645" s="1800"/>
      <c r="D645" s="1800"/>
      <c r="E645" s="1800"/>
      <c r="F645" s="1800"/>
      <c r="G645" s="1800"/>
      <c r="H645" s="1800"/>
      <c r="I645" s="1800"/>
      <c r="J645" s="1800"/>
      <c r="K645" s="1800"/>
      <c r="L645" s="1800"/>
      <c r="M645" s="1800"/>
      <c r="N645" s="1800"/>
      <c r="O645" s="1800"/>
      <c r="P645" s="1800"/>
      <c r="Q645" s="1800"/>
      <c r="R645" s="1800"/>
      <c r="S645" s="1800"/>
      <c r="T645" s="1800"/>
      <c r="U645" s="1800"/>
      <c r="V645" s="1800"/>
      <c r="W645" s="1800"/>
      <c r="X645" s="1800"/>
      <c r="Y645" s="1800"/>
      <c r="Z645" s="1800"/>
      <c r="AA645" s="1800"/>
      <c r="AB645" s="1800"/>
      <c r="AC645" s="1800"/>
      <c r="AD645" s="1800"/>
      <c r="AE645" s="1800"/>
      <c r="AF645" s="1800"/>
      <c r="AG645" s="1800"/>
      <c r="AH645" s="1800"/>
      <c r="AI645" s="1800"/>
      <c r="AJ645" s="1800"/>
      <c r="AK645" s="1800"/>
      <c r="AL645" s="1800"/>
      <c r="AM645" s="1800"/>
      <c r="AN645" s="1801"/>
      <c r="AO645" s="1698">
        <f>[4]EVERYTHING!$C$16-[4]EVERYTHING!$C$109</f>
        <v>25817658.979608379</v>
      </c>
      <c r="AP645" s="1699"/>
      <c r="AQ645" s="1699"/>
      <c r="AR645" s="1699"/>
      <c r="AS645" s="1700"/>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65" t="s">
        <v>1022</v>
      </c>
      <c r="C646" s="2066"/>
      <c r="D646" s="2066"/>
      <c r="E646" s="2066"/>
      <c r="F646" s="2066"/>
      <c r="G646" s="2066"/>
      <c r="H646" s="2066"/>
      <c r="I646" s="2066"/>
      <c r="J646" s="2066"/>
      <c r="K646" s="2066"/>
      <c r="L646" s="2066"/>
      <c r="M646" s="2066"/>
      <c r="N646" s="2066"/>
      <c r="O646" s="2066"/>
      <c r="P646" s="2066"/>
      <c r="Q646" s="2066"/>
      <c r="R646" s="2066"/>
      <c r="S646" s="2066"/>
      <c r="T646" s="2066"/>
      <c r="U646" s="2066"/>
      <c r="V646" s="2066"/>
      <c r="W646" s="2066"/>
      <c r="X646" s="2066"/>
      <c r="Y646" s="2066"/>
      <c r="Z646" s="2066"/>
      <c r="AA646" s="2066"/>
      <c r="AB646" s="2066"/>
      <c r="AC646" s="2066"/>
      <c r="AD646" s="2066"/>
      <c r="AE646" s="2066"/>
      <c r="AF646" s="2066"/>
      <c r="AG646" s="2066"/>
      <c r="AH646" s="2066"/>
      <c r="AI646" s="2066"/>
      <c r="AJ646" s="2066"/>
      <c r="AK646" s="2066"/>
      <c r="AL646" s="2066"/>
      <c r="AM646" s="2066"/>
      <c r="AN646" s="2067"/>
      <c r="AO646" s="1705">
        <f>AO644+AO645</f>
        <v>49021183.979608379</v>
      </c>
      <c r="AP646" s="1706"/>
      <c r="AQ646" s="1706"/>
      <c r="AR646" s="1706"/>
      <c r="AS646" s="1707"/>
      <c r="AT646" s="75"/>
      <c r="AU646" s="75"/>
      <c r="AV646" s="75"/>
      <c r="AW646" s="75"/>
      <c r="AX646" s="75"/>
      <c r="AY646" s="75"/>
      <c r="AZ646" s="75"/>
      <c r="BN646" s="2134">
        <f>SUM(BN636:BR645)</f>
        <v>0</v>
      </c>
      <c r="BO646" s="2135"/>
      <c r="BP646" s="2135"/>
      <c r="BQ646" s="2135"/>
      <c r="BR646" s="2136"/>
      <c r="BS646" s="2134">
        <f>SUM(BS636:BW645)</f>
        <v>0</v>
      </c>
      <c r="BT646" s="2135"/>
      <c r="BU646" s="2135"/>
      <c r="BV646" s="2135"/>
      <c r="BW646" s="2136"/>
      <c r="BX646" s="2134">
        <f>SUM(BX636:CB645)</f>
        <v>0</v>
      </c>
      <c r="BY646" s="2135"/>
      <c r="BZ646" s="2135"/>
      <c r="CA646" s="2135"/>
      <c r="CB646" s="2136"/>
      <c r="CC646" s="2134">
        <f>SUM(CC636:CG645)</f>
        <v>0</v>
      </c>
      <c r="CD646" s="2135"/>
      <c r="CE646" s="2135"/>
      <c r="CF646" s="2135"/>
      <c r="CG646" s="2136"/>
      <c r="CH646" s="2134">
        <f>SUM(CH636:CL645)</f>
        <v>0</v>
      </c>
      <c r="CI646" s="2135"/>
      <c r="CJ646" s="2135"/>
      <c r="CK646" s="2135"/>
      <c r="CL646" s="2136"/>
      <c r="CM646" s="2134">
        <f>SUM(CM636:CQ645)</f>
        <v>0</v>
      </c>
      <c r="CN646" s="2135"/>
      <c r="CO646" s="2135"/>
      <c r="CP646" s="2135"/>
      <c r="CQ646" s="213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92</v>
      </c>
      <c r="G648" s="1834" t="str">
        <f>C632</f>
        <v>JP Morgan Chase Permanent Loan</v>
      </c>
      <c r="H648" s="1834"/>
      <c r="I648" s="1834"/>
      <c r="J648" s="1834"/>
      <c r="K648" s="1834"/>
      <c r="L648" s="1834"/>
      <c r="M648" s="1834"/>
      <c r="N648" s="1834"/>
      <c r="O648" s="1834"/>
      <c r="P648" s="1834"/>
      <c r="Q648" s="1834"/>
      <c r="R648" s="1834"/>
      <c r="S648" s="18"/>
      <c r="T648" s="101" t="s">
        <v>983</v>
      </c>
      <c r="U648" s="16" t="s">
        <v>92</v>
      </c>
      <c r="Z648" s="1834" t="str">
        <f>C633</f>
        <v>County of Santa Clara</v>
      </c>
      <c r="AA648" s="1834"/>
      <c r="AB648" s="1834"/>
      <c r="AC648" s="1834"/>
      <c r="AD648" s="1834"/>
      <c r="AE648" s="1834"/>
      <c r="AF648" s="1834"/>
      <c r="AG648" s="1834"/>
      <c r="AH648" s="1834"/>
      <c r="AI648" s="1834"/>
      <c r="AJ648" s="1834"/>
      <c r="AK648" s="1834"/>
      <c r="AM648" s="75"/>
      <c r="AN648" s="75"/>
      <c r="AO648" s="75"/>
      <c r="AP648" s="75"/>
      <c r="AQ648" s="75"/>
      <c r="AR648" s="75"/>
      <c r="AS648" s="75"/>
      <c r="AT648" s="75"/>
      <c r="AU648" s="75"/>
      <c r="AV648" s="75"/>
      <c r="AW648" s="75"/>
      <c r="AX648" s="75"/>
      <c r="AY648" s="75"/>
      <c r="AZ648" s="75"/>
      <c r="CP648" s="1349" t="s">
        <v>1889</v>
      </c>
      <c r="CQ648" s="715">
        <f>BN646+BS646+BX646+CC646+CH646+CM646</f>
        <v>0</v>
      </c>
      <c r="CR648" s="72"/>
      <c r="CS648" s="72"/>
    </row>
    <row r="649" spans="1:97" ht="13.5" thickBot="1">
      <c r="A649" s="46"/>
      <c r="B649" s="16" t="s">
        <v>412</v>
      </c>
      <c r="G649" s="1673" t="s">
        <v>2444</v>
      </c>
      <c r="H649" s="1672"/>
      <c r="I649" s="1672"/>
      <c r="J649" s="1672"/>
      <c r="K649" s="1672"/>
      <c r="L649" s="1672"/>
      <c r="M649" s="1672"/>
      <c r="N649" s="1672"/>
      <c r="O649" s="1672"/>
      <c r="P649" s="1672"/>
      <c r="Q649" s="1672"/>
      <c r="R649" s="1672"/>
      <c r="S649" s="18"/>
      <c r="T649" s="46"/>
      <c r="U649" s="16" t="s">
        <v>412</v>
      </c>
      <c r="Z649" s="1673" t="s">
        <v>2452</v>
      </c>
      <c r="AA649" s="1672"/>
      <c r="AB649" s="1672"/>
      <c r="AC649" s="1672"/>
      <c r="AD649" s="1672"/>
      <c r="AE649" s="1672"/>
      <c r="AF649" s="1672"/>
      <c r="AG649" s="1672"/>
      <c r="AH649" s="1672"/>
      <c r="AI649" s="1672"/>
      <c r="AJ649" s="1672"/>
      <c r="AK649" s="1672"/>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673" t="s">
        <v>124</v>
      </c>
      <c r="H650" s="1672"/>
      <c r="I650" s="1672"/>
      <c r="J650" s="1672"/>
      <c r="K650" s="1672"/>
      <c r="L650" s="1672"/>
      <c r="M650" s="1672"/>
      <c r="N650" s="1672"/>
      <c r="O650" s="1672"/>
      <c r="P650" s="1672"/>
      <c r="Q650" s="1672"/>
      <c r="R650" s="1672"/>
      <c r="S650" s="102"/>
      <c r="T650" s="46"/>
      <c r="U650" s="16" t="s">
        <v>475</v>
      </c>
      <c r="Z650" s="1665" t="s">
        <v>2453</v>
      </c>
      <c r="AA650" s="1666"/>
      <c r="AB650" s="1666"/>
      <c r="AC650" s="1666"/>
      <c r="AD650" s="1666"/>
      <c r="AE650" s="1666"/>
      <c r="AF650" s="1666"/>
      <c r="AG650" s="1666"/>
      <c r="AH650" s="1666"/>
      <c r="AI650" s="1666"/>
      <c r="AJ650" s="1666"/>
      <c r="AK650" s="1666"/>
      <c r="AM650" s="75"/>
      <c r="AN650" s="75"/>
      <c r="AO650" s="75"/>
      <c r="AP650" s="75"/>
      <c r="AQ650" s="75"/>
      <c r="AR650" s="75"/>
      <c r="AS650" s="75"/>
      <c r="AT650" s="75"/>
      <c r="AU650" s="75"/>
      <c r="AV650" s="75"/>
      <c r="AW650" s="75"/>
      <c r="AX650" s="75"/>
      <c r="AY650" s="75"/>
      <c r="AZ650" s="75"/>
      <c r="CP650" s="1349" t="s">
        <v>1891</v>
      </c>
      <c r="CQ650" s="715">
        <f>CQ648+CQ629</f>
        <v>53</v>
      </c>
      <c r="CR650" s="72"/>
      <c r="CS650" s="72"/>
    </row>
    <row r="651" spans="1:97" ht="12.75">
      <c r="A651" s="46"/>
      <c r="B651" s="16" t="s">
        <v>906</v>
      </c>
      <c r="G651" s="1673" t="s">
        <v>2445</v>
      </c>
      <c r="H651" s="1672"/>
      <c r="I651" s="1672"/>
      <c r="J651" s="1672"/>
      <c r="K651" s="1672"/>
      <c r="L651" s="1672"/>
      <c r="M651" s="1672"/>
      <c r="N651" s="1672"/>
      <c r="O651" s="1672"/>
      <c r="P651" s="1672"/>
      <c r="Q651" s="1672"/>
      <c r="R651" s="1672"/>
      <c r="S651" s="18"/>
      <c r="T651" s="46"/>
      <c r="U651" s="16" t="s">
        <v>906</v>
      </c>
      <c r="Z651" s="1665" t="s">
        <v>2454</v>
      </c>
      <c r="AA651" s="1666"/>
      <c r="AB651" s="1666"/>
      <c r="AC651" s="1666"/>
      <c r="AD651" s="1666"/>
      <c r="AE651" s="1666"/>
      <c r="AF651" s="1666"/>
      <c r="AG651" s="1666"/>
      <c r="AH651" s="1666"/>
      <c r="AI651" s="1666"/>
      <c r="AJ651" s="1666"/>
      <c r="AK651" s="1666"/>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75" t="s">
        <v>2446</v>
      </c>
      <c r="H652" s="1669"/>
      <c r="I652" s="1669"/>
      <c r="J652" s="1669"/>
      <c r="K652" s="1669"/>
      <c r="L652" s="1669"/>
      <c r="O652" s="149" t="s">
        <v>891</v>
      </c>
      <c r="P652" s="1676"/>
      <c r="Q652" s="1676"/>
      <c r="R652" s="1676"/>
      <c r="S652" s="20"/>
      <c r="T652" s="46"/>
      <c r="U652" s="16" t="s">
        <v>711</v>
      </c>
      <c r="Z652" s="1675" t="s">
        <v>2455</v>
      </c>
      <c r="AA652" s="1669"/>
      <c r="AB652" s="1669"/>
      <c r="AC652" s="1669"/>
      <c r="AD652" s="1669"/>
      <c r="AE652" s="1669"/>
      <c r="AH652" s="149" t="s">
        <v>891</v>
      </c>
      <c r="AI652" s="1676"/>
      <c r="AJ652" s="1676"/>
      <c r="AK652" s="1676"/>
      <c r="AM652" s="75"/>
      <c r="AN652" s="75"/>
      <c r="AO652" s="75"/>
      <c r="AP652" s="75"/>
      <c r="AQ652" s="75"/>
      <c r="AR652" s="75"/>
      <c r="AS652" s="75"/>
      <c r="AT652" s="75"/>
      <c r="AU652" s="75"/>
      <c r="AV652" s="75"/>
      <c r="AW652" s="75"/>
      <c r="AX652" s="75"/>
      <c r="AY652" s="75"/>
      <c r="AZ652" s="75"/>
      <c r="BN652" s="2134">
        <f>BN627+BN634+BN646</f>
        <v>37</v>
      </c>
      <c r="BO652" s="2135"/>
      <c r="BP652" s="2135"/>
      <c r="BQ652" s="2135"/>
      <c r="BR652" s="2136"/>
      <c r="BS652" s="2134">
        <f>BS627+BS634+BS646</f>
        <v>8</v>
      </c>
      <c r="BT652" s="2135"/>
      <c r="BU652" s="2135"/>
      <c r="BV652" s="2135"/>
      <c r="BW652" s="2136"/>
      <c r="BX652" s="2134">
        <f>BX627+BX634+BX646</f>
        <v>5</v>
      </c>
      <c r="BY652" s="2135"/>
      <c r="BZ652" s="2135"/>
      <c r="CA652" s="2135"/>
      <c r="CB652" s="2136"/>
      <c r="CC652" s="2134">
        <f>CC627+CC634+CC646</f>
        <v>0</v>
      </c>
      <c r="CD652" s="2135"/>
      <c r="CE652" s="2135"/>
      <c r="CF652" s="2135"/>
      <c r="CG652" s="2136"/>
      <c r="CH652" s="2134">
        <f>CH627+CH634+CH646</f>
        <v>0</v>
      </c>
      <c r="CI652" s="2135"/>
      <c r="CJ652" s="2135"/>
      <c r="CK652" s="2135"/>
      <c r="CL652" s="2136"/>
      <c r="CM652" s="1806">
        <f>CM646+CM634+CM627</f>
        <v>0</v>
      </c>
      <c r="CN652" s="2133"/>
      <c r="CO652" s="2133"/>
      <c r="CP652" s="2133"/>
      <c r="CQ652" s="1807"/>
      <c r="CR652" s="72"/>
      <c r="CS652" s="72"/>
    </row>
    <row r="653" spans="1:97" ht="12.75">
      <c r="A653" s="46"/>
      <c r="B653" s="16" t="s">
        <v>907</v>
      </c>
      <c r="H653" s="1673" t="s">
        <v>2460</v>
      </c>
      <c r="I653" s="1672"/>
      <c r="J653" s="1672"/>
      <c r="K653" s="1672"/>
      <c r="L653" s="1672"/>
      <c r="M653" s="1672"/>
      <c r="N653" s="1672"/>
      <c r="O653" s="1672"/>
      <c r="P653" s="1672"/>
      <c r="Q653" s="1672"/>
      <c r="R653" s="1672"/>
      <c r="S653" s="18"/>
      <c r="T653" s="46"/>
      <c r="U653" s="16" t="s">
        <v>907</v>
      </c>
      <c r="AA653" s="1673" t="s">
        <v>2451</v>
      </c>
      <c r="AB653" s="1672"/>
      <c r="AC653" s="1672"/>
      <c r="AD653" s="1672"/>
      <c r="AE653" s="1672"/>
      <c r="AF653" s="1672"/>
      <c r="AG653" s="1672"/>
      <c r="AH653" s="1672"/>
      <c r="AI653" s="1672"/>
      <c r="AJ653" s="1672"/>
      <c r="AK653" s="167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70" t="s">
        <v>118</v>
      </c>
      <c r="O654" s="1670"/>
      <c r="T654" s="46"/>
      <c r="U654" s="16" t="s">
        <v>909</v>
      </c>
      <c r="AG654" s="1670" t="s">
        <v>118</v>
      </c>
      <c r="AH654" s="167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92</v>
      </c>
      <c r="G656" s="1834" t="str">
        <f>C634</f>
        <v>City of Palo Alto</v>
      </c>
      <c r="H656" s="1834"/>
      <c r="I656" s="1834"/>
      <c r="J656" s="1834"/>
      <c r="K656" s="1834"/>
      <c r="L656" s="1834"/>
      <c r="M656" s="1834"/>
      <c r="N656" s="1834"/>
      <c r="O656" s="1834"/>
      <c r="P656" s="1834"/>
      <c r="Q656" s="1834"/>
      <c r="R656" s="1834"/>
      <c r="T656" s="101" t="s">
        <v>476</v>
      </c>
      <c r="U656" s="16" t="s">
        <v>92</v>
      </c>
      <c r="Z656" s="1834" t="str">
        <f>C635</f>
        <v>Value of Donated Land (GP equity or deferred fee or sponsor loan TBD based on investor negotiations)</v>
      </c>
      <c r="AA656" s="1834"/>
      <c r="AB656" s="1834"/>
      <c r="AC656" s="1834"/>
      <c r="AD656" s="1834"/>
      <c r="AE656" s="1834"/>
      <c r="AF656" s="1834"/>
      <c r="AG656" s="1834"/>
      <c r="AH656" s="1834"/>
      <c r="AI656" s="1834"/>
      <c r="AJ656" s="1834"/>
      <c r="AK656" s="183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673" t="s">
        <v>2448</v>
      </c>
      <c r="H657" s="1672"/>
      <c r="I657" s="1672"/>
      <c r="J657" s="1672"/>
      <c r="K657" s="1672"/>
      <c r="L657" s="1672"/>
      <c r="M657" s="1672"/>
      <c r="N657" s="1672"/>
      <c r="O657" s="1672"/>
      <c r="P657" s="1672"/>
      <c r="Q657" s="1672"/>
      <c r="R657" s="1672"/>
      <c r="T657" s="46"/>
      <c r="U657" s="16" t="s">
        <v>412</v>
      </c>
      <c r="Z657" s="1673" t="s">
        <v>2452</v>
      </c>
      <c r="AA657" s="1672"/>
      <c r="AB657" s="1672"/>
      <c r="AC657" s="1672"/>
      <c r="AD657" s="1672"/>
      <c r="AE657" s="1672"/>
      <c r="AF657" s="1672"/>
      <c r="AG657" s="1672"/>
      <c r="AH657" s="1672"/>
      <c r="AI657" s="1672"/>
      <c r="AJ657" s="1672"/>
      <c r="AK657" s="167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665" t="s">
        <v>2342</v>
      </c>
      <c r="H658" s="1666"/>
      <c r="I658" s="1666"/>
      <c r="J658" s="1666"/>
      <c r="K658" s="1666"/>
      <c r="L658" s="1666"/>
      <c r="M658" s="1666"/>
      <c r="N658" s="1666"/>
      <c r="O658" s="1666"/>
      <c r="P658" s="1666"/>
      <c r="Q658" s="1666"/>
      <c r="R658" s="1666"/>
      <c r="T658" s="46"/>
      <c r="U658" s="16" t="s">
        <v>475</v>
      </c>
      <c r="Z658" s="1665" t="s">
        <v>2453</v>
      </c>
      <c r="AA658" s="1666"/>
      <c r="AB658" s="1666"/>
      <c r="AC658" s="1666"/>
      <c r="AD658" s="1666"/>
      <c r="AE658" s="1666"/>
      <c r="AF658" s="1666"/>
      <c r="AG658" s="1666"/>
      <c r="AH658" s="1666"/>
      <c r="AI658" s="1666"/>
      <c r="AJ658" s="1666"/>
      <c r="AK658" s="166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65" t="s">
        <v>2449</v>
      </c>
      <c r="H659" s="1666"/>
      <c r="I659" s="1666"/>
      <c r="J659" s="1666"/>
      <c r="K659" s="1666"/>
      <c r="L659" s="1666"/>
      <c r="M659" s="1666"/>
      <c r="N659" s="1666"/>
      <c r="O659" s="1666"/>
      <c r="P659" s="1666"/>
      <c r="Q659" s="1666"/>
      <c r="R659" s="1666"/>
      <c r="T659" s="46"/>
      <c r="U659" s="16" t="s">
        <v>906</v>
      </c>
      <c r="Z659" s="1665" t="s">
        <v>2454</v>
      </c>
      <c r="AA659" s="1666"/>
      <c r="AB659" s="1666"/>
      <c r="AC659" s="1666"/>
      <c r="AD659" s="1666"/>
      <c r="AE659" s="1666"/>
      <c r="AF659" s="1666"/>
      <c r="AG659" s="1666"/>
      <c r="AH659" s="1666"/>
      <c r="AI659" s="1666"/>
      <c r="AJ659" s="1666"/>
      <c r="AK659" s="166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75" t="s">
        <v>2450</v>
      </c>
      <c r="H660" s="1669"/>
      <c r="I660" s="1669"/>
      <c r="J660" s="1669"/>
      <c r="K660" s="1669"/>
      <c r="L660" s="1669"/>
      <c r="O660" s="149" t="s">
        <v>891</v>
      </c>
      <c r="P660" s="1676"/>
      <c r="Q660" s="1676"/>
      <c r="R660" s="1676"/>
      <c r="T660" s="46"/>
      <c r="U660" s="16" t="s">
        <v>711</v>
      </c>
      <c r="Z660" s="1675" t="s">
        <v>2455</v>
      </c>
      <c r="AA660" s="1669"/>
      <c r="AB660" s="1669"/>
      <c r="AC660" s="1669"/>
      <c r="AD660" s="1669"/>
      <c r="AE660" s="1669"/>
      <c r="AH660" s="149" t="s">
        <v>891</v>
      </c>
      <c r="AI660" s="1676"/>
      <c r="AJ660" s="1676"/>
      <c r="AK660" s="167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73" t="s">
        <v>2451</v>
      </c>
      <c r="I661" s="1672"/>
      <c r="J661" s="1672"/>
      <c r="K661" s="1672"/>
      <c r="L661" s="1672"/>
      <c r="M661" s="1672"/>
      <c r="N661" s="1672"/>
      <c r="O661" s="1672"/>
      <c r="P661" s="1672"/>
      <c r="Q661" s="1672"/>
      <c r="R661" s="1672"/>
      <c r="T661" s="46"/>
      <c r="U661" s="16" t="s">
        <v>907</v>
      </c>
      <c r="AA661" s="1673" t="s">
        <v>2456</v>
      </c>
      <c r="AB661" s="1672"/>
      <c r="AC661" s="1672"/>
      <c r="AD661" s="1672"/>
      <c r="AE661" s="1672"/>
      <c r="AF661" s="1672"/>
      <c r="AG661" s="1672"/>
      <c r="AH661" s="1672"/>
      <c r="AI661" s="1672"/>
      <c r="AJ661" s="1672"/>
      <c r="AK661" s="167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70" t="s">
        <v>118</v>
      </c>
      <c r="O662" s="1670"/>
      <c r="T662" s="46"/>
      <c r="U662" s="16" t="s">
        <v>909</v>
      </c>
      <c r="AG662" s="1670" t="s">
        <v>118</v>
      </c>
      <c r="AH662" s="167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34" t="str">
        <f>C636</f>
        <v>GP Equity (Eden Housing)</v>
      </c>
      <c r="H664" s="1834"/>
      <c r="I664" s="1834"/>
      <c r="J664" s="1834"/>
      <c r="K664" s="1834"/>
      <c r="L664" s="1834"/>
      <c r="M664" s="1834"/>
      <c r="N664" s="1834"/>
      <c r="O664" s="1834"/>
      <c r="P664" s="1834"/>
      <c r="Q664" s="1834"/>
      <c r="R664" s="1834"/>
      <c r="T664" s="101" t="s">
        <v>479</v>
      </c>
      <c r="U664" s="16" t="s">
        <v>92</v>
      </c>
      <c r="Z664" s="1834">
        <f>C637</f>
        <v>0</v>
      </c>
      <c r="AA664" s="1834"/>
      <c r="AB664" s="1834"/>
      <c r="AC664" s="1834"/>
      <c r="AD664" s="1834"/>
      <c r="AE664" s="1834"/>
      <c r="AF664" s="1834"/>
      <c r="AG664" s="1834"/>
      <c r="AH664" s="1834"/>
      <c r="AI664" s="1834"/>
      <c r="AJ664" s="1834"/>
      <c r="AK664" s="183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673" t="s">
        <v>2348</v>
      </c>
      <c r="H665" s="1672"/>
      <c r="I665" s="1672"/>
      <c r="J665" s="1672"/>
      <c r="K665" s="1672"/>
      <c r="L665" s="1672"/>
      <c r="M665" s="1672"/>
      <c r="N665" s="1672"/>
      <c r="O665" s="1672"/>
      <c r="P665" s="1672"/>
      <c r="Q665" s="1672"/>
      <c r="R665" s="1672"/>
      <c r="T665" s="46"/>
      <c r="U665" s="16" t="s">
        <v>412</v>
      </c>
      <c r="Z665" s="1672"/>
      <c r="AA665" s="1672"/>
      <c r="AB665" s="1672"/>
      <c r="AC665" s="1672"/>
      <c r="AD665" s="1672"/>
      <c r="AE665" s="1672"/>
      <c r="AF665" s="1672"/>
      <c r="AG665" s="1672"/>
      <c r="AH665" s="1672"/>
      <c r="AI665" s="1672"/>
      <c r="AJ665" s="1672"/>
      <c r="AK665" s="167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673" t="s">
        <v>2349</v>
      </c>
      <c r="H666" s="1672"/>
      <c r="I666" s="1672"/>
      <c r="J666" s="1672"/>
      <c r="K666" s="1672"/>
      <c r="L666" s="1672"/>
      <c r="M666" s="1672"/>
      <c r="N666" s="1672"/>
      <c r="O666" s="1672"/>
      <c r="P666" s="1672"/>
      <c r="Q666" s="1672"/>
      <c r="R666" s="1672"/>
      <c r="T666" s="46"/>
      <c r="U666" s="16" t="s">
        <v>475</v>
      </c>
      <c r="Z666" s="1666"/>
      <c r="AA666" s="1666"/>
      <c r="AB666" s="1666"/>
      <c r="AC666" s="1666"/>
      <c r="AD666" s="1666"/>
      <c r="AE666" s="1666"/>
      <c r="AF666" s="1666"/>
      <c r="AG666" s="1666"/>
      <c r="AH666" s="1666"/>
      <c r="AI666" s="1666"/>
      <c r="AJ666" s="1666"/>
      <c r="AK666" s="166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73" t="s">
        <v>2352</v>
      </c>
      <c r="H667" s="1672"/>
      <c r="I667" s="1672"/>
      <c r="J667" s="1672"/>
      <c r="K667" s="1672"/>
      <c r="L667" s="1672"/>
      <c r="M667" s="1672"/>
      <c r="N667" s="1672"/>
      <c r="O667" s="1672"/>
      <c r="P667" s="1672"/>
      <c r="Q667" s="1672"/>
      <c r="R667" s="1672"/>
      <c r="T667" s="46"/>
      <c r="U667" s="16" t="s">
        <v>906</v>
      </c>
      <c r="Z667" s="1666"/>
      <c r="AA667" s="1666"/>
      <c r="AB667" s="1666"/>
      <c r="AC667" s="1666"/>
      <c r="AD667" s="1666"/>
      <c r="AE667" s="1666"/>
      <c r="AF667" s="1666"/>
      <c r="AG667" s="1666"/>
      <c r="AH667" s="1666"/>
      <c r="AI667" s="1666"/>
      <c r="AJ667" s="1666"/>
      <c r="AK667" s="166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75" t="s">
        <v>2353</v>
      </c>
      <c r="H668" s="1669"/>
      <c r="I668" s="1669"/>
      <c r="J668" s="1669"/>
      <c r="K668" s="1669"/>
      <c r="L668" s="1669"/>
      <c r="O668" s="149" t="s">
        <v>891</v>
      </c>
      <c r="P668" s="1676"/>
      <c r="Q668" s="1676"/>
      <c r="R668" s="1676"/>
      <c r="T668" s="46"/>
      <c r="U668" s="16" t="s">
        <v>711</v>
      </c>
      <c r="Z668" s="1669"/>
      <c r="AA668" s="1669"/>
      <c r="AB668" s="1669"/>
      <c r="AC668" s="1669"/>
      <c r="AD668" s="1669"/>
      <c r="AE668" s="1669"/>
      <c r="AH668" s="149" t="s">
        <v>891</v>
      </c>
      <c r="AI668" s="1676"/>
      <c r="AJ668" s="1676"/>
      <c r="AK668" s="167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73" t="s">
        <v>2459</v>
      </c>
      <c r="I669" s="1672"/>
      <c r="J669" s="1672"/>
      <c r="K669" s="1672"/>
      <c r="L669" s="1672"/>
      <c r="M669" s="1672"/>
      <c r="N669" s="1672"/>
      <c r="O669" s="1672"/>
      <c r="P669" s="1672"/>
      <c r="Q669" s="1672"/>
      <c r="R669" s="1672"/>
      <c r="T669" s="46"/>
      <c r="U669" s="16" t="s">
        <v>907</v>
      </c>
      <c r="AA669" s="1672"/>
      <c r="AB669" s="1672"/>
      <c r="AC669" s="1672"/>
      <c r="AD669" s="1672"/>
      <c r="AE669" s="1672"/>
      <c r="AF669" s="1672"/>
      <c r="AG669" s="1672"/>
      <c r="AH669" s="1672"/>
      <c r="AI669" s="1672"/>
      <c r="AJ669" s="1672"/>
      <c r="AK669" s="167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70" t="s">
        <v>527</v>
      </c>
      <c r="O670" s="1670"/>
      <c r="T670" s="46"/>
      <c r="U670" s="16" t="s">
        <v>909</v>
      </c>
      <c r="AG670" s="1670" t="s">
        <v>527</v>
      </c>
      <c r="AH670" s="167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34">
        <f>C638</f>
        <v>0</v>
      </c>
      <c r="H672" s="1834"/>
      <c r="I672" s="1834"/>
      <c r="J672" s="1834"/>
      <c r="K672" s="1834"/>
      <c r="L672" s="1834"/>
      <c r="M672" s="1834"/>
      <c r="N672" s="1834"/>
      <c r="O672" s="1834"/>
      <c r="P672" s="1834"/>
      <c r="Q672" s="1834"/>
      <c r="R672" s="1834"/>
      <c r="T672" s="101" t="s">
        <v>805</v>
      </c>
      <c r="U672" s="16" t="s">
        <v>92</v>
      </c>
      <c r="Z672" s="1834">
        <f>C639</f>
        <v>0</v>
      </c>
      <c r="AA672" s="1834"/>
      <c r="AB672" s="1834"/>
      <c r="AC672" s="1834"/>
      <c r="AD672" s="1834"/>
      <c r="AE672" s="1834"/>
      <c r="AF672" s="1834"/>
      <c r="AG672" s="1834"/>
      <c r="AH672" s="1834"/>
      <c r="AI672" s="1834"/>
      <c r="AJ672" s="1834"/>
      <c r="AK672" s="183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672"/>
      <c r="H673" s="1672"/>
      <c r="I673" s="1672"/>
      <c r="J673" s="1672"/>
      <c r="K673" s="1672"/>
      <c r="L673" s="1672"/>
      <c r="M673" s="1672"/>
      <c r="N673" s="1672"/>
      <c r="O673" s="1672"/>
      <c r="P673" s="1672"/>
      <c r="Q673" s="1672"/>
      <c r="R673" s="1672"/>
      <c r="T673" s="46"/>
      <c r="U673" s="16" t="s">
        <v>412</v>
      </c>
      <c r="Z673" s="1672"/>
      <c r="AA673" s="1672"/>
      <c r="AB673" s="1672"/>
      <c r="AC673" s="1672"/>
      <c r="AD673" s="1672"/>
      <c r="AE673" s="1672"/>
      <c r="AF673" s="1672"/>
      <c r="AG673" s="1672"/>
      <c r="AH673" s="1672"/>
      <c r="AI673" s="1672"/>
      <c r="AJ673" s="1672"/>
      <c r="AK673" s="16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672"/>
      <c r="H674" s="1672"/>
      <c r="I674" s="1672"/>
      <c r="J674" s="1672"/>
      <c r="K674" s="1672"/>
      <c r="L674" s="1672"/>
      <c r="M674" s="1672"/>
      <c r="N674" s="1672"/>
      <c r="O674" s="1672"/>
      <c r="P674" s="1672"/>
      <c r="Q674" s="1672"/>
      <c r="R674" s="1672"/>
      <c r="T674" s="46"/>
      <c r="U674" s="16" t="s">
        <v>475</v>
      </c>
      <c r="Z674" s="1666"/>
      <c r="AA674" s="1666"/>
      <c r="AB674" s="1666"/>
      <c r="AC674" s="1666"/>
      <c r="AD674" s="1666"/>
      <c r="AE674" s="1666"/>
      <c r="AF674" s="1666"/>
      <c r="AG674" s="1666"/>
      <c r="AH674" s="1666"/>
      <c r="AI674" s="1666"/>
      <c r="AJ674" s="1666"/>
      <c r="AK674" s="166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72"/>
      <c r="H675" s="1672"/>
      <c r="I675" s="1672"/>
      <c r="J675" s="1672"/>
      <c r="K675" s="1672"/>
      <c r="L675" s="1672"/>
      <c r="M675" s="1672"/>
      <c r="N675" s="1672"/>
      <c r="O675" s="1672"/>
      <c r="P675" s="1672"/>
      <c r="Q675" s="1672"/>
      <c r="R675" s="1672"/>
      <c r="T675" s="46"/>
      <c r="U675" s="16" t="s">
        <v>906</v>
      </c>
      <c r="Z675" s="1666"/>
      <c r="AA675" s="1666"/>
      <c r="AB675" s="1666"/>
      <c r="AC675" s="1666"/>
      <c r="AD675" s="1666"/>
      <c r="AE675" s="1666"/>
      <c r="AF675" s="1666"/>
      <c r="AG675" s="1666"/>
      <c r="AH675" s="1666"/>
      <c r="AI675" s="1666"/>
      <c r="AJ675" s="1666"/>
      <c r="AK675" s="166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69"/>
      <c r="H676" s="1669"/>
      <c r="I676" s="1669"/>
      <c r="J676" s="1669"/>
      <c r="K676" s="1669"/>
      <c r="L676" s="1669"/>
      <c r="O676" s="149" t="s">
        <v>891</v>
      </c>
      <c r="P676" s="1676"/>
      <c r="Q676" s="1676"/>
      <c r="R676" s="1676"/>
      <c r="T676" s="46"/>
      <c r="U676" s="16" t="s">
        <v>711</v>
      </c>
      <c r="Z676" s="1669"/>
      <c r="AA676" s="1669"/>
      <c r="AB676" s="1669"/>
      <c r="AC676" s="1669"/>
      <c r="AD676" s="1669"/>
      <c r="AE676" s="1669"/>
      <c r="AH676" s="149" t="s">
        <v>891</v>
      </c>
      <c r="AI676" s="1676"/>
      <c r="AJ676" s="1676"/>
      <c r="AK676" s="167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72"/>
      <c r="I677" s="1672"/>
      <c r="J677" s="1672"/>
      <c r="K677" s="1672"/>
      <c r="L677" s="1672"/>
      <c r="M677" s="1672"/>
      <c r="N677" s="1672"/>
      <c r="O677" s="1672"/>
      <c r="P677" s="1672"/>
      <c r="Q677" s="1672"/>
      <c r="R677" s="1672"/>
      <c r="T677" s="46"/>
      <c r="U677" s="16" t="s">
        <v>907</v>
      </c>
      <c r="AA677" s="1672"/>
      <c r="AB677" s="1672"/>
      <c r="AC677" s="1672"/>
      <c r="AD677" s="1672"/>
      <c r="AE677" s="1672"/>
      <c r="AF677" s="1672"/>
      <c r="AG677" s="1672"/>
      <c r="AH677" s="1672"/>
      <c r="AI677" s="1672"/>
      <c r="AJ677" s="1672"/>
      <c r="AK677" s="167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70" t="s">
        <v>527</v>
      </c>
      <c r="O678" s="1670"/>
      <c r="T678" s="46"/>
      <c r="U678" s="16" t="s">
        <v>909</v>
      </c>
      <c r="AG678" s="1670" t="s">
        <v>527</v>
      </c>
      <c r="AH678" s="167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34">
        <f>C640</f>
        <v>0</v>
      </c>
      <c r="H680" s="1834"/>
      <c r="I680" s="1834"/>
      <c r="J680" s="1834"/>
      <c r="K680" s="1834"/>
      <c r="L680" s="1834"/>
      <c r="M680" s="1834"/>
      <c r="N680" s="1834"/>
      <c r="O680" s="1834"/>
      <c r="P680" s="1834"/>
      <c r="Q680" s="1834"/>
      <c r="R680" s="1834"/>
      <c r="T680" s="101" t="s">
        <v>189</v>
      </c>
      <c r="U680" s="16" t="s">
        <v>92</v>
      </c>
      <c r="Z680" s="1834">
        <f>C641</f>
        <v>0</v>
      </c>
      <c r="AA680" s="1834"/>
      <c r="AB680" s="1834"/>
      <c r="AC680" s="1834"/>
      <c r="AD680" s="1834"/>
      <c r="AE680" s="1834"/>
      <c r="AF680" s="1834"/>
      <c r="AG680" s="1834"/>
      <c r="AH680" s="1834"/>
      <c r="AI680" s="1834"/>
      <c r="AJ680" s="1834"/>
      <c r="AK680" s="183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72"/>
      <c r="H681" s="1672"/>
      <c r="I681" s="1672"/>
      <c r="J681" s="1672"/>
      <c r="K681" s="1672"/>
      <c r="L681" s="1672"/>
      <c r="M681" s="1672"/>
      <c r="N681" s="1672"/>
      <c r="O681" s="1672"/>
      <c r="P681" s="1672"/>
      <c r="Q681" s="1672"/>
      <c r="R681" s="1672"/>
      <c r="T681" s="46"/>
      <c r="U681" s="16" t="s">
        <v>412</v>
      </c>
      <c r="Z681" s="1672"/>
      <c r="AA681" s="1672"/>
      <c r="AB681" s="1672"/>
      <c r="AC681" s="1672"/>
      <c r="AD681" s="1672"/>
      <c r="AE681" s="1672"/>
      <c r="AF681" s="1672"/>
      <c r="AG681" s="1672"/>
      <c r="AH681" s="1672"/>
      <c r="AI681" s="1672"/>
      <c r="AJ681" s="1672"/>
      <c r="AK681" s="16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72"/>
      <c r="H682" s="1672"/>
      <c r="I682" s="1672"/>
      <c r="J682" s="1672"/>
      <c r="K682" s="1672"/>
      <c r="L682" s="1672"/>
      <c r="M682" s="1672"/>
      <c r="N682" s="1672"/>
      <c r="O682" s="1672"/>
      <c r="P682" s="1672"/>
      <c r="Q682" s="1672"/>
      <c r="R682" s="1672"/>
      <c r="T682" s="46"/>
      <c r="U682" s="16" t="s">
        <v>475</v>
      </c>
      <c r="Z682" s="1666"/>
      <c r="AA682" s="1666"/>
      <c r="AB682" s="1666"/>
      <c r="AC682" s="1666"/>
      <c r="AD682" s="1666"/>
      <c r="AE682" s="1666"/>
      <c r="AF682" s="1666"/>
      <c r="AG682" s="1666"/>
      <c r="AH682" s="1666"/>
      <c r="AI682" s="1666"/>
      <c r="AJ682" s="1666"/>
      <c r="AK682" s="166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72"/>
      <c r="H683" s="1672"/>
      <c r="I683" s="1672"/>
      <c r="J683" s="1672"/>
      <c r="K683" s="1672"/>
      <c r="L683" s="1672"/>
      <c r="M683" s="1672"/>
      <c r="N683" s="1672"/>
      <c r="O683" s="1672"/>
      <c r="P683" s="1672"/>
      <c r="Q683" s="1672"/>
      <c r="R683" s="1672"/>
      <c r="T683" s="46"/>
      <c r="U683" s="16" t="s">
        <v>906</v>
      </c>
      <c r="Z683" s="1666"/>
      <c r="AA683" s="1666"/>
      <c r="AB683" s="1666"/>
      <c r="AC683" s="1666"/>
      <c r="AD683" s="1666"/>
      <c r="AE683" s="1666"/>
      <c r="AF683" s="1666"/>
      <c r="AG683" s="1666"/>
      <c r="AH683" s="1666"/>
      <c r="AI683" s="1666"/>
      <c r="AJ683" s="1666"/>
      <c r="AK683" s="166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69"/>
      <c r="H684" s="1669"/>
      <c r="I684" s="1669"/>
      <c r="J684" s="1669"/>
      <c r="K684" s="1669"/>
      <c r="L684" s="1669"/>
      <c r="O684" s="149" t="s">
        <v>891</v>
      </c>
      <c r="P684" s="1676"/>
      <c r="Q684" s="1676"/>
      <c r="R684" s="1676"/>
      <c r="T684" s="46"/>
      <c r="U684" s="16" t="s">
        <v>711</v>
      </c>
      <c r="Z684" s="1669"/>
      <c r="AA684" s="1669"/>
      <c r="AB684" s="1669"/>
      <c r="AC684" s="1669"/>
      <c r="AD684" s="1669"/>
      <c r="AE684" s="1669"/>
      <c r="AH684" s="149" t="s">
        <v>891</v>
      </c>
      <c r="AI684" s="1676"/>
      <c r="AJ684" s="1676"/>
      <c r="AK684" s="167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72"/>
      <c r="I685" s="1672"/>
      <c r="J685" s="1672"/>
      <c r="K685" s="1672"/>
      <c r="L685" s="1672"/>
      <c r="M685" s="1672"/>
      <c r="N685" s="1672"/>
      <c r="O685" s="1672"/>
      <c r="P685" s="1672"/>
      <c r="Q685" s="1672"/>
      <c r="R685" s="1672"/>
      <c r="T685" s="46"/>
      <c r="U685" s="16" t="s">
        <v>907</v>
      </c>
      <c r="AA685" s="1672"/>
      <c r="AB685" s="1672"/>
      <c r="AC685" s="1672"/>
      <c r="AD685" s="1672"/>
      <c r="AE685" s="1672"/>
      <c r="AF685" s="1672"/>
      <c r="AG685" s="1672"/>
      <c r="AH685" s="1672"/>
      <c r="AI685" s="1672"/>
      <c r="AJ685" s="1672"/>
      <c r="AK685" s="1672"/>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70" t="s">
        <v>527</v>
      </c>
      <c r="O686" s="1670"/>
      <c r="T686" s="46"/>
      <c r="U686" s="16" t="s">
        <v>909</v>
      </c>
      <c r="AG686" s="1670" t="s">
        <v>527</v>
      </c>
      <c r="AH686" s="1670"/>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34">
        <f>C642</f>
        <v>0</v>
      </c>
      <c r="H688" s="1834"/>
      <c r="I688" s="1834"/>
      <c r="J688" s="1834"/>
      <c r="K688" s="1834"/>
      <c r="L688" s="1834"/>
      <c r="M688" s="1834"/>
      <c r="N688" s="1834"/>
      <c r="O688" s="1834"/>
      <c r="P688" s="1834"/>
      <c r="Q688" s="1834"/>
      <c r="R688" s="1834"/>
      <c r="T688" s="101" t="s">
        <v>38</v>
      </c>
      <c r="U688" s="16" t="s">
        <v>92</v>
      </c>
      <c r="Z688" s="1834">
        <f>C643</f>
        <v>0</v>
      </c>
      <c r="AA688" s="1834"/>
      <c r="AB688" s="1834"/>
      <c r="AC688" s="1834"/>
      <c r="AD688" s="1834"/>
      <c r="AE688" s="1834"/>
      <c r="AF688" s="1834"/>
      <c r="AG688" s="1834"/>
      <c r="AH688" s="1834"/>
      <c r="AI688" s="1834"/>
      <c r="AJ688" s="1834"/>
      <c r="AK688" s="1834"/>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672"/>
      <c r="H689" s="1672"/>
      <c r="I689" s="1672"/>
      <c r="J689" s="1672"/>
      <c r="K689" s="1672"/>
      <c r="L689" s="1672"/>
      <c r="M689" s="1672"/>
      <c r="N689" s="1672"/>
      <c r="O689" s="1672"/>
      <c r="P689" s="1672"/>
      <c r="Q689" s="1672"/>
      <c r="R689" s="1672"/>
      <c r="T689" s="46"/>
      <c r="U689" s="16" t="s">
        <v>412</v>
      </c>
      <c r="Z689" s="1672"/>
      <c r="AA689" s="1672"/>
      <c r="AB689" s="1672"/>
      <c r="AC689" s="1672"/>
      <c r="AD689" s="1672"/>
      <c r="AE689" s="1672"/>
      <c r="AF689" s="1672"/>
      <c r="AG689" s="1672"/>
      <c r="AH689" s="1672"/>
      <c r="AI689" s="1672"/>
      <c r="AJ689" s="1672"/>
      <c r="AK689" s="1672"/>
      <c r="AM689" s="75"/>
      <c r="BA689" s="75">
        <f>IF($G706=0,"N/A",VLOOKUP($T$189,TC_Rent,(MATCH($B706,bedrooms,FALSE))))</f>
        <v>2950</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672"/>
      <c r="H690" s="1672"/>
      <c r="I690" s="1672"/>
      <c r="J690" s="1672"/>
      <c r="K690" s="1672"/>
      <c r="L690" s="1672"/>
      <c r="M690" s="1672"/>
      <c r="N690" s="1672"/>
      <c r="O690" s="1672"/>
      <c r="P690" s="1672"/>
      <c r="Q690" s="1672"/>
      <c r="R690" s="1672"/>
      <c r="U690" s="16" t="s">
        <v>475</v>
      </c>
      <c r="Z690" s="1666"/>
      <c r="AA690" s="1666"/>
      <c r="AB690" s="1666"/>
      <c r="AC690" s="1666"/>
      <c r="AD690" s="1666"/>
      <c r="AE690" s="1666"/>
      <c r="AF690" s="1666"/>
      <c r="AG690" s="1666"/>
      <c r="AH690" s="1666"/>
      <c r="AI690" s="1666"/>
      <c r="AJ690" s="1666"/>
      <c r="AK690" s="1666"/>
      <c r="AM690" s="75"/>
      <c r="BA690" s="75">
        <f t="shared" ref="BA690:BA713" si="22">IF($G707=0,"N/A",VLOOKUP($T$189,TC_Rent,(MATCH($B707,bedrooms,FALSE))))</f>
        <v>2950</v>
      </c>
      <c r="BB690" s="75"/>
      <c r="BC690" s="75"/>
      <c r="BD690" s="75"/>
      <c r="BE690" s="75"/>
      <c r="BF690" s="75"/>
      <c r="BG690" s="681">
        <f>G706</f>
        <v>14</v>
      </c>
      <c r="BH690" s="694">
        <f>BG690/$BG$715</f>
        <v>0.2857142857142857</v>
      </c>
      <c r="BI690" s="696">
        <f>IF(BH690=0," ",BH690*AH706)</f>
        <v>8.5714285714285701E-2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72"/>
      <c r="H691" s="1672"/>
      <c r="I691" s="1672"/>
      <c r="J691" s="1672"/>
      <c r="K691" s="1672"/>
      <c r="L691" s="1672"/>
      <c r="M691" s="1672"/>
      <c r="N691" s="1672"/>
      <c r="O691" s="1672"/>
      <c r="P691" s="1672"/>
      <c r="Q691" s="1672"/>
      <c r="R691" s="1672"/>
      <c r="U691" s="16" t="s">
        <v>906</v>
      </c>
      <c r="Z691" s="1666"/>
      <c r="AA691" s="1666"/>
      <c r="AB691" s="1666"/>
      <c r="AC691" s="1666"/>
      <c r="AD691" s="1666"/>
      <c r="AE691" s="1666"/>
      <c r="AF691" s="1666"/>
      <c r="AG691" s="1666"/>
      <c r="AH691" s="1666"/>
      <c r="AI691" s="1666"/>
      <c r="AJ691" s="1666"/>
      <c r="AK691" s="1666"/>
      <c r="AM691" s="75"/>
      <c r="BA691" s="75">
        <f t="shared" si="22"/>
        <v>2950</v>
      </c>
      <c r="BB691" s="75"/>
      <c r="BC691" s="75"/>
      <c r="BD691" s="75"/>
      <c r="BE691" s="75"/>
      <c r="BF691" s="75"/>
      <c r="BG691" s="682">
        <f t="shared" ref="BG691:BG714" si="23">G707</f>
        <v>7</v>
      </c>
      <c r="BH691" s="694">
        <f t="shared" ref="BH691:BH714" si="24">BG691/$BG$715</f>
        <v>0.14285714285714285</v>
      </c>
      <c r="BI691" s="696">
        <f t="shared" ref="BI691:BI714" si="25">IF(BH691=0," ",BH691*AH707)</f>
        <v>5.7142857142857141E-2</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69"/>
      <c r="H692" s="1669"/>
      <c r="I692" s="1669"/>
      <c r="J692" s="1669"/>
      <c r="K692" s="1669"/>
      <c r="L692" s="1669"/>
      <c r="O692" s="149" t="s">
        <v>891</v>
      </c>
      <c r="P692" s="1676"/>
      <c r="Q692" s="1676"/>
      <c r="R692" s="1676"/>
      <c r="U692" s="16" t="s">
        <v>711</v>
      </c>
      <c r="Z692" s="1669"/>
      <c r="AA692" s="1669"/>
      <c r="AB692" s="1669"/>
      <c r="AC692" s="1669"/>
      <c r="AD692" s="1669"/>
      <c r="AE692" s="1669"/>
      <c r="AH692" s="149" t="s">
        <v>891</v>
      </c>
      <c r="AI692" s="1676"/>
      <c r="AJ692" s="1676"/>
      <c r="AK692" s="1676"/>
      <c r="AM692" s="75"/>
      <c r="BA692" s="75">
        <f t="shared" si="22"/>
        <v>2950</v>
      </c>
      <c r="BB692" s="72"/>
      <c r="BC692" s="72"/>
      <c r="BD692" s="72"/>
      <c r="BE692" s="72"/>
      <c r="BF692" s="72"/>
      <c r="BG692" s="682">
        <f t="shared" si="23"/>
        <v>5</v>
      </c>
      <c r="BH692" s="694">
        <f t="shared" si="24"/>
        <v>0.10204081632653061</v>
      </c>
      <c r="BI692" s="696">
        <f t="shared" si="25"/>
        <v>5.1020408163265307E-2</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72"/>
      <c r="I693" s="1672"/>
      <c r="J693" s="1672"/>
      <c r="K693" s="1672"/>
      <c r="L693" s="1672"/>
      <c r="M693" s="1672"/>
      <c r="N693" s="1672"/>
      <c r="O693" s="1672"/>
      <c r="P693" s="1672"/>
      <c r="Q693" s="1672"/>
      <c r="R693" s="1672"/>
      <c r="U693" s="16" t="s">
        <v>907</v>
      </c>
      <c r="AA693" s="1672"/>
      <c r="AB693" s="1672"/>
      <c r="AC693" s="1672"/>
      <c r="AD693" s="1672"/>
      <c r="AE693" s="1672"/>
      <c r="AF693" s="1672"/>
      <c r="AG693" s="1672"/>
      <c r="AH693" s="1672"/>
      <c r="AI693" s="1672"/>
      <c r="AJ693" s="1672"/>
      <c r="AK693" s="1672"/>
      <c r="AM693" s="72"/>
      <c r="BA693" s="75">
        <f t="shared" si="22"/>
        <v>3160</v>
      </c>
      <c r="BB693" s="72"/>
      <c r="BC693" s="72"/>
      <c r="BD693" s="72"/>
      <c r="BE693" s="72"/>
      <c r="BF693" s="72"/>
      <c r="BG693" s="682">
        <f t="shared" si="23"/>
        <v>11</v>
      </c>
      <c r="BH693" s="694">
        <f t="shared" si="24"/>
        <v>0.22448979591836735</v>
      </c>
      <c r="BI693" s="696">
        <f t="shared" si="25"/>
        <v>0.11224489795918367</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70" t="s">
        <v>527</v>
      </c>
      <c r="O694" s="1670"/>
      <c r="U694" s="16" t="s">
        <v>909</v>
      </c>
      <c r="AG694" s="1670" t="s">
        <v>527</v>
      </c>
      <c r="AH694" s="1670"/>
      <c r="AM694" s="72"/>
      <c r="BA694" s="75">
        <f t="shared" si="22"/>
        <v>3160</v>
      </c>
      <c r="BB694" s="72"/>
      <c r="BC694" s="72"/>
      <c r="BD694" s="72"/>
      <c r="BE694" s="72"/>
      <c r="BF694" s="72"/>
      <c r="BG694" s="682">
        <f t="shared" si="23"/>
        <v>1</v>
      </c>
      <c r="BH694" s="694">
        <f t="shared" si="24"/>
        <v>2.0408163265306121E-2</v>
      </c>
      <c r="BI694" s="696">
        <f t="shared" si="25"/>
        <v>6.1224489795918364E-3</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3160</v>
      </c>
      <c r="BB695" s="72"/>
      <c r="BC695" s="72"/>
      <c r="BD695" s="72"/>
      <c r="BE695" s="72"/>
      <c r="BF695" s="72"/>
      <c r="BG695" s="682">
        <f t="shared" si="23"/>
        <v>2</v>
      </c>
      <c r="BH695" s="694">
        <f t="shared" si="24"/>
        <v>4.0816326530612242E-2</v>
      </c>
      <c r="BI695" s="696">
        <f t="shared" si="25"/>
        <v>1.6326530612244896E-2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3160</v>
      </c>
      <c r="BB696" s="72"/>
      <c r="BC696" s="72"/>
      <c r="BD696" s="72"/>
      <c r="BE696" s="72"/>
      <c r="BF696" s="72"/>
      <c r="BG696" s="682">
        <f t="shared" si="23"/>
        <v>2</v>
      </c>
      <c r="BH696" s="694">
        <f t="shared" si="24"/>
        <v>4.0816326530612242E-2</v>
      </c>
      <c r="BI696" s="696">
        <f t="shared" si="25"/>
        <v>2.0408163265306121E-2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1" t="s">
        <v>137</v>
      </c>
      <c r="B697" s="1701"/>
      <c r="C697" s="1701"/>
      <c r="D697" s="1701"/>
      <c r="E697" s="1701"/>
      <c r="F697" s="1701"/>
      <c r="G697" s="1701"/>
      <c r="H697" s="1701"/>
      <c r="I697" s="1701"/>
      <c r="J697" s="1701"/>
      <c r="K697" s="1701"/>
      <c r="L697" s="1701"/>
      <c r="M697" s="1701"/>
      <c r="N697" s="1701"/>
      <c r="O697" s="1701"/>
      <c r="P697" s="1701"/>
      <c r="Q697" s="1701"/>
      <c r="R697" s="1701"/>
      <c r="S697" s="1701"/>
      <c r="T697" s="1701"/>
      <c r="U697" s="1701"/>
      <c r="V697" s="1701"/>
      <c r="W697" s="1701"/>
      <c r="X697" s="1701"/>
      <c r="Y697" s="1701"/>
      <c r="Z697" s="1701"/>
      <c r="AA697" s="1701"/>
      <c r="AB697" s="1701"/>
      <c r="AC697" s="1701"/>
      <c r="AD697" s="1701"/>
      <c r="AE697" s="1701"/>
      <c r="AF697" s="1701"/>
      <c r="AG697" s="1701"/>
      <c r="AH697" s="1701"/>
      <c r="AI697" s="1701"/>
      <c r="AJ697" s="1701"/>
      <c r="AK697" s="1701"/>
      <c r="AL697" s="1701"/>
      <c r="AM697" s="1701"/>
      <c r="AN697" s="1701"/>
      <c r="AO697" s="1701"/>
      <c r="BA697" s="75">
        <f t="shared" si="22"/>
        <v>3792</v>
      </c>
      <c r="BB697" s="72"/>
      <c r="BC697" s="72"/>
      <c r="BD697" s="72"/>
      <c r="BE697" s="72"/>
      <c r="BF697" s="72"/>
      <c r="BG697" s="682">
        <f t="shared" si="23"/>
        <v>3</v>
      </c>
      <c r="BH697" s="694">
        <f t="shared" si="24"/>
        <v>6.1224489795918366E-2</v>
      </c>
      <c r="BI697" s="696">
        <f t="shared" si="25"/>
        <v>3.6734693877551017E-2</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1"/>
      <c r="B698" s="1701"/>
      <c r="C698" s="1701"/>
      <c r="D698" s="1701"/>
      <c r="E698" s="1701"/>
      <c r="F698" s="1701"/>
      <c r="G698" s="1701"/>
      <c r="H698" s="1701"/>
      <c r="I698" s="1701"/>
      <c r="J698" s="1701"/>
      <c r="K698" s="1701"/>
      <c r="L698" s="1701"/>
      <c r="M698" s="1701"/>
      <c r="N698" s="1701"/>
      <c r="O698" s="1701"/>
      <c r="P698" s="1701"/>
      <c r="Q698" s="1701"/>
      <c r="R698" s="1701"/>
      <c r="S698" s="1701"/>
      <c r="T698" s="1701"/>
      <c r="U698" s="1701"/>
      <c r="V698" s="1701"/>
      <c r="W698" s="1701"/>
      <c r="X698" s="1701"/>
      <c r="Y698" s="1701"/>
      <c r="Z698" s="1701"/>
      <c r="AA698" s="1701"/>
      <c r="AB698" s="1701"/>
      <c r="AC698" s="1701"/>
      <c r="AD698" s="1701"/>
      <c r="AE698" s="1701"/>
      <c r="AF698" s="1701"/>
      <c r="AG698" s="1701"/>
      <c r="AH698" s="1701"/>
      <c r="AI698" s="1701"/>
      <c r="AJ698" s="1701"/>
      <c r="AK698" s="1701"/>
      <c r="AL698" s="1701"/>
      <c r="AM698" s="1701"/>
      <c r="AN698" s="1701"/>
      <c r="AO698" s="1701"/>
      <c r="BA698" s="75">
        <f t="shared" si="22"/>
        <v>3792</v>
      </c>
      <c r="BE698" s="72"/>
      <c r="BF698" s="72"/>
      <c r="BG698" s="682">
        <f t="shared" si="23"/>
        <v>1</v>
      </c>
      <c r="BH698" s="694">
        <f t="shared" si="24"/>
        <v>2.0408163265306121E-2</v>
      </c>
      <c r="BI698" s="696">
        <f t="shared" si="25"/>
        <v>6.1224489795918364E-3</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1"/>
      <c r="B699" s="1701"/>
      <c r="C699" s="1701"/>
      <c r="D699" s="1701"/>
      <c r="E699" s="1701"/>
      <c r="F699" s="1701"/>
      <c r="G699" s="1701"/>
      <c r="H699" s="1701"/>
      <c r="I699" s="1701"/>
      <c r="J699" s="1701"/>
      <c r="K699" s="1701"/>
      <c r="L699" s="1701"/>
      <c r="M699" s="1701"/>
      <c r="N699" s="1701"/>
      <c r="O699" s="1701"/>
      <c r="P699" s="1701"/>
      <c r="Q699" s="1701"/>
      <c r="R699" s="1701"/>
      <c r="S699" s="1701"/>
      <c r="T699" s="1701"/>
      <c r="U699" s="1701"/>
      <c r="V699" s="1701"/>
      <c r="W699" s="1701"/>
      <c r="X699" s="1701"/>
      <c r="Y699" s="1701"/>
      <c r="Z699" s="1701"/>
      <c r="AA699" s="1701"/>
      <c r="AB699" s="1701"/>
      <c r="AC699" s="1701"/>
      <c r="AD699" s="1701"/>
      <c r="AE699" s="1701"/>
      <c r="AF699" s="1701"/>
      <c r="AG699" s="1701"/>
      <c r="AH699" s="1701"/>
      <c r="AI699" s="1701"/>
      <c r="AJ699" s="1701"/>
      <c r="AK699" s="1701"/>
      <c r="AL699" s="1701"/>
      <c r="AM699" s="1701"/>
      <c r="AN699" s="1701"/>
      <c r="AO699" s="1701"/>
      <c r="BA699" s="75">
        <f t="shared" si="22"/>
        <v>3792</v>
      </c>
      <c r="BE699" s="72"/>
      <c r="BF699" s="72"/>
      <c r="BG699" s="682">
        <f t="shared" si="23"/>
        <v>1</v>
      </c>
      <c r="BH699" s="694">
        <f t="shared" si="24"/>
        <v>2.0408163265306121E-2</v>
      </c>
      <c r="BI699" s="696">
        <f t="shared" si="25"/>
        <v>1.020408163265306E-2</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41"/>
      <c r="E700" s="1341"/>
      <c r="F700" s="1341"/>
      <c r="G700" s="1341"/>
      <c r="H700" s="1341"/>
      <c r="I700" s="1341"/>
      <c r="J700" s="1341"/>
      <c r="K700" s="1341"/>
      <c r="L700" s="1341"/>
      <c r="M700" s="1341"/>
      <c r="N700" s="1341"/>
      <c r="O700" s="1341"/>
      <c r="P700" s="1341"/>
      <c r="Q700" s="1341"/>
      <c r="R700" s="1341"/>
      <c r="S700" s="1341"/>
      <c r="T700" s="1341"/>
      <c r="U700" s="1341"/>
      <c r="V700" s="1341"/>
      <c r="W700" s="1341"/>
      <c r="X700" s="1341"/>
      <c r="Y700" s="1341"/>
      <c r="Z700" s="1341"/>
      <c r="AA700" s="1341"/>
      <c r="AB700" s="1341"/>
      <c r="AC700" s="1341"/>
      <c r="AD700" s="1341"/>
      <c r="AE700" s="1341"/>
      <c r="AF700" s="1341"/>
      <c r="AG700" s="1341"/>
      <c r="AH700" s="1341"/>
      <c r="AI700" s="1341"/>
      <c r="AJ700" s="1341"/>
      <c r="AK700" s="1341"/>
      <c r="AL700" s="1341"/>
      <c r="AM700" s="395"/>
      <c r="AN700" s="395"/>
      <c r="AO700" s="395"/>
      <c r="BA700" s="75" t="str">
        <f t="shared" si="22"/>
        <v>N/A</v>
      </c>
      <c r="BE700" s="72"/>
      <c r="BF700" s="72"/>
      <c r="BG700" s="682">
        <f t="shared" si="23"/>
        <v>2</v>
      </c>
      <c r="BH700" s="694">
        <f t="shared" si="24"/>
        <v>4.0816326530612242E-2</v>
      </c>
      <c r="BI700" s="696">
        <f t="shared" si="25"/>
        <v>2.4489795918367346E-2</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8"/>
      <c r="C701" s="116"/>
      <c r="D701" s="1341"/>
      <c r="E701" s="1341"/>
      <c r="F701" s="1341"/>
      <c r="G701" s="1341"/>
      <c r="H701" s="1341"/>
      <c r="I701" s="1341"/>
      <c r="J701" s="1341"/>
      <c r="K701" s="1341"/>
      <c r="L701" s="1341"/>
      <c r="M701" s="1341"/>
      <c r="N701" s="1341"/>
      <c r="O701" s="1341"/>
      <c r="P701" s="1341"/>
      <c r="Q701" s="1341"/>
      <c r="R701" s="1341"/>
      <c r="S701" s="1341"/>
      <c r="T701" s="1341"/>
      <c r="U701" s="1341"/>
      <c r="V701" s="1341"/>
      <c r="W701" s="1341"/>
      <c r="X701" s="1341"/>
      <c r="Y701" s="1341"/>
      <c r="Z701" s="1341"/>
      <c r="AA701" s="1341"/>
      <c r="AB701" s="1341"/>
      <c r="AC701" s="1341"/>
      <c r="AD701" s="1341"/>
      <c r="AE701" s="1341"/>
      <c r="AF701" s="1341"/>
      <c r="AG701" s="1341"/>
      <c r="AH701" s="1341"/>
      <c r="AI701" s="1341"/>
      <c r="AJ701" s="1341"/>
      <c r="AK701" s="1341"/>
      <c r="AL701" s="1341"/>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1"/>
      <c r="B702" s="1858" t="s">
        <v>58</v>
      </c>
      <c r="C702" s="1859"/>
      <c r="D702" s="1859"/>
      <c r="E702" s="1859"/>
      <c r="F702" s="1860"/>
      <c r="G702" s="1858" t="s">
        <v>282</v>
      </c>
      <c r="H702" s="1859"/>
      <c r="I702" s="1859"/>
      <c r="J702" s="1860"/>
      <c r="K702" s="2137" t="s">
        <v>2210</v>
      </c>
      <c r="L702" s="2138"/>
      <c r="M702" s="2138"/>
      <c r="N702" s="2139"/>
      <c r="O702" s="1858" t="s">
        <v>650</v>
      </c>
      <c r="P702" s="1859"/>
      <c r="Q702" s="1859"/>
      <c r="R702" s="1859"/>
      <c r="S702" s="1860"/>
      <c r="T702" s="1858" t="s">
        <v>283</v>
      </c>
      <c r="U702" s="1859"/>
      <c r="V702" s="1859"/>
      <c r="W702" s="1859"/>
      <c r="X702" s="1860"/>
      <c r="Y702" s="1858" t="s">
        <v>284</v>
      </c>
      <c r="Z702" s="1859"/>
      <c r="AA702" s="1859"/>
      <c r="AB702" s="1860"/>
      <c r="AC702" s="1858" t="s">
        <v>285</v>
      </c>
      <c r="AD702" s="1859"/>
      <c r="AE702" s="1859"/>
      <c r="AF702" s="1859"/>
      <c r="AG702" s="1860"/>
      <c r="AH702" s="1858" t="s">
        <v>2211</v>
      </c>
      <c r="AI702" s="1859"/>
      <c r="AJ702" s="1859"/>
      <c r="AK702" s="1859"/>
      <c r="AL702" s="1860"/>
      <c r="AM702" s="1858" t="s">
        <v>2212</v>
      </c>
      <c r="AN702" s="1859"/>
      <c r="AO702" s="1860"/>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1"/>
      <c r="B703" s="1861"/>
      <c r="C703" s="1862"/>
      <c r="D703" s="1862"/>
      <c r="E703" s="1862"/>
      <c r="F703" s="1863"/>
      <c r="G703" s="1861"/>
      <c r="H703" s="1862"/>
      <c r="I703" s="1862"/>
      <c r="J703" s="1863"/>
      <c r="K703" s="2140"/>
      <c r="L703" s="2141"/>
      <c r="M703" s="2141"/>
      <c r="N703" s="2142"/>
      <c r="O703" s="1861"/>
      <c r="P703" s="1862"/>
      <c r="Q703" s="1862"/>
      <c r="R703" s="1862"/>
      <c r="S703" s="1863"/>
      <c r="T703" s="1861"/>
      <c r="U703" s="1862"/>
      <c r="V703" s="1862"/>
      <c r="W703" s="1862"/>
      <c r="X703" s="1863"/>
      <c r="Y703" s="1861"/>
      <c r="Z703" s="1862"/>
      <c r="AA703" s="1862"/>
      <c r="AB703" s="1863"/>
      <c r="AC703" s="1861"/>
      <c r="AD703" s="1862"/>
      <c r="AE703" s="1862"/>
      <c r="AF703" s="1862"/>
      <c r="AG703" s="1863"/>
      <c r="AH703" s="1861"/>
      <c r="AI703" s="1862"/>
      <c r="AJ703" s="1862"/>
      <c r="AK703" s="1862"/>
      <c r="AL703" s="1863"/>
      <c r="AM703" s="1861"/>
      <c r="AN703" s="1862"/>
      <c r="AO703" s="1863"/>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1"/>
      <c r="C704" s="1862"/>
      <c r="D704" s="1862"/>
      <c r="E704" s="1862"/>
      <c r="F704" s="1863"/>
      <c r="G704" s="1861"/>
      <c r="H704" s="1862"/>
      <c r="I704" s="1862"/>
      <c r="J704" s="1863"/>
      <c r="K704" s="2140"/>
      <c r="L704" s="2141"/>
      <c r="M704" s="2141"/>
      <c r="N704" s="2142"/>
      <c r="O704" s="1861"/>
      <c r="P704" s="1862"/>
      <c r="Q704" s="1862"/>
      <c r="R704" s="1862"/>
      <c r="S704" s="1863"/>
      <c r="T704" s="1861"/>
      <c r="U704" s="1862"/>
      <c r="V704" s="1862"/>
      <c r="W704" s="1862"/>
      <c r="X704" s="1863"/>
      <c r="Y704" s="1861"/>
      <c r="Z704" s="1862"/>
      <c r="AA704" s="1862"/>
      <c r="AB704" s="1863"/>
      <c r="AC704" s="1861"/>
      <c r="AD704" s="1862"/>
      <c r="AE704" s="1862"/>
      <c r="AF704" s="1862"/>
      <c r="AG704" s="1863"/>
      <c r="AH704" s="1861"/>
      <c r="AI704" s="1862"/>
      <c r="AJ704" s="1862"/>
      <c r="AK704" s="1862"/>
      <c r="AL704" s="1863"/>
      <c r="AM704" s="1861"/>
      <c r="AN704" s="1862"/>
      <c r="AO704" s="1863"/>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4"/>
      <c r="C705" s="1865"/>
      <c r="D705" s="1865"/>
      <c r="E705" s="1865"/>
      <c r="F705" s="1866"/>
      <c r="G705" s="1864"/>
      <c r="H705" s="1865"/>
      <c r="I705" s="1865"/>
      <c r="J705" s="1866"/>
      <c r="K705" s="2140"/>
      <c r="L705" s="2141"/>
      <c r="M705" s="2141"/>
      <c r="N705" s="2142"/>
      <c r="O705" s="1864"/>
      <c r="P705" s="1865"/>
      <c r="Q705" s="1865"/>
      <c r="R705" s="1865"/>
      <c r="S705" s="1866"/>
      <c r="T705" s="1864"/>
      <c r="U705" s="1865"/>
      <c r="V705" s="1865"/>
      <c r="W705" s="1865"/>
      <c r="X705" s="1866"/>
      <c r="Y705" s="1864"/>
      <c r="Z705" s="1865"/>
      <c r="AA705" s="1865"/>
      <c r="AB705" s="1866"/>
      <c r="AC705" s="1864"/>
      <c r="AD705" s="1865"/>
      <c r="AE705" s="1865"/>
      <c r="AF705" s="1865"/>
      <c r="AG705" s="1866"/>
      <c r="AH705" s="1864"/>
      <c r="AI705" s="1865"/>
      <c r="AJ705" s="1865"/>
      <c r="AK705" s="1865"/>
      <c r="AL705" s="1866"/>
      <c r="AM705" s="1864"/>
      <c r="AN705" s="1865"/>
      <c r="AO705" s="1866"/>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2" t="s">
        <v>486</v>
      </c>
      <c r="C706" s="1783"/>
      <c r="D706" s="1783"/>
      <c r="E706" s="1783"/>
      <c r="F706" s="1784"/>
      <c r="G706" s="1779">
        <v>14</v>
      </c>
      <c r="H706" s="1780"/>
      <c r="I706" s="1780"/>
      <c r="J706" s="1781"/>
      <c r="K706" s="1786">
        <v>439</v>
      </c>
      <c r="L706" s="1787"/>
      <c r="M706" s="1787"/>
      <c r="N706" s="1788"/>
      <c r="O706" s="1789">
        <v>849</v>
      </c>
      <c r="P706" s="1790"/>
      <c r="Q706" s="1790"/>
      <c r="R706" s="1790"/>
      <c r="S706" s="1791"/>
      <c r="T706" s="1792">
        <f t="shared" ref="T706:T730" si="26">G706*O706</f>
        <v>11886</v>
      </c>
      <c r="U706" s="1793"/>
      <c r="V706" s="1793"/>
      <c r="W706" s="1793"/>
      <c r="X706" s="1794"/>
      <c r="Y706" s="1789">
        <v>36</v>
      </c>
      <c r="Z706" s="1790"/>
      <c r="AA706" s="1790"/>
      <c r="AB706" s="1791"/>
      <c r="AC706" s="1792">
        <f t="shared" ref="AC706:AC730" si="27">O706+Y706</f>
        <v>885</v>
      </c>
      <c r="AD706" s="1793"/>
      <c r="AE706" s="1793"/>
      <c r="AF706" s="1793"/>
      <c r="AG706" s="1794"/>
      <c r="AH706" s="1955">
        <v>0.3</v>
      </c>
      <c r="AI706" s="1956"/>
      <c r="AJ706" s="1956"/>
      <c r="AK706" s="1956"/>
      <c r="AL706" s="1957"/>
      <c r="AM706" s="2143">
        <f>IF($AH706&gt;0,($AC706/$BA689)," ")</f>
        <v>0.3</v>
      </c>
      <c r="AN706" s="2144"/>
      <c r="AO706" s="2145"/>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2" t="s">
        <v>486</v>
      </c>
      <c r="C707" s="1783"/>
      <c r="D707" s="1783"/>
      <c r="E707" s="1783"/>
      <c r="F707" s="1784"/>
      <c r="G707" s="1779">
        <v>7</v>
      </c>
      <c r="H707" s="1780"/>
      <c r="I707" s="1780"/>
      <c r="J707" s="1781"/>
      <c r="K707" s="1786">
        <v>439</v>
      </c>
      <c r="L707" s="1787"/>
      <c r="M707" s="1787"/>
      <c r="N707" s="1788"/>
      <c r="O707" s="1789">
        <v>1144</v>
      </c>
      <c r="P707" s="1790"/>
      <c r="Q707" s="1790"/>
      <c r="R707" s="1790"/>
      <c r="S707" s="1791"/>
      <c r="T707" s="1792">
        <f t="shared" si="26"/>
        <v>8008</v>
      </c>
      <c r="U707" s="1793"/>
      <c r="V707" s="1793"/>
      <c r="W707" s="1793"/>
      <c r="X707" s="1794"/>
      <c r="Y707" s="1789">
        <v>36</v>
      </c>
      <c r="Z707" s="1790"/>
      <c r="AA707" s="1790"/>
      <c r="AB707" s="1791"/>
      <c r="AC707" s="1792">
        <f t="shared" si="27"/>
        <v>1180</v>
      </c>
      <c r="AD707" s="1793"/>
      <c r="AE707" s="1793"/>
      <c r="AF707" s="1793"/>
      <c r="AG707" s="1794"/>
      <c r="AH707" s="1810">
        <v>0.4</v>
      </c>
      <c r="AI707" s="1811"/>
      <c r="AJ707" s="1811"/>
      <c r="AK707" s="1811"/>
      <c r="AL707" s="1812"/>
      <c r="AM707" s="2143">
        <f t="shared" ref="AM707:AM730" si="28">IF($AH707&gt;0,($AC707/$BA690), " ")</f>
        <v>0.4</v>
      </c>
      <c r="AN707" s="2144"/>
      <c r="AO707" s="2145"/>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2" t="s">
        <v>486</v>
      </c>
      <c r="C708" s="1783"/>
      <c r="D708" s="1783"/>
      <c r="E708" s="1783"/>
      <c r="F708" s="1784"/>
      <c r="G708" s="1779">
        <v>5</v>
      </c>
      <c r="H708" s="1780"/>
      <c r="I708" s="1780"/>
      <c r="J708" s="1781"/>
      <c r="K708" s="1786">
        <v>439</v>
      </c>
      <c r="L708" s="1787"/>
      <c r="M708" s="1787"/>
      <c r="N708" s="1788"/>
      <c r="O708" s="1789">
        <v>1439</v>
      </c>
      <c r="P708" s="1790"/>
      <c r="Q708" s="1790"/>
      <c r="R708" s="1790"/>
      <c r="S708" s="1791"/>
      <c r="T708" s="1792">
        <f t="shared" si="26"/>
        <v>7195</v>
      </c>
      <c r="U708" s="1793"/>
      <c r="V708" s="1793"/>
      <c r="W708" s="1793"/>
      <c r="X708" s="1794"/>
      <c r="Y708" s="1789">
        <v>36</v>
      </c>
      <c r="Z708" s="1790"/>
      <c r="AA708" s="1790"/>
      <c r="AB708" s="1791"/>
      <c r="AC708" s="1792">
        <f t="shared" si="27"/>
        <v>1475</v>
      </c>
      <c r="AD708" s="1793"/>
      <c r="AE708" s="1793"/>
      <c r="AF708" s="1793"/>
      <c r="AG708" s="1794"/>
      <c r="AH708" s="1810">
        <v>0.5</v>
      </c>
      <c r="AI708" s="1811"/>
      <c r="AJ708" s="1811"/>
      <c r="AK708" s="1811"/>
      <c r="AL708" s="1812"/>
      <c r="AM708" s="2143">
        <f t="shared" si="28"/>
        <v>0.5</v>
      </c>
      <c r="AN708" s="2144"/>
      <c r="AO708" s="2145"/>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1"/>
      <c r="B709" s="1782" t="s">
        <v>486</v>
      </c>
      <c r="C709" s="1783"/>
      <c r="D709" s="1783"/>
      <c r="E709" s="1783"/>
      <c r="F709" s="1784"/>
      <c r="G709" s="1779">
        <v>11</v>
      </c>
      <c r="H709" s="1780"/>
      <c r="I709" s="1780"/>
      <c r="J709" s="1781"/>
      <c r="K709" s="1786">
        <v>439</v>
      </c>
      <c r="L709" s="1787"/>
      <c r="M709" s="1787"/>
      <c r="N709" s="1788"/>
      <c r="O709" s="1789">
        <v>1439</v>
      </c>
      <c r="P709" s="1790"/>
      <c r="Q709" s="1790"/>
      <c r="R709" s="1790"/>
      <c r="S709" s="1791"/>
      <c r="T709" s="1792">
        <f t="shared" si="26"/>
        <v>15829</v>
      </c>
      <c r="U709" s="1793"/>
      <c r="V709" s="1793"/>
      <c r="W709" s="1793"/>
      <c r="X709" s="1794"/>
      <c r="Y709" s="1789">
        <v>36</v>
      </c>
      <c r="Z709" s="1790"/>
      <c r="AA709" s="1790"/>
      <c r="AB709" s="1791"/>
      <c r="AC709" s="1792">
        <f t="shared" si="27"/>
        <v>1475</v>
      </c>
      <c r="AD709" s="1793"/>
      <c r="AE709" s="1793"/>
      <c r="AF709" s="1793"/>
      <c r="AG709" s="1794"/>
      <c r="AH709" s="1810">
        <v>0.5</v>
      </c>
      <c r="AI709" s="1811"/>
      <c r="AJ709" s="1811"/>
      <c r="AK709" s="1811"/>
      <c r="AL709" s="1812"/>
      <c r="AM709" s="2143">
        <f t="shared" si="28"/>
        <v>0.5</v>
      </c>
      <c r="AN709" s="2144"/>
      <c r="AO709" s="2145"/>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1"/>
      <c r="B710" s="1782" t="s">
        <v>487</v>
      </c>
      <c r="C710" s="1783"/>
      <c r="D710" s="1783"/>
      <c r="E710" s="1783"/>
      <c r="F710" s="1784"/>
      <c r="G710" s="1779">
        <v>1</v>
      </c>
      <c r="H710" s="1780"/>
      <c r="I710" s="1780"/>
      <c r="J710" s="1781"/>
      <c r="K710" s="1786">
        <v>511</v>
      </c>
      <c r="L710" s="1787"/>
      <c r="M710" s="1787"/>
      <c r="N710" s="1788"/>
      <c r="O710" s="1789">
        <v>905</v>
      </c>
      <c r="P710" s="1790"/>
      <c r="Q710" s="1790"/>
      <c r="R710" s="1790"/>
      <c r="S710" s="1791"/>
      <c r="T710" s="1792">
        <f t="shared" si="26"/>
        <v>905</v>
      </c>
      <c r="U710" s="1793"/>
      <c r="V710" s="1793"/>
      <c r="W710" s="1793"/>
      <c r="X710" s="1794"/>
      <c r="Y710" s="1789">
        <v>43</v>
      </c>
      <c r="Z710" s="1790"/>
      <c r="AA710" s="1790"/>
      <c r="AB710" s="1791"/>
      <c r="AC710" s="1792">
        <f t="shared" si="27"/>
        <v>948</v>
      </c>
      <c r="AD710" s="1793"/>
      <c r="AE710" s="1793"/>
      <c r="AF710" s="1793"/>
      <c r="AG710" s="1794"/>
      <c r="AH710" s="1810">
        <v>0.3</v>
      </c>
      <c r="AI710" s="1811"/>
      <c r="AJ710" s="1811"/>
      <c r="AK710" s="1811"/>
      <c r="AL710" s="1812"/>
      <c r="AM710" s="2143">
        <f t="shared" si="28"/>
        <v>0.3</v>
      </c>
      <c r="AN710" s="2144"/>
      <c r="AO710" s="2145"/>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1"/>
      <c r="B711" s="1782" t="s">
        <v>487</v>
      </c>
      <c r="C711" s="1783"/>
      <c r="D711" s="1783"/>
      <c r="E711" s="1783"/>
      <c r="F711" s="1784"/>
      <c r="G711" s="1779">
        <v>2</v>
      </c>
      <c r="H711" s="1780"/>
      <c r="I711" s="1780"/>
      <c r="J711" s="1781"/>
      <c r="K711" s="1786">
        <v>511</v>
      </c>
      <c r="L711" s="1787"/>
      <c r="M711" s="1787"/>
      <c r="N711" s="1788"/>
      <c r="O711" s="1789">
        <v>1221</v>
      </c>
      <c r="P711" s="1790"/>
      <c r="Q711" s="1790"/>
      <c r="R711" s="1790"/>
      <c r="S711" s="1791"/>
      <c r="T711" s="1792">
        <f t="shared" si="26"/>
        <v>2442</v>
      </c>
      <c r="U711" s="1793"/>
      <c r="V711" s="1793"/>
      <c r="W711" s="1793"/>
      <c r="X711" s="1794"/>
      <c r="Y711" s="1789">
        <v>43</v>
      </c>
      <c r="Z711" s="1790"/>
      <c r="AA711" s="1790"/>
      <c r="AB711" s="1791"/>
      <c r="AC711" s="1792">
        <f t="shared" si="27"/>
        <v>1264</v>
      </c>
      <c r="AD711" s="1793"/>
      <c r="AE711" s="1793"/>
      <c r="AF711" s="1793"/>
      <c r="AG711" s="1794"/>
      <c r="AH711" s="1810">
        <v>0.4</v>
      </c>
      <c r="AI711" s="1811"/>
      <c r="AJ711" s="1811"/>
      <c r="AK711" s="1811"/>
      <c r="AL711" s="1812"/>
      <c r="AM711" s="2143">
        <f t="shared" si="28"/>
        <v>0.4</v>
      </c>
      <c r="AN711" s="2144"/>
      <c r="AO711" s="2145"/>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1"/>
      <c r="B712" s="1782" t="s">
        <v>487</v>
      </c>
      <c r="C712" s="1783"/>
      <c r="D712" s="1783"/>
      <c r="E712" s="1783"/>
      <c r="F712" s="1784"/>
      <c r="G712" s="1779">
        <v>2</v>
      </c>
      <c r="H712" s="1780"/>
      <c r="I712" s="1780"/>
      <c r="J712" s="1781"/>
      <c r="K712" s="1786">
        <v>511</v>
      </c>
      <c r="L712" s="1787"/>
      <c r="M712" s="1787"/>
      <c r="N712" s="1788"/>
      <c r="O712" s="1789">
        <v>1537</v>
      </c>
      <c r="P712" s="1790"/>
      <c r="Q712" s="1790"/>
      <c r="R712" s="1790"/>
      <c r="S712" s="1791"/>
      <c r="T712" s="1792">
        <f t="shared" si="26"/>
        <v>3074</v>
      </c>
      <c r="U712" s="1793"/>
      <c r="V712" s="1793"/>
      <c r="W712" s="1793"/>
      <c r="X712" s="1794"/>
      <c r="Y712" s="1789">
        <v>43</v>
      </c>
      <c r="Z712" s="1790"/>
      <c r="AA712" s="1790"/>
      <c r="AB712" s="1791"/>
      <c r="AC712" s="1792">
        <f t="shared" si="27"/>
        <v>1580</v>
      </c>
      <c r="AD712" s="1793"/>
      <c r="AE712" s="1793"/>
      <c r="AF712" s="1793"/>
      <c r="AG712" s="1794"/>
      <c r="AH712" s="1810">
        <v>0.5</v>
      </c>
      <c r="AI712" s="1811"/>
      <c r="AJ712" s="1811"/>
      <c r="AK712" s="1811"/>
      <c r="AL712" s="1812"/>
      <c r="AM712" s="2143">
        <f t="shared" si="28"/>
        <v>0.5</v>
      </c>
      <c r="AN712" s="2144"/>
      <c r="AO712" s="2145"/>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1"/>
      <c r="B713" s="1782" t="s">
        <v>487</v>
      </c>
      <c r="C713" s="1783"/>
      <c r="D713" s="1783"/>
      <c r="E713" s="1783"/>
      <c r="F713" s="1784"/>
      <c r="G713" s="1779">
        <v>3</v>
      </c>
      <c r="H713" s="1780"/>
      <c r="I713" s="1780"/>
      <c r="J713" s="1781"/>
      <c r="K713" s="1786">
        <v>511</v>
      </c>
      <c r="L713" s="1787"/>
      <c r="M713" s="1787"/>
      <c r="N713" s="1788"/>
      <c r="O713" s="1789">
        <v>1537</v>
      </c>
      <c r="P713" s="1790"/>
      <c r="Q713" s="1790"/>
      <c r="R713" s="1790"/>
      <c r="S713" s="1791"/>
      <c r="T713" s="1792">
        <f t="shared" si="26"/>
        <v>4611</v>
      </c>
      <c r="U713" s="1793"/>
      <c r="V713" s="1793"/>
      <c r="W713" s="1793"/>
      <c r="X713" s="1794"/>
      <c r="Y713" s="1789">
        <v>43</v>
      </c>
      <c r="Z713" s="1790"/>
      <c r="AA713" s="1790"/>
      <c r="AB713" s="1791"/>
      <c r="AC713" s="1792">
        <f t="shared" si="27"/>
        <v>1580</v>
      </c>
      <c r="AD713" s="1793"/>
      <c r="AE713" s="1793"/>
      <c r="AF713" s="1793"/>
      <c r="AG713" s="1794"/>
      <c r="AH713" s="1810">
        <v>0.6</v>
      </c>
      <c r="AI713" s="1811"/>
      <c r="AJ713" s="1811"/>
      <c r="AK713" s="1811"/>
      <c r="AL713" s="1812"/>
      <c r="AM713" s="2143">
        <f t="shared" si="28"/>
        <v>0.5</v>
      </c>
      <c r="AN713" s="2144"/>
      <c r="AO713" s="2145"/>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1"/>
      <c r="B714" s="1782" t="s">
        <v>844</v>
      </c>
      <c r="C714" s="1783"/>
      <c r="D714" s="1783"/>
      <c r="E714" s="1783"/>
      <c r="F714" s="1784"/>
      <c r="G714" s="1779">
        <v>1</v>
      </c>
      <c r="H714" s="1780"/>
      <c r="I714" s="1780"/>
      <c r="J714" s="1781"/>
      <c r="K714" s="1786">
        <v>883</v>
      </c>
      <c r="L714" s="1787"/>
      <c r="M714" s="1787"/>
      <c r="N714" s="1788"/>
      <c r="O714" s="1789">
        <v>1079</v>
      </c>
      <c r="P714" s="1790"/>
      <c r="Q714" s="1790"/>
      <c r="R714" s="1790"/>
      <c r="S714" s="1791"/>
      <c r="T714" s="1792">
        <f t="shared" si="26"/>
        <v>1079</v>
      </c>
      <c r="U714" s="1793"/>
      <c r="V714" s="1793"/>
      <c r="W714" s="1793"/>
      <c r="X714" s="1794"/>
      <c r="Y714" s="1789">
        <v>58</v>
      </c>
      <c r="Z714" s="1790"/>
      <c r="AA714" s="1790"/>
      <c r="AB714" s="1791"/>
      <c r="AC714" s="1792">
        <f t="shared" si="27"/>
        <v>1137</v>
      </c>
      <c r="AD714" s="1793"/>
      <c r="AE714" s="1793"/>
      <c r="AF714" s="1793"/>
      <c r="AG714" s="1794"/>
      <c r="AH714" s="1810">
        <v>0.3</v>
      </c>
      <c r="AI714" s="1811"/>
      <c r="AJ714" s="1811"/>
      <c r="AK714" s="1811"/>
      <c r="AL714" s="1812"/>
      <c r="AM714" s="2143">
        <f t="shared" si="28"/>
        <v>0.29984177215189872</v>
      </c>
      <c r="AN714" s="2144"/>
      <c r="AO714" s="2145"/>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2" t="s">
        <v>844</v>
      </c>
      <c r="C715" s="1783"/>
      <c r="D715" s="1783"/>
      <c r="E715" s="1783"/>
      <c r="F715" s="1784"/>
      <c r="G715" s="1779">
        <v>1</v>
      </c>
      <c r="H715" s="1780"/>
      <c r="I715" s="1780"/>
      <c r="J715" s="1781"/>
      <c r="K715" s="1786">
        <v>883</v>
      </c>
      <c r="L715" s="1787"/>
      <c r="M715" s="1787"/>
      <c r="N715" s="1788"/>
      <c r="O715" s="1789">
        <v>1838</v>
      </c>
      <c r="P715" s="1790"/>
      <c r="Q715" s="1790"/>
      <c r="R715" s="1790"/>
      <c r="S715" s="1791"/>
      <c r="T715" s="1792">
        <f t="shared" si="26"/>
        <v>1838</v>
      </c>
      <c r="U715" s="1793"/>
      <c r="V715" s="1793"/>
      <c r="W715" s="1793"/>
      <c r="X715" s="1794"/>
      <c r="Y715" s="1789">
        <v>58</v>
      </c>
      <c r="Z715" s="1790"/>
      <c r="AA715" s="1790"/>
      <c r="AB715" s="1791"/>
      <c r="AC715" s="1792">
        <f t="shared" si="27"/>
        <v>1896</v>
      </c>
      <c r="AD715" s="1793"/>
      <c r="AE715" s="1793"/>
      <c r="AF715" s="1793"/>
      <c r="AG715" s="1794"/>
      <c r="AH715" s="1810">
        <v>0.5</v>
      </c>
      <c r="AI715" s="1811"/>
      <c r="AJ715" s="1811"/>
      <c r="AK715" s="1811"/>
      <c r="AL715" s="1812"/>
      <c r="AM715" s="2143">
        <f t="shared" si="28"/>
        <v>0.5</v>
      </c>
      <c r="AN715" s="2144"/>
      <c r="AO715" s="2145"/>
      <c r="BA715" s="72"/>
      <c r="BB715" s="72"/>
      <c r="BC715" s="72"/>
      <c r="BD715" s="72"/>
      <c r="BE715" s="149"/>
      <c r="BF715" s="147" t="s">
        <v>952</v>
      </c>
      <c r="BG715" s="697">
        <f>SUM(BG690:BG714)</f>
        <v>49</v>
      </c>
      <c r="BH715" s="698">
        <f>SUM(BH690:BH714)</f>
        <v>1</v>
      </c>
      <c r="BI715" s="698">
        <f>SUM(BI690:BI714)</f>
        <v>0.42653061224489802</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2" t="s">
        <v>844</v>
      </c>
      <c r="C716" s="1783"/>
      <c r="D716" s="1783"/>
      <c r="E716" s="1783"/>
      <c r="F716" s="1784"/>
      <c r="G716" s="1779">
        <v>2</v>
      </c>
      <c r="H716" s="1780"/>
      <c r="I716" s="1780"/>
      <c r="J716" s="1781"/>
      <c r="K716" s="1786">
        <v>883</v>
      </c>
      <c r="L716" s="1787"/>
      <c r="M716" s="1787"/>
      <c r="N716" s="1788"/>
      <c r="O716" s="1789">
        <v>1838</v>
      </c>
      <c r="P716" s="1790"/>
      <c r="Q716" s="1790"/>
      <c r="R716" s="1790"/>
      <c r="S716" s="1791"/>
      <c r="T716" s="1792">
        <f t="shared" si="26"/>
        <v>3676</v>
      </c>
      <c r="U716" s="1793"/>
      <c r="V716" s="1793"/>
      <c r="W716" s="1793"/>
      <c r="X716" s="1794"/>
      <c r="Y716" s="1789">
        <v>58</v>
      </c>
      <c r="Z716" s="1790"/>
      <c r="AA716" s="1790"/>
      <c r="AB716" s="1791"/>
      <c r="AC716" s="1792">
        <f t="shared" si="27"/>
        <v>1896</v>
      </c>
      <c r="AD716" s="1793"/>
      <c r="AE716" s="1793"/>
      <c r="AF716" s="1793"/>
      <c r="AG716" s="1794"/>
      <c r="AH716" s="1810">
        <v>0.6</v>
      </c>
      <c r="AI716" s="1811"/>
      <c r="AJ716" s="1811"/>
      <c r="AK716" s="1811"/>
      <c r="AL716" s="1812"/>
      <c r="AM716" s="2143">
        <f t="shared" si="28"/>
        <v>0.5</v>
      </c>
      <c r="AN716" s="2144"/>
      <c r="AO716" s="2145"/>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2"/>
      <c r="C717" s="1783"/>
      <c r="D717" s="1783"/>
      <c r="E717" s="1783"/>
      <c r="F717" s="1784"/>
      <c r="G717" s="1779"/>
      <c r="H717" s="1780"/>
      <c r="I717" s="1780"/>
      <c r="J717" s="1781"/>
      <c r="K717" s="1786"/>
      <c r="L717" s="1787"/>
      <c r="M717" s="1787"/>
      <c r="N717" s="1788"/>
      <c r="O717" s="1789"/>
      <c r="P717" s="1790"/>
      <c r="Q717" s="1790"/>
      <c r="R717" s="1790"/>
      <c r="S717" s="1791"/>
      <c r="T717" s="1792">
        <f t="shared" si="26"/>
        <v>0</v>
      </c>
      <c r="U717" s="1793"/>
      <c r="V717" s="1793"/>
      <c r="W717" s="1793"/>
      <c r="X717" s="1794"/>
      <c r="Y717" s="1789"/>
      <c r="Z717" s="1790"/>
      <c r="AA717" s="1790"/>
      <c r="AB717" s="1791"/>
      <c r="AC717" s="1792">
        <f t="shared" si="27"/>
        <v>0</v>
      </c>
      <c r="AD717" s="1793"/>
      <c r="AE717" s="1793"/>
      <c r="AF717" s="1793"/>
      <c r="AG717" s="1794"/>
      <c r="AH717" s="1810"/>
      <c r="AI717" s="1811"/>
      <c r="AJ717" s="1811"/>
      <c r="AK717" s="1811"/>
      <c r="AL717" s="1812"/>
      <c r="AM717" s="2143" t="str">
        <f t="shared" si="28"/>
        <v xml:space="preserve"> </v>
      </c>
      <c r="AN717" s="2144"/>
      <c r="AO717" s="2145"/>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1"/>
      <c r="B718" s="1782"/>
      <c r="C718" s="1783"/>
      <c r="D718" s="1783"/>
      <c r="E718" s="1783"/>
      <c r="F718" s="1784"/>
      <c r="G718" s="1779"/>
      <c r="H718" s="1780"/>
      <c r="I718" s="1780"/>
      <c r="J718" s="1781"/>
      <c r="K718" s="1786"/>
      <c r="L718" s="1787"/>
      <c r="M718" s="1787"/>
      <c r="N718" s="1788"/>
      <c r="O718" s="1789"/>
      <c r="P718" s="1790"/>
      <c r="Q718" s="1790"/>
      <c r="R718" s="1790"/>
      <c r="S718" s="1791"/>
      <c r="T718" s="1792">
        <f t="shared" si="26"/>
        <v>0</v>
      </c>
      <c r="U718" s="1793"/>
      <c r="V718" s="1793"/>
      <c r="W718" s="1793"/>
      <c r="X718" s="1794"/>
      <c r="Y718" s="1789"/>
      <c r="Z718" s="1790"/>
      <c r="AA718" s="1790"/>
      <c r="AB718" s="1791"/>
      <c r="AC718" s="1792">
        <f t="shared" si="27"/>
        <v>0</v>
      </c>
      <c r="AD718" s="1793"/>
      <c r="AE718" s="1793"/>
      <c r="AF718" s="1793"/>
      <c r="AG718" s="1794"/>
      <c r="AH718" s="1810"/>
      <c r="AI718" s="1811"/>
      <c r="AJ718" s="1811"/>
      <c r="AK718" s="1811"/>
      <c r="AL718" s="1812"/>
      <c r="AM718" s="2143" t="str">
        <f t="shared" si="28"/>
        <v xml:space="preserve"> </v>
      </c>
      <c r="AN718" s="2144"/>
      <c r="AO718" s="2145"/>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1"/>
      <c r="B719" s="1782"/>
      <c r="C719" s="1783"/>
      <c r="D719" s="1783"/>
      <c r="E719" s="1783"/>
      <c r="F719" s="1784"/>
      <c r="G719" s="1779"/>
      <c r="H719" s="1780"/>
      <c r="I719" s="1780"/>
      <c r="J719" s="1781"/>
      <c r="K719" s="1786"/>
      <c r="L719" s="1787"/>
      <c r="M719" s="1787"/>
      <c r="N719" s="1788"/>
      <c r="O719" s="1789"/>
      <c r="P719" s="1790"/>
      <c r="Q719" s="1790"/>
      <c r="R719" s="1790"/>
      <c r="S719" s="1791"/>
      <c r="T719" s="1792">
        <f t="shared" si="26"/>
        <v>0</v>
      </c>
      <c r="U719" s="1793"/>
      <c r="V719" s="1793"/>
      <c r="W719" s="1793"/>
      <c r="X719" s="1794"/>
      <c r="Y719" s="1789"/>
      <c r="Z719" s="1790"/>
      <c r="AA719" s="1790"/>
      <c r="AB719" s="1791"/>
      <c r="AC719" s="1792">
        <f t="shared" si="27"/>
        <v>0</v>
      </c>
      <c r="AD719" s="1793"/>
      <c r="AE719" s="1793"/>
      <c r="AF719" s="1793"/>
      <c r="AG719" s="1794"/>
      <c r="AH719" s="1810">
        <v>0</v>
      </c>
      <c r="AI719" s="1811"/>
      <c r="AJ719" s="1811"/>
      <c r="AK719" s="1811"/>
      <c r="AL719" s="1812"/>
      <c r="AM719" s="2143" t="str">
        <f t="shared" si="28"/>
        <v xml:space="preserve"> </v>
      </c>
      <c r="AN719" s="2144"/>
      <c r="AO719" s="2145"/>
      <c r="BA719" s="72"/>
      <c r="BB719" s="72"/>
      <c r="BC719" s="72"/>
      <c r="BD719" s="72"/>
      <c r="BE719" s="72"/>
      <c r="BF719" s="72"/>
      <c r="BG719" s="1399" t="s">
        <v>2213</v>
      </c>
      <c r="BH719" s="1400"/>
      <c r="BI719" s="1400"/>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1"/>
      <c r="B720" s="1782"/>
      <c r="C720" s="1783"/>
      <c r="D720" s="1783"/>
      <c r="E720" s="1783"/>
      <c r="F720" s="1784"/>
      <c r="G720" s="1779"/>
      <c r="H720" s="1780"/>
      <c r="I720" s="1780"/>
      <c r="J720" s="1781"/>
      <c r="K720" s="1786"/>
      <c r="L720" s="1787"/>
      <c r="M720" s="1787"/>
      <c r="N720" s="1788"/>
      <c r="O720" s="1789"/>
      <c r="P720" s="1790"/>
      <c r="Q720" s="1790"/>
      <c r="R720" s="1790"/>
      <c r="S720" s="1791"/>
      <c r="T720" s="1792">
        <f t="shared" si="26"/>
        <v>0</v>
      </c>
      <c r="U720" s="1793"/>
      <c r="V720" s="1793"/>
      <c r="W720" s="1793"/>
      <c r="X720" s="1794"/>
      <c r="Y720" s="1789"/>
      <c r="Z720" s="1790"/>
      <c r="AA720" s="1790"/>
      <c r="AB720" s="1791"/>
      <c r="AC720" s="1792">
        <f t="shared" si="27"/>
        <v>0</v>
      </c>
      <c r="AD720" s="1793"/>
      <c r="AE720" s="1793"/>
      <c r="AF720" s="1793"/>
      <c r="AG720" s="1794"/>
      <c r="AH720" s="1810">
        <v>0</v>
      </c>
      <c r="AI720" s="1811"/>
      <c r="AJ720" s="1811"/>
      <c r="AK720" s="1811"/>
      <c r="AL720" s="1812"/>
      <c r="AM720" s="2143" t="str">
        <f t="shared" si="28"/>
        <v xml:space="preserve"> </v>
      </c>
      <c r="AN720" s="2144"/>
      <c r="AO720" s="2145"/>
      <c r="BA720" s="72"/>
      <c r="BB720" s="72"/>
      <c r="BC720" s="72"/>
      <c r="BD720" s="72"/>
      <c r="BE720" s="72"/>
      <c r="BF720" s="72"/>
      <c r="BG720" s="1401" t="s">
        <v>1227</v>
      </c>
      <c r="BH720" s="1402" t="s">
        <v>1228</v>
      </c>
      <c r="BI720" s="1403"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1"/>
      <c r="B721" s="1782"/>
      <c r="C721" s="1783"/>
      <c r="D721" s="1783"/>
      <c r="E721" s="1783"/>
      <c r="F721" s="1784"/>
      <c r="G721" s="1779"/>
      <c r="H721" s="1780"/>
      <c r="I721" s="1780"/>
      <c r="J721" s="1781"/>
      <c r="K721" s="1786"/>
      <c r="L721" s="1787"/>
      <c r="M721" s="1787"/>
      <c r="N721" s="1788"/>
      <c r="O721" s="1789"/>
      <c r="P721" s="1790"/>
      <c r="Q721" s="1790"/>
      <c r="R721" s="1790"/>
      <c r="S721" s="1791"/>
      <c r="T721" s="1792">
        <f t="shared" si="26"/>
        <v>0</v>
      </c>
      <c r="U721" s="1793"/>
      <c r="V721" s="1793"/>
      <c r="W721" s="1793"/>
      <c r="X721" s="1794"/>
      <c r="Y721" s="1789"/>
      <c r="Z721" s="1790"/>
      <c r="AA721" s="1790"/>
      <c r="AB721" s="1791"/>
      <c r="AC721" s="1792">
        <f t="shared" si="27"/>
        <v>0</v>
      </c>
      <c r="AD721" s="1793"/>
      <c r="AE721" s="1793"/>
      <c r="AF721" s="1793"/>
      <c r="AG721" s="1794"/>
      <c r="AH721" s="1810">
        <v>0</v>
      </c>
      <c r="AI721" s="1811"/>
      <c r="AJ721" s="1811"/>
      <c r="AK721" s="1811"/>
      <c r="AL721" s="1812"/>
      <c r="AM721" s="2143" t="str">
        <f t="shared" si="28"/>
        <v xml:space="preserve"> </v>
      </c>
      <c r="AN721" s="2144"/>
      <c r="AO721" s="2145"/>
      <c r="BA721" s="72"/>
      <c r="BB721" s="72"/>
      <c r="BC721" s="72"/>
      <c r="BD721" s="72"/>
      <c r="BE721" s="72"/>
      <c r="BF721" s="72"/>
      <c r="BG721" s="1404">
        <f>G706</f>
        <v>14</v>
      </c>
      <c r="BH721" s="1408">
        <f>BG721/$BG$746</f>
        <v>0.2857142857142857</v>
      </c>
      <c r="BI721" s="1409">
        <f>IF(BH721=0," ",BH721*AM706)</f>
        <v>8.5714285714285701E-2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1"/>
      <c r="B722" s="1782"/>
      <c r="C722" s="1783"/>
      <c r="D722" s="1783"/>
      <c r="E722" s="1783"/>
      <c r="F722" s="1784"/>
      <c r="G722" s="1779"/>
      <c r="H722" s="1780"/>
      <c r="I722" s="1780"/>
      <c r="J722" s="1781"/>
      <c r="K722" s="1786"/>
      <c r="L722" s="1787"/>
      <c r="M722" s="1787"/>
      <c r="N722" s="1788"/>
      <c r="O722" s="1789"/>
      <c r="P722" s="1790"/>
      <c r="Q722" s="1790"/>
      <c r="R722" s="1790"/>
      <c r="S722" s="1791"/>
      <c r="T722" s="1792">
        <f t="shared" si="26"/>
        <v>0</v>
      </c>
      <c r="U722" s="1793"/>
      <c r="V722" s="1793"/>
      <c r="W722" s="1793"/>
      <c r="X722" s="1794"/>
      <c r="Y722" s="1789"/>
      <c r="Z722" s="1790"/>
      <c r="AA722" s="1790"/>
      <c r="AB722" s="1791"/>
      <c r="AC722" s="1792">
        <f t="shared" si="27"/>
        <v>0</v>
      </c>
      <c r="AD722" s="1793"/>
      <c r="AE722" s="1793"/>
      <c r="AF722" s="1793"/>
      <c r="AG722" s="1794"/>
      <c r="AH722" s="1810">
        <v>0</v>
      </c>
      <c r="AI722" s="1811"/>
      <c r="AJ722" s="1811"/>
      <c r="AK722" s="1811"/>
      <c r="AL722" s="1812"/>
      <c r="AM722" s="2143" t="str">
        <f t="shared" si="28"/>
        <v xml:space="preserve"> </v>
      </c>
      <c r="AN722" s="2144"/>
      <c r="AO722" s="2145"/>
      <c r="BA722" s="72"/>
      <c r="BB722" s="72"/>
      <c r="BC722" s="72"/>
      <c r="BD722" s="72"/>
      <c r="BE722" s="72"/>
      <c r="BF722" s="72"/>
      <c r="BG722" s="1404">
        <f t="shared" ref="BG722:BG745" si="29">G707</f>
        <v>7</v>
      </c>
      <c r="BH722" s="1408">
        <f t="shared" ref="BH722:BH745" si="30">BG722/$BG$746</f>
        <v>0.14285714285714285</v>
      </c>
      <c r="BI722" s="1409">
        <f t="shared" ref="BI722:BI745" si="31">IF(BH722=0," ",BH722*AM707)</f>
        <v>5.7142857142857141E-2</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1"/>
      <c r="B723" s="1782"/>
      <c r="C723" s="1783"/>
      <c r="D723" s="1783"/>
      <c r="E723" s="1783"/>
      <c r="F723" s="1784"/>
      <c r="G723" s="1779"/>
      <c r="H723" s="1780"/>
      <c r="I723" s="1780"/>
      <c r="J723" s="1781"/>
      <c r="K723" s="1786"/>
      <c r="L723" s="1787"/>
      <c r="M723" s="1787"/>
      <c r="N723" s="1788"/>
      <c r="O723" s="1789"/>
      <c r="P723" s="1790"/>
      <c r="Q723" s="1790"/>
      <c r="R723" s="1790"/>
      <c r="S723" s="1791"/>
      <c r="T723" s="1792">
        <f t="shared" si="26"/>
        <v>0</v>
      </c>
      <c r="U723" s="1793"/>
      <c r="V723" s="1793"/>
      <c r="W723" s="1793"/>
      <c r="X723" s="1794"/>
      <c r="Y723" s="1789"/>
      <c r="Z723" s="1790"/>
      <c r="AA723" s="1790"/>
      <c r="AB723" s="1791"/>
      <c r="AC723" s="1792">
        <f t="shared" si="27"/>
        <v>0</v>
      </c>
      <c r="AD723" s="1793"/>
      <c r="AE723" s="1793"/>
      <c r="AF723" s="1793"/>
      <c r="AG723" s="1794"/>
      <c r="AH723" s="1810">
        <v>0</v>
      </c>
      <c r="AI723" s="1811"/>
      <c r="AJ723" s="1811"/>
      <c r="AK723" s="1811"/>
      <c r="AL723" s="1812"/>
      <c r="AM723" s="2143" t="str">
        <f t="shared" si="28"/>
        <v xml:space="preserve"> </v>
      </c>
      <c r="AN723" s="2144"/>
      <c r="AO723" s="2145"/>
      <c r="BA723" s="75"/>
      <c r="BB723" s="75"/>
      <c r="BC723" s="75"/>
      <c r="BD723" s="75"/>
      <c r="BE723" s="75"/>
      <c r="BF723" s="75"/>
      <c r="BG723" s="1404">
        <f t="shared" si="29"/>
        <v>5</v>
      </c>
      <c r="BH723" s="1408">
        <f t="shared" si="30"/>
        <v>0.10204081632653061</v>
      </c>
      <c r="BI723" s="1409">
        <f t="shared" si="31"/>
        <v>5.1020408163265307E-2</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1"/>
      <c r="B724" s="1782"/>
      <c r="C724" s="1783"/>
      <c r="D724" s="1783"/>
      <c r="E724" s="1783"/>
      <c r="F724" s="1784"/>
      <c r="G724" s="1779"/>
      <c r="H724" s="1780"/>
      <c r="I724" s="1780"/>
      <c r="J724" s="1781"/>
      <c r="K724" s="1786"/>
      <c r="L724" s="1787"/>
      <c r="M724" s="1787"/>
      <c r="N724" s="1788"/>
      <c r="O724" s="1789"/>
      <c r="P724" s="1790"/>
      <c r="Q724" s="1790"/>
      <c r="R724" s="1790"/>
      <c r="S724" s="1791"/>
      <c r="T724" s="1792">
        <f t="shared" si="26"/>
        <v>0</v>
      </c>
      <c r="U724" s="1793"/>
      <c r="V724" s="1793"/>
      <c r="W724" s="1793"/>
      <c r="X724" s="1794"/>
      <c r="Y724" s="1789"/>
      <c r="Z724" s="1790"/>
      <c r="AA724" s="1790"/>
      <c r="AB724" s="1791"/>
      <c r="AC724" s="1792">
        <f t="shared" si="27"/>
        <v>0</v>
      </c>
      <c r="AD724" s="1793"/>
      <c r="AE724" s="1793"/>
      <c r="AF724" s="1793"/>
      <c r="AG724" s="1794"/>
      <c r="AH724" s="1810">
        <v>0</v>
      </c>
      <c r="AI724" s="1811"/>
      <c r="AJ724" s="1811"/>
      <c r="AK724" s="1811"/>
      <c r="AL724" s="1812"/>
      <c r="AM724" s="2143" t="str">
        <f t="shared" si="28"/>
        <v xml:space="preserve"> </v>
      </c>
      <c r="AN724" s="2144"/>
      <c r="AO724" s="2145"/>
      <c r="BA724" s="75"/>
      <c r="BB724" s="75"/>
      <c r="BC724" s="75"/>
      <c r="BD724" s="75"/>
      <c r="BE724" s="75"/>
      <c r="BF724" s="75"/>
      <c r="BG724" s="1404">
        <f t="shared" si="29"/>
        <v>11</v>
      </c>
      <c r="BH724" s="1408">
        <f t="shared" si="30"/>
        <v>0.22448979591836735</v>
      </c>
      <c r="BI724" s="1409">
        <f t="shared" si="31"/>
        <v>0.11224489795918367</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1"/>
      <c r="B725" s="1782"/>
      <c r="C725" s="1783"/>
      <c r="D725" s="1783"/>
      <c r="E725" s="1783"/>
      <c r="F725" s="1784"/>
      <c r="G725" s="1779"/>
      <c r="H725" s="1780"/>
      <c r="I725" s="1780"/>
      <c r="J725" s="1781"/>
      <c r="K725" s="1786"/>
      <c r="L725" s="1787"/>
      <c r="M725" s="1787"/>
      <c r="N725" s="1788"/>
      <c r="O725" s="1789"/>
      <c r="P725" s="1790"/>
      <c r="Q725" s="1790"/>
      <c r="R725" s="1790"/>
      <c r="S725" s="1791"/>
      <c r="T725" s="1792">
        <f t="shared" si="26"/>
        <v>0</v>
      </c>
      <c r="U725" s="1793"/>
      <c r="V725" s="1793"/>
      <c r="W725" s="1793"/>
      <c r="X725" s="1794"/>
      <c r="Y725" s="1789"/>
      <c r="Z725" s="1790"/>
      <c r="AA725" s="1790"/>
      <c r="AB725" s="1791"/>
      <c r="AC725" s="1792">
        <f t="shared" si="27"/>
        <v>0</v>
      </c>
      <c r="AD725" s="1793"/>
      <c r="AE725" s="1793"/>
      <c r="AF725" s="1793"/>
      <c r="AG725" s="1794"/>
      <c r="AH725" s="1810">
        <v>0</v>
      </c>
      <c r="AI725" s="1811"/>
      <c r="AJ725" s="1811"/>
      <c r="AK725" s="1811"/>
      <c r="AL725" s="1812"/>
      <c r="AM725" s="2143" t="str">
        <f t="shared" si="28"/>
        <v xml:space="preserve"> </v>
      </c>
      <c r="AN725" s="2144"/>
      <c r="AO725" s="2145"/>
      <c r="BA725" s="75"/>
      <c r="BB725" s="75"/>
      <c r="BC725" s="75"/>
      <c r="BD725" s="75"/>
      <c r="BE725" s="75"/>
      <c r="BF725" s="75"/>
      <c r="BG725" s="1404">
        <f t="shared" si="29"/>
        <v>1</v>
      </c>
      <c r="BH725" s="1408">
        <f t="shared" si="30"/>
        <v>2.0408163265306121E-2</v>
      </c>
      <c r="BI725" s="1409">
        <f t="shared" si="31"/>
        <v>6.1224489795918364E-3</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1"/>
      <c r="B726" s="1782"/>
      <c r="C726" s="1783"/>
      <c r="D726" s="1783"/>
      <c r="E726" s="1783"/>
      <c r="F726" s="1784"/>
      <c r="G726" s="1779"/>
      <c r="H726" s="1780"/>
      <c r="I726" s="1780"/>
      <c r="J726" s="1781"/>
      <c r="K726" s="1786"/>
      <c r="L726" s="1787"/>
      <c r="M726" s="1787"/>
      <c r="N726" s="1788"/>
      <c r="O726" s="1789"/>
      <c r="P726" s="1790"/>
      <c r="Q726" s="1790"/>
      <c r="R726" s="1790"/>
      <c r="S726" s="1791"/>
      <c r="T726" s="1792">
        <f t="shared" si="26"/>
        <v>0</v>
      </c>
      <c r="U726" s="1793"/>
      <c r="V726" s="1793"/>
      <c r="W726" s="1793"/>
      <c r="X726" s="1794"/>
      <c r="Y726" s="1789"/>
      <c r="Z726" s="1790"/>
      <c r="AA726" s="1790"/>
      <c r="AB726" s="1791"/>
      <c r="AC726" s="1792">
        <f t="shared" si="27"/>
        <v>0</v>
      </c>
      <c r="AD726" s="1793"/>
      <c r="AE726" s="1793"/>
      <c r="AF726" s="1793"/>
      <c r="AG726" s="1794"/>
      <c r="AH726" s="1810">
        <v>0</v>
      </c>
      <c r="AI726" s="1811"/>
      <c r="AJ726" s="1811"/>
      <c r="AK726" s="1811"/>
      <c r="AL726" s="1812"/>
      <c r="AM726" s="2143" t="str">
        <f t="shared" si="28"/>
        <v xml:space="preserve"> </v>
      </c>
      <c r="AN726" s="2144"/>
      <c r="AO726" s="2145"/>
      <c r="BA726" s="75"/>
      <c r="BB726" s="75"/>
      <c r="BC726" s="75"/>
      <c r="BD726" s="75"/>
      <c r="BE726" s="75"/>
      <c r="BF726" s="75"/>
      <c r="BG726" s="1404">
        <f t="shared" si="29"/>
        <v>2</v>
      </c>
      <c r="BH726" s="1408">
        <f t="shared" si="30"/>
        <v>4.0816326530612242E-2</v>
      </c>
      <c r="BI726" s="1409">
        <f t="shared" si="31"/>
        <v>1.6326530612244896E-2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1"/>
      <c r="B727" s="1782"/>
      <c r="C727" s="1783"/>
      <c r="D727" s="1783"/>
      <c r="E727" s="1783"/>
      <c r="F727" s="1784"/>
      <c r="G727" s="1779"/>
      <c r="H727" s="1780"/>
      <c r="I727" s="1780"/>
      <c r="J727" s="1781"/>
      <c r="K727" s="1786"/>
      <c r="L727" s="1787"/>
      <c r="M727" s="1787"/>
      <c r="N727" s="1788"/>
      <c r="O727" s="1789"/>
      <c r="P727" s="1790"/>
      <c r="Q727" s="1790"/>
      <c r="R727" s="1790"/>
      <c r="S727" s="1791"/>
      <c r="T727" s="1792">
        <f t="shared" si="26"/>
        <v>0</v>
      </c>
      <c r="U727" s="1793"/>
      <c r="V727" s="1793"/>
      <c r="W727" s="1793"/>
      <c r="X727" s="1794"/>
      <c r="Y727" s="1789"/>
      <c r="Z727" s="1790"/>
      <c r="AA727" s="1790"/>
      <c r="AB727" s="1791"/>
      <c r="AC727" s="1792">
        <f t="shared" si="27"/>
        <v>0</v>
      </c>
      <c r="AD727" s="1793"/>
      <c r="AE727" s="1793"/>
      <c r="AF727" s="1793"/>
      <c r="AG727" s="1794"/>
      <c r="AH727" s="1810">
        <v>0</v>
      </c>
      <c r="AI727" s="1811"/>
      <c r="AJ727" s="1811"/>
      <c r="AK727" s="1811"/>
      <c r="AL727" s="1812"/>
      <c r="AM727" s="2143" t="str">
        <f t="shared" si="28"/>
        <v xml:space="preserve"> </v>
      </c>
      <c r="AN727" s="2144"/>
      <c r="AO727" s="2145"/>
      <c r="BA727" s="75"/>
      <c r="BB727" s="75"/>
      <c r="BC727" s="75"/>
      <c r="BD727" s="75"/>
      <c r="BE727" s="75"/>
      <c r="BF727" s="75"/>
      <c r="BG727" s="1404">
        <f t="shared" si="29"/>
        <v>2</v>
      </c>
      <c r="BH727" s="1408">
        <f t="shared" si="30"/>
        <v>4.0816326530612242E-2</v>
      </c>
      <c r="BI727" s="1409">
        <f t="shared" si="31"/>
        <v>2.0408163265306121E-2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1"/>
      <c r="B728" s="1782"/>
      <c r="C728" s="1783"/>
      <c r="D728" s="1783"/>
      <c r="E728" s="1783"/>
      <c r="F728" s="1784"/>
      <c r="G728" s="1779"/>
      <c r="H728" s="1780"/>
      <c r="I728" s="1780"/>
      <c r="J728" s="1781"/>
      <c r="K728" s="1786"/>
      <c r="L728" s="1787"/>
      <c r="M728" s="1787"/>
      <c r="N728" s="1788"/>
      <c r="O728" s="1789"/>
      <c r="P728" s="1790"/>
      <c r="Q728" s="1790"/>
      <c r="R728" s="1790"/>
      <c r="S728" s="1791"/>
      <c r="T728" s="1792">
        <f t="shared" si="26"/>
        <v>0</v>
      </c>
      <c r="U728" s="1793"/>
      <c r="V728" s="1793"/>
      <c r="W728" s="1793"/>
      <c r="X728" s="1794"/>
      <c r="Y728" s="1789"/>
      <c r="Z728" s="1790"/>
      <c r="AA728" s="1790"/>
      <c r="AB728" s="1791"/>
      <c r="AC728" s="1792">
        <f t="shared" si="27"/>
        <v>0</v>
      </c>
      <c r="AD728" s="1793"/>
      <c r="AE728" s="1793"/>
      <c r="AF728" s="1793"/>
      <c r="AG728" s="1794"/>
      <c r="AH728" s="1810">
        <v>0</v>
      </c>
      <c r="AI728" s="1811"/>
      <c r="AJ728" s="1811"/>
      <c r="AK728" s="1811"/>
      <c r="AL728" s="1812"/>
      <c r="AM728" s="2143" t="str">
        <f t="shared" si="28"/>
        <v xml:space="preserve"> </v>
      </c>
      <c r="AN728" s="2144"/>
      <c r="AO728" s="2145"/>
      <c r="BA728" s="62"/>
      <c r="BB728" s="326"/>
      <c r="BC728" s="326"/>
      <c r="BD728" s="326"/>
      <c r="BE728" s="781"/>
      <c r="BF728" s="781"/>
      <c r="BG728" s="1404">
        <f t="shared" si="29"/>
        <v>3</v>
      </c>
      <c r="BH728" s="1408">
        <f t="shared" si="30"/>
        <v>6.1224489795918366E-2</v>
      </c>
      <c r="BI728" s="1409">
        <f t="shared" si="31"/>
        <v>3.0612244897959183E-2</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1"/>
      <c r="B729" s="1782"/>
      <c r="C729" s="1783"/>
      <c r="D729" s="1783"/>
      <c r="E729" s="1783"/>
      <c r="F729" s="1784"/>
      <c r="G729" s="1779"/>
      <c r="H729" s="1780"/>
      <c r="I729" s="1780"/>
      <c r="J729" s="1781"/>
      <c r="K729" s="1786"/>
      <c r="L729" s="1787"/>
      <c r="M729" s="1787"/>
      <c r="N729" s="1788"/>
      <c r="O729" s="1789"/>
      <c r="P729" s="1790"/>
      <c r="Q729" s="1790"/>
      <c r="R729" s="1790"/>
      <c r="S729" s="1791"/>
      <c r="T729" s="1792">
        <f t="shared" si="26"/>
        <v>0</v>
      </c>
      <c r="U729" s="1793"/>
      <c r="V729" s="1793"/>
      <c r="W729" s="1793"/>
      <c r="X729" s="1794"/>
      <c r="Y729" s="1789"/>
      <c r="Z729" s="1790"/>
      <c r="AA729" s="1790"/>
      <c r="AB729" s="1791"/>
      <c r="AC729" s="1792">
        <f t="shared" si="27"/>
        <v>0</v>
      </c>
      <c r="AD729" s="1793"/>
      <c r="AE729" s="1793"/>
      <c r="AF729" s="1793"/>
      <c r="AG729" s="1794"/>
      <c r="AH729" s="1810">
        <v>0</v>
      </c>
      <c r="AI729" s="1811"/>
      <c r="AJ729" s="1811"/>
      <c r="AK729" s="1811"/>
      <c r="AL729" s="1812"/>
      <c r="AM729" s="2143" t="str">
        <f t="shared" si="28"/>
        <v xml:space="preserve"> </v>
      </c>
      <c r="AN729" s="2144"/>
      <c r="AO729" s="2145"/>
      <c r="BA729" s="326"/>
      <c r="BB729" s="326"/>
      <c r="BC729" s="326"/>
      <c r="BD729" s="326"/>
      <c r="BE729" s="781"/>
      <c r="BF729" s="781"/>
      <c r="BG729" s="1404">
        <f t="shared" si="29"/>
        <v>1</v>
      </c>
      <c r="BH729" s="1408">
        <f t="shared" si="30"/>
        <v>2.0408163265306121E-2</v>
      </c>
      <c r="BI729" s="1409">
        <f t="shared" si="31"/>
        <v>6.1192198398346675E-3</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1"/>
      <c r="B730" s="1782"/>
      <c r="C730" s="1783"/>
      <c r="D730" s="1783"/>
      <c r="E730" s="1783"/>
      <c r="F730" s="1784"/>
      <c r="G730" s="1779"/>
      <c r="H730" s="1780"/>
      <c r="I730" s="1780"/>
      <c r="J730" s="1781"/>
      <c r="K730" s="1786"/>
      <c r="L730" s="1787"/>
      <c r="M730" s="1787"/>
      <c r="N730" s="1788"/>
      <c r="O730" s="1789"/>
      <c r="P730" s="1790"/>
      <c r="Q730" s="1790"/>
      <c r="R730" s="1790"/>
      <c r="S730" s="1791"/>
      <c r="T730" s="1792">
        <f t="shared" si="26"/>
        <v>0</v>
      </c>
      <c r="U730" s="1793"/>
      <c r="V730" s="1793"/>
      <c r="W730" s="1793"/>
      <c r="X730" s="1794"/>
      <c r="Y730" s="1789"/>
      <c r="Z730" s="1790"/>
      <c r="AA730" s="1790"/>
      <c r="AB730" s="1791"/>
      <c r="AC730" s="1792">
        <f t="shared" si="27"/>
        <v>0</v>
      </c>
      <c r="AD730" s="1793"/>
      <c r="AE730" s="1793"/>
      <c r="AF730" s="1793"/>
      <c r="AG730" s="1794"/>
      <c r="AH730" s="1810">
        <v>0</v>
      </c>
      <c r="AI730" s="1811"/>
      <c r="AJ730" s="1811"/>
      <c r="AK730" s="1811"/>
      <c r="AL730" s="1812"/>
      <c r="AM730" s="2143" t="str">
        <f t="shared" si="28"/>
        <v xml:space="preserve"> </v>
      </c>
      <c r="AN730" s="2144"/>
      <c r="AO730" s="2145"/>
      <c r="BA730" s="326"/>
      <c r="BB730" s="326"/>
      <c r="BC730" s="326"/>
      <c r="BD730" s="326"/>
      <c r="BE730" s="781"/>
      <c r="BF730" s="781"/>
      <c r="BG730" s="1404">
        <f t="shared" si="29"/>
        <v>1</v>
      </c>
      <c r="BH730" s="1408">
        <f t="shared" si="30"/>
        <v>2.0408163265306121E-2</v>
      </c>
      <c r="BI730" s="1409">
        <f t="shared" si="31"/>
        <v>1.020408163265306E-2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1"/>
      <c r="B731" s="1799" t="s">
        <v>954</v>
      </c>
      <c r="C731" s="1800"/>
      <c r="D731" s="1800"/>
      <c r="E731" s="1800"/>
      <c r="F731" s="1801"/>
      <c r="G731" s="1867">
        <f>SUM(G706:J730)</f>
        <v>49</v>
      </c>
      <c r="H731" s="1868"/>
      <c r="I731" s="1868"/>
      <c r="J731" s="1869"/>
      <c r="K731" s="1341"/>
      <c r="L731" s="1341"/>
      <c r="M731" s="1341"/>
      <c r="N731" s="1341"/>
      <c r="O731" s="661" t="s">
        <v>953</v>
      </c>
      <c r="P731" s="662"/>
      <c r="Q731" s="662"/>
      <c r="R731" s="662"/>
      <c r="S731" s="1394"/>
      <c r="T731" s="1792">
        <f>SUM(T706:X730)</f>
        <v>60543</v>
      </c>
      <c r="U731" s="1793"/>
      <c r="V731" s="1793"/>
      <c r="W731" s="1793"/>
      <c r="X731" s="1794"/>
      <c r="Y731" s="1341"/>
      <c r="Z731" s="1341"/>
      <c r="AA731" s="1341"/>
      <c r="AB731" s="1341"/>
      <c r="AC731" s="1395" t="s">
        <v>1230</v>
      </c>
      <c r="AD731" s="1396"/>
      <c r="AE731" s="1396"/>
      <c r="AF731" s="1396"/>
      <c r="AG731" s="1397"/>
      <c r="AH731" s="2146">
        <f>BI715</f>
        <v>0.42653061224489802</v>
      </c>
      <c r="AI731" s="2147"/>
      <c r="AJ731" s="2147"/>
      <c r="AK731" s="2147"/>
      <c r="AL731" s="2148"/>
      <c r="AM731" s="2146">
        <f>BI746</f>
        <v>0.41632330147248775</v>
      </c>
      <c r="AN731" s="2147"/>
      <c r="AO731" s="2148"/>
      <c r="BA731" s="326"/>
      <c r="BB731" s="326"/>
      <c r="BC731" s="326"/>
      <c r="BD731" s="326"/>
      <c r="BE731" s="781"/>
      <c r="BF731" s="781"/>
      <c r="BG731" s="1404">
        <f t="shared" si="29"/>
        <v>2</v>
      </c>
      <c r="BH731" s="1408">
        <f t="shared" si="30"/>
        <v>4.0816326530612242E-2</v>
      </c>
      <c r="BI731" s="1409">
        <f t="shared" si="31"/>
        <v>2.0408163265306121E-2</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54" t="s">
        <v>2286</v>
      </c>
      <c r="D732" s="1954"/>
      <c r="E732" s="1954"/>
      <c r="F732" s="1954"/>
      <c r="G732" s="1954"/>
      <c r="H732" s="1954"/>
      <c r="I732" s="1954"/>
      <c r="J732" s="1954"/>
      <c r="K732" s="1954"/>
      <c r="L732" s="1954"/>
      <c r="M732" s="1954"/>
      <c r="N732" s="1954"/>
      <c r="O732" s="1954"/>
      <c r="P732" s="1954"/>
      <c r="Q732" s="1954"/>
      <c r="R732" s="1954"/>
      <c r="S732" s="1954"/>
      <c r="T732" s="1954"/>
      <c r="U732" s="1954"/>
      <c r="V732" s="1954"/>
      <c r="W732" s="1954"/>
      <c r="X732" s="1954"/>
      <c r="Y732" s="1954"/>
      <c r="Z732" s="1954"/>
      <c r="AA732" s="1954"/>
      <c r="AB732" s="1954"/>
      <c r="AC732" s="1954"/>
      <c r="AD732" s="1954"/>
      <c r="AE732" s="1954"/>
      <c r="AF732" s="1954"/>
      <c r="AG732" s="1954"/>
      <c r="AH732" s="1954"/>
      <c r="AL732" s="72"/>
      <c r="AM732" s="781"/>
      <c r="BA732" s="72"/>
      <c r="BB732" s="72"/>
      <c r="BC732" s="72"/>
      <c r="BD732" s="72"/>
      <c r="BE732" s="72"/>
      <c r="BF732" s="72"/>
      <c r="BG732" s="1404">
        <f t="shared" si="29"/>
        <v>0</v>
      </c>
      <c r="BH732" s="1408">
        <f t="shared" si="30"/>
        <v>0</v>
      </c>
      <c r="BI732" s="1409"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54"/>
      <c r="D733" s="1954"/>
      <c r="E733" s="1954"/>
      <c r="F733" s="1954"/>
      <c r="G733" s="1954"/>
      <c r="H733" s="1954"/>
      <c r="I733" s="1954"/>
      <c r="J733" s="1954"/>
      <c r="K733" s="1954"/>
      <c r="L733" s="1954"/>
      <c r="M733" s="1954"/>
      <c r="N733" s="1954"/>
      <c r="O733" s="1954"/>
      <c r="P733" s="1954"/>
      <c r="Q733" s="1954"/>
      <c r="R733" s="1954"/>
      <c r="S733" s="1954"/>
      <c r="T733" s="1954"/>
      <c r="U733" s="1954"/>
      <c r="V733" s="1954"/>
      <c r="W733" s="1954"/>
      <c r="X733" s="1954"/>
      <c r="Y733" s="1954"/>
      <c r="Z733" s="1954"/>
      <c r="AA733" s="1954"/>
      <c r="AB733" s="1954"/>
      <c r="AC733" s="1954"/>
      <c r="AD733" s="1954"/>
      <c r="AE733" s="1954"/>
      <c r="AF733" s="1954"/>
      <c r="AG733" s="1954"/>
      <c r="AH733" s="1954"/>
      <c r="AL733" s="72"/>
      <c r="AM733" s="72"/>
      <c r="BA733" s="72"/>
      <c r="BB733" s="72"/>
      <c r="BC733" s="72"/>
      <c r="BD733" s="72"/>
      <c r="BE733" s="72"/>
      <c r="BF733" s="72"/>
      <c r="BG733" s="1404">
        <f t="shared" si="29"/>
        <v>0</v>
      </c>
      <c r="BH733" s="1408">
        <f t="shared" si="30"/>
        <v>0</v>
      </c>
      <c r="BI733" s="1409"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2" t="s">
        <v>2287</v>
      </c>
      <c r="D734" s="1495"/>
      <c r="E734" s="1495"/>
      <c r="F734" s="1495"/>
      <c r="G734" s="1496"/>
      <c r="H734" s="1496"/>
      <c r="I734" s="1496"/>
      <c r="J734" s="1496"/>
      <c r="K734" s="1495"/>
      <c r="L734" s="1495"/>
      <c r="M734" s="1495"/>
      <c r="N734" s="1495"/>
      <c r="O734" s="1797">
        <f>CQ629</f>
        <v>53</v>
      </c>
      <c r="P734" s="1797"/>
      <c r="Q734" s="1797"/>
      <c r="R734" s="1797"/>
      <c r="S734" s="1497"/>
      <c r="T734" s="1497"/>
      <c r="U734" s="1492" t="s">
        <v>2288</v>
      </c>
      <c r="V734" s="1495"/>
      <c r="W734" s="1495"/>
      <c r="X734" s="1495"/>
      <c r="Y734" s="1496"/>
      <c r="Z734" s="1496"/>
      <c r="AA734" s="1496"/>
      <c r="AB734" s="1496"/>
      <c r="AC734" s="1495"/>
      <c r="AD734" s="1495"/>
      <c r="AE734" s="1495"/>
      <c r="AF734" s="1495"/>
      <c r="AG734" s="1798">
        <v>26</v>
      </c>
      <c r="AH734" s="1798"/>
      <c r="AI734" s="1798"/>
      <c r="AJ734" s="1798"/>
      <c r="AK734" s="1310"/>
      <c r="AL734" s="72"/>
      <c r="AM734" s="72"/>
      <c r="BA734" s="72"/>
      <c r="BB734" s="72"/>
      <c r="BC734" s="72"/>
      <c r="BD734" s="72"/>
      <c r="BE734" s="72"/>
      <c r="BF734" s="72"/>
      <c r="BG734" s="1404">
        <f t="shared" si="29"/>
        <v>0</v>
      </c>
      <c r="BH734" s="1408">
        <f t="shared" si="30"/>
        <v>0</v>
      </c>
      <c r="BI734" s="1409"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4">
        <f t="shared" si="29"/>
        <v>0</v>
      </c>
      <c r="BH735" s="1408">
        <f t="shared" si="30"/>
        <v>0</v>
      </c>
      <c r="BI735" s="1409"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8"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2" t="s">
        <v>134</v>
      </c>
      <c r="AA736" s="2152"/>
      <c r="AB736" s="2152"/>
      <c r="AF736" s="579"/>
      <c r="AG736" s="765"/>
      <c r="AH736" s="765"/>
      <c r="AL736" s="72"/>
      <c r="AM736" s="72"/>
      <c r="BA736" s="72"/>
      <c r="BB736" s="72"/>
      <c r="BC736" s="72"/>
      <c r="BD736" s="72"/>
      <c r="BE736" s="72"/>
      <c r="BF736" s="72"/>
      <c r="BG736" s="1404">
        <f t="shared" si="29"/>
        <v>0</v>
      </c>
      <c r="BH736" s="1408">
        <f t="shared" si="30"/>
        <v>0</v>
      </c>
      <c r="BI736" s="1409"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6" t="s">
        <v>2284</v>
      </c>
      <c r="C737" s="1796"/>
      <c r="D737" s="1796"/>
      <c r="E737" s="1796"/>
      <c r="F737" s="1796"/>
      <c r="G737" s="1796"/>
      <c r="H737" s="1796"/>
      <c r="I737" s="1796"/>
      <c r="J737" s="1796"/>
      <c r="K737" s="1796"/>
      <c r="L737" s="1796"/>
      <c r="M737" s="1796"/>
      <c r="N737" s="1796"/>
      <c r="O737" s="1796"/>
      <c r="P737" s="1796"/>
      <c r="Q737" s="1796"/>
      <c r="R737" s="1796"/>
      <c r="S737" s="1796"/>
      <c r="T737" s="1796"/>
      <c r="U737" s="1796"/>
      <c r="V737" s="1796"/>
      <c r="W737" s="1796"/>
      <c r="X737" s="1796"/>
      <c r="Y737" s="1796"/>
      <c r="Z737" s="1796"/>
      <c r="AA737" s="1796"/>
      <c r="AB737" s="1796"/>
      <c r="AC737" s="1796"/>
      <c r="AD737" s="1796"/>
      <c r="AE737" s="1796"/>
      <c r="AF737" s="1796"/>
      <c r="AG737" s="1796"/>
      <c r="AH737" s="1796"/>
      <c r="AI737" s="1796"/>
      <c r="AJ737" s="1796"/>
      <c r="AK737" s="1796"/>
      <c r="AL737" s="1796"/>
      <c r="AM737" s="72"/>
      <c r="BA737" s="72"/>
      <c r="BB737" s="72"/>
      <c r="BC737" s="72"/>
      <c r="BD737" s="72"/>
      <c r="BE737" s="72"/>
      <c r="BF737" s="72"/>
      <c r="BG737" s="1404">
        <f t="shared" si="29"/>
        <v>0</v>
      </c>
      <c r="BH737" s="1408">
        <f t="shared" si="30"/>
        <v>0</v>
      </c>
      <c r="BI737" s="1409"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6"/>
      <c r="C738" s="1796"/>
      <c r="D738" s="1796"/>
      <c r="E738" s="1796"/>
      <c r="F738" s="1796"/>
      <c r="G738" s="1796"/>
      <c r="H738" s="1796"/>
      <c r="I738" s="1796"/>
      <c r="J738" s="1796"/>
      <c r="K738" s="1796"/>
      <c r="L738" s="1796"/>
      <c r="M738" s="1796"/>
      <c r="N738" s="1796"/>
      <c r="O738" s="1796"/>
      <c r="P738" s="1796"/>
      <c r="Q738" s="1796"/>
      <c r="R738" s="1796"/>
      <c r="S738" s="1796"/>
      <c r="T738" s="1796"/>
      <c r="U738" s="1796"/>
      <c r="V738" s="1796"/>
      <c r="W738" s="1796"/>
      <c r="X738" s="1796"/>
      <c r="Y738" s="1796"/>
      <c r="Z738" s="1796"/>
      <c r="AA738" s="1796"/>
      <c r="AB738" s="1796"/>
      <c r="AC738" s="1796"/>
      <c r="AD738" s="1796"/>
      <c r="AE738" s="1796"/>
      <c r="AF738" s="1796"/>
      <c r="AG738" s="1796"/>
      <c r="AH738" s="1796"/>
      <c r="AI738" s="1796"/>
      <c r="AJ738" s="1796"/>
      <c r="AK738" s="1796"/>
      <c r="AL738" s="1796"/>
      <c r="AM738" s="72"/>
      <c r="BA738" s="72"/>
      <c r="BB738" s="72"/>
      <c r="BC738" s="72"/>
      <c r="BD738" s="72"/>
      <c r="BE738" s="72"/>
      <c r="BF738" s="72"/>
      <c r="BG738" s="1404">
        <f t="shared" si="29"/>
        <v>0</v>
      </c>
      <c r="BH738" s="1408">
        <f t="shared" si="30"/>
        <v>0</v>
      </c>
      <c r="BI738" s="1409"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3"/>
      <c r="E739" s="1493"/>
      <c r="F739" s="1493"/>
      <c r="G739" s="1493"/>
      <c r="H739" s="1493"/>
      <c r="I739" s="1493"/>
      <c r="J739" s="1493"/>
      <c r="K739" s="1493"/>
      <c r="L739" s="1493"/>
      <c r="M739" s="1493"/>
      <c r="N739" s="1493"/>
      <c r="O739" s="1493"/>
      <c r="P739" s="1493"/>
      <c r="Q739" s="1493"/>
      <c r="R739" s="1493"/>
      <c r="S739" s="1493"/>
      <c r="T739" s="1493"/>
      <c r="U739" s="1493"/>
      <c r="V739" s="1493"/>
      <c r="W739" s="1493"/>
      <c r="X739" s="1493"/>
      <c r="Y739" s="1493"/>
      <c r="Z739" s="1493"/>
      <c r="AA739" s="1493"/>
      <c r="AB739" s="1493"/>
      <c r="AC739" s="1493"/>
      <c r="AD739" s="1493"/>
      <c r="AE739" s="1493"/>
      <c r="AF739" s="1493"/>
      <c r="AG739" s="1493"/>
      <c r="AH739" s="1493"/>
      <c r="AI739" s="1493"/>
      <c r="AJ739" s="1493"/>
      <c r="AK739" s="1493"/>
      <c r="AM739" s="72"/>
      <c r="BA739" s="72"/>
      <c r="BB739" s="72"/>
      <c r="BC739" s="72"/>
      <c r="BD739" s="72"/>
      <c r="BE739" s="72"/>
      <c r="BF739" s="72"/>
      <c r="BG739" s="1404">
        <f t="shared" si="29"/>
        <v>0</v>
      </c>
      <c r="BH739" s="1408">
        <f t="shared" si="30"/>
        <v>0</v>
      </c>
      <c r="BI739" s="1409"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5" t="s">
        <v>1656</v>
      </c>
      <c r="D740" s="1795"/>
      <c r="E740" s="1795"/>
      <c r="F740" s="1795"/>
      <c r="G740" s="1795"/>
      <c r="H740" s="1795"/>
      <c r="I740" s="1795"/>
      <c r="J740" s="1795"/>
      <c r="K740" s="1795"/>
      <c r="L740" s="1795"/>
      <c r="M740" s="1795"/>
      <c r="N740" s="1795"/>
      <c r="O740" s="1795"/>
      <c r="P740" s="1795"/>
      <c r="Q740" s="1795"/>
      <c r="R740" s="1795"/>
      <c r="S740" s="1795"/>
      <c r="T740" s="1795"/>
      <c r="U740" s="1795"/>
      <c r="V740" s="1795"/>
      <c r="W740" s="1795"/>
      <c r="X740" s="1795"/>
      <c r="Y740" s="1795"/>
      <c r="Z740" s="1795"/>
      <c r="AA740" s="1795"/>
      <c r="AB740" s="1795"/>
      <c r="AC740" s="1795"/>
      <c r="AD740" s="1795"/>
      <c r="AE740" s="1795"/>
      <c r="AF740" s="1795"/>
      <c r="AG740" s="1795"/>
      <c r="AH740" s="1795"/>
      <c r="AI740" s="1795"/>
      <c r="AJ740" s="1795"/>
      <c r="AK740" s="1795"/>
      <c r="AM740" s="72"/>
      <c r="BA740" s="72"/>
      <c r="BB740" s="72"/>
      <c r="BC740" s="72"/>
      <c r="BD740" s="72"/>
      <c r="BE740" s="72"/>
      <c r="BF740" s="72"/>
      <c r="BG740" s="1404">
        <f t="shared" si="29"/>
        <v>0</v>
      </c>
      <c r="BH740" s="1408">
        <f t="shared" si="30"/>
        <v>0</v>
      </c>
      <c r="BI740" s="1409"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5"/>
      <c r="D741" s="1795"/>
      <c r="E741" s="1795"/>
      <c r="F741" s="1795"/>
      <c r="G741" s="1795"/>
      <c r="H741" s="1795"/>
      <c r="I741" s="1795"/>
      <c r="J741" s="1795"/>
      <c r="K741" s="1795"/>
      <c r="L741" s="1795"/>
      <c r="M741" s="1795"/>
      <c r="N741" s="1795"/>
      <c r="O741" s="1795"/>
      <c r="P741" s="1795"/>
      <c r="Q741" s="1795"/>
      <c r="R741" s="1795"/>
      <c r="S741" s="1795"/>
      <c r="T741" s="1795"/>
      <c r="U741" s="1795"/>
      <c r="V741" s="1795"/>
      <c r="W741" s="1795"/>
      <c r="X741" s="1795"/>
      <c r="Y741" s="1795"/>
      <c r="Z741" s="1795"/>
      <c r="AA741" s="1795"/>
      <c r="AB741" s="1795"/>
      <c r="AC741" s="1795"/>
      <c r="AD741" s="1795"/>
      <c r="AE741" s="1795"/>
      <c r="AF741" s="1795"/>
      <c r="AG741" s="1795"/>
      <c r="AH741" s="1795"/>
      <c r="AI741" s="1795"/>
      <c r="AJ741" s="1795"/>
      <c r="AK741" s="1795"/>
      <c r="AM741" s="72"/>
      <c r="BA741" s="72"/>
      <c r="BB741" s="72"/>
      <c r="BC741" s="72"/>
      <c r="BD741" s="72"/>
      <c r="BE741" s="72"/>
      <c r="BF741" s="72"/>
      <c r="BG741" s="1404">
        <f t="shared" si="29"/>
        <v>0</v>
      </c>
      <c r="BH741" s="1408">
        <f t="shared" si="30"/>
        <v>0</v>
      </c>
      <c r="BI741" s="1409"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5"/>
      <c r="D742" s="1795"/>
      <c r="E742" s="1795"/>
      <c r="F742" s="1795"/>
      <c r="G742" s="1795"/>
      <c r="H742" s="1795"/>
      <c r="I742" s="1795"/>
      <c r="J742" s="1795"/>
      <c r="K742" s="1795"/>
      <c r="L742" s="1795"/>
      <c r="M742" s="1795"/>
      <c r="N742" s="1795"/>
      <c r="O742" s="1795"/>
      <c r="P742" s="1795"/>
      <c r="Q742" s="1795"/>
      <c r="R742" s="1795"/>
      <c r="S742" s="1795"/>
      <c r="T742" s="1795"/>
      <c r="U742" s="1795"/>
      <c r="V742" s="1795"/>
      <c r="W742" s="1795"/>
      <c r="X742" s="1795"/>
      <c r="Y742" s="1795"/>
      <c r="Z742" s="1795"/>
      <c r="AA742" s="1795"/>
      <c r="AB742" s="1795"/>
      <c r="AC742" s="1795"/>
      <c r="AD742" s="1795"/>
      <c r="AE742" s="1795"/>
      <c r="AF742" s="1795"/>
      <c r="AG742" s="1795"/>
      <c r="AH742" s="1795"/>
      <c r="AI742" s="1795"/>
      <c r="AJ742" s="1795"/>
      <c r="AK742" s="1795"/>
      <c r="AM742" s="72"/>
      <c r="BA742" s="72"/>
      <c r="BB742" s="72"/>
      <c r="BC742" s="72"/>
      <c r="BD742" s="72"/>
      <c r="BE742" s="72"/>
      <c r="BF742" s="72"/>
      <c r="BG742" s="1404">
        <f t="shared" si="29"/>
        <v>0</v>
      </c>
      <c r="BH742" s="1408">
        <f t="shared" si="30"/>
        <v>0</v>
      </c>
      <c r="BI742" s="1409"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5"/>
      <c r="D743" s="1795"/>
      <c r="E743" s="1795"/>
      <c r="F743" s="1795"/>
      <c r="G743" s="1795"/>
      <c r="H743" s="1795"/>
      <c r="I743" s="1795"/>
      <c r="J743" s="1795"/>
      <c r="K743" s="1795"/>
      <c r="L743" s="1795"/>
      <c r="M743" s="1795"/>
      <c r="N743" s="1795"/>
      <c r="O743" s="1795"/>
      <c r="P743" s="1795"/>
      <c r="Q743" s="1795"/>
      <c r="R743" s="1795"/>
      <c r="S743" s="1795"/>
      <c r="T743" s="1795"/>
      <c r="U743" s="1795"/>
      <c r="V743" s="1795"/>
      <c r="W743" s="1795"/>
      <c r="X743" s="1795"/>
      <c r="Y743" s="1795"/>
      <c r="Z743" s="1795"/>
      <c r="AA743" s="1795"/>
      <c r="AB743" s="1795"/>
      <c r="AC743" s="1795"/>
      <c r="AD743" s="1795"/>
      <c r="AE743" s="1795"/>
      <c r="AF743" s="1795"/>
      <c r="AG743" s="1795"/>
      <c r="AH743" s="1795"/>
      <c r="AI743" s="1795"/>
      <c r="AJ743" s="1795"/>
      <c r="AK743" s="1795"/>
      <c r="AM743" s="72"/>
      <c r="BA743" s="72"/>
      <c r="BB743" s="72"/>
      <c r="BC743" s="72"/>
      <c r="BD743" s="72"/>
      <c r="BE743" s="72"/>
      <c r="BF743" s="72"/>
      <c r="BG743" s="1404">
        <f t="shared" si="29"/>
        <v>0</v>
      </c>
      <c r="BH743" s="1408">
        <f t="shared" si="30"/>
        <v>0</v>
      </c>
      <c r="BI743" s="1409"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5"/>
      <c r="D744" s="1795"/>
      <c r="E744" s="1795"/>
      <c r="F744" s="1795"/>
      <c r="G744" s="1795"/>
      <c r="H744" s="1795"/>
      <c r="I744" s="1795"/>
      <c r="J744" s="1795"/>
      <c r="K744" s="1795"/>
      <c r="L744" s="1795"/>
      <c r="M744" s="1795"/>
      <c r="N744" s="1795"/>
      <c r="O744" s="1795"/>
      <c r="P744" s="1795"/>
      <c r="Q744" s="1795"/>
      <c r="R744" s="1795"/>
      <c r="S744" s="1795"/>
      <c r="T744" s="1795"/>
      <c r="U744" s="1795"/>
      <c r="V744" s="1795"/>
      <c r="W744" s="1795"/>
      <c r="X744" s="1795"/>
      <c r="Y744" s="1795"/>
      <c r="Z744" s="1795"/>
      <c r="AA744" s="1795"/>
      <c r="AB744" s="1795"/>
      <c r="AC744" s="1795"/>
      <c r="AD744" s="1795"/>
      <c r="AE744" s="1795"/>
      <c r="AF744" s="1795"/>
      <c r="AG744" s="1795"/>
      <c r="AH744" s="1795"/>
      <c r="AI744" s="1795"/>
      <c r="AJ744" s="1795"/>
      <c r="AK744" s="1795"/>
      <c r="AM744" s="72"/>
      <c r="BA744" s="72"/>
      <c r="BB744" s="72"/>
      <c r="BC744" s="72"/>
      <c r="BD744" s="72"/>
      <c r="BE744" s="72"/>
      <c r="BF744" s="72"/>
      <c r="BG744" s="1404">
        <f t="shared" si="29"/>
        <v>0</v>
      </c>
      <c r="BH744" s="1408">
        <f t="shared" si="30"/>
        <v>0</v>
      </c>
      <c r="BI744" s="1409"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5"/>
      <c r="D745" s="1795"/>
      <c r="E745" s="1795"/>
      <c r="F745" s="1795"/>
      <c r="G745" s="1795"/>
      <c r="H745" s="1795"/>
      <c r="I745" s="1795"/>
      <c r="J745" s="1795"/>
      <c r="K745" s="1795"/>
      <c r="L745" s="1795"/>
      <c r="M745" s="1795"/>
      <c r="N745" s="1795"/>
      <c r="O745" s="1795"/>
      <c r="P745" s="1795"/>
      <c r="Q745" s="1795"/>
      <c r="R745" s="1795"/>
      <c r="S745" s="1795"/>
      <c r="T745" s="1795"/>
      <c r="U745" s="1795"/>
      <c r="V745" s="1795"/>
      <c r="W745" s="1795"/>
      <c r="X745" s="1795"/>
      <c r="Y745" s="1795"/>
      <c r="Z745" s="1795"/>
      <c r="AA745" s="1795"/>
      <c r="AB745" s="1795"/>
      <c r="AC745" s="1795"/>
      <c r="AD745" s="1795"/>
      <c r="AE745" s="1795"/>
      <c r="AF745" s="1795"/>
      <c r="AG745" s="1795"/>
      <c r="AH745" s="1795"/>
      <c r="AI745" s="1795"/>
      <c r="AJ745" s="1795"/>
      <c r="AK745" s="1795"/>
      <c r="AM745" s="72"/>
      <c r="BA745" s="72"/>
      <c r="BB745" s="72"/>
      <c r="BC745" s="72"/>
      <c r="BD745" s="72"/>
      <c r="BE745" s="72"/>
      <c r="BF745" s="72"/>
      <c r="BG745" s="1407">
        <f t="shared" si="29"/>
        <v>0</v>
      </c>
      <c r="BH745" s="1408">
        <f t="shared" si="30"/>
        <v>0</v>
      </c>
      <c r="BI745" s="1409"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5"/>
      <c r="D746" s="1795"/>
      <c r="E746" s="1795"/>
      <c r="F746" s="1795"/>
      <c r="G746" s="1795"/>
      <c r="H746" s="1795"/>
      <c r="I746" s="1795"/>
      <c r="J746" s="1795"/>
      <c r="K746" s="1795"/>
      <c r="L746" s="1795"/>
      <c r="M746" s="1795"/>
      <c r="N746" s="1795"/>
      <c r="O746" s="1795"/>
      <c r="P746" s="1795"/>
      <c r="Q746" s="1795"/>
      <c r="R746" s="1795"/>
      <c r="S746" s="1795"/>
      <c r="T746" s="1795"/>
      <c r="U746" s="1795"/>
      <c r="V746" s="1795"/>
      <c r="W746" s="1795"/>
      <c r="X746" s="1795"/>
      <c r="Y746" s="1795"/>
      <c r="Z746" s="1795"/>
      <c r="AA746" s="1795"/>
      <c r="AB746" s="1795"/>
      <c r="AC746" s="1795"/>
      <c r="AD746" s="1795"/>
      <c r="AE746" s="1795"/>
      <c r="AF746" s="1795"/>
      <c r="AG746" s="1795"/>
      <c r="AH746" s="1795"/>
      <c r="AI746" s="1795"/>
      <c r="AJ746" s="1795"/>
      <c r="AK746" s="1795"/>
      <c r="AM746" s="72"/>
      <c r="BA746" s="72"/>
      <c r="BB746" s="72"/>
      <c r="BC746" s="72"/>
      <c r="BD746" s="72"/>
      <c r="BE746" s="72"/>
      <c r="BF746" s="72"/>
      <c r="BG746" s="1405">
        <f>SUM(BG721:BG745)</f>
        <v>49</v>
      </c>
      <c r="BH746" s="1406">
        <f>SUM(BH721:BH745)</f>
        <v>1</v>
      </c>
      <c r="BI746" s="1406">
        <f>SUM(BI721:BI745)</f>
        <v>0.41632330147248775</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5"/>
      <c r="D747" s="1795"/>
      <c r="E747" s="1795"/>
      <c r="F747" s="1795"/>
      <c r="G747" s="1795"/>
      <c r="H747" s="1795"/>
      <c r="I747" s="1795"/>
      <c r="J747" s="1795"/>
      <c r="K747" s="1795"/>
      <c r="L747" s="1795"/>
      <c r="M747" s="1795"/>
      <c r="N747" s="1795"/>
      <c r="O747" s="1795"/>
      <c r="P747" s="1795"/>
      <c r="Q747" s="1795"/>
      <c r="R747" s="1795"/>
      <c r="S747" s="1795"/>
      <c r="T747" s="1795"/>
      <c r="U747" s="1795"/>
      <c r="V747" s="1795"/>
      <c r="W747" s="1795"/>
      <c r="X747" s="1795"/>
      <c r="Y747" s="1795"/>
      <c r="Z747" s="1795"/>
      <c r="AA747" s="1795"/>
      <c r="AB747" s="1795"/>
      <c r="AC747" s="1795"/>
      <c r="AD747" s="1795"/>
      <c r="AE747" s="1795"/>
      <c r="AF747" s="1795"/>
      <c r="AG747" s="1795"/>
      <c r="AH747" s="1795"/>
      <c r="AI747" s="1795"/>
      <c r="AJ747" s="1795"/>
      <c r="AK747" s="1795"/>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8" t="s">
        <v>58</v>
      </c>
      <c r="K748" s="1859"/>
      <c r="L748" s="1859"/>
      <c r="M748" s="1859"/>
      <c r="N748" s="1860"/>
      <c r="O748" s="1809" t="s">
        <v>282</v>
      </c>
      <c r="P748" s="1809"/>
      <c r="Q748" s="1809"/>
      <c r="R748" s="1809"/>
      <c r="S748" s="1809"/>
      <c r="T748" s="2137" t="s">
        <v>2210</v>
      </c>
      <c r="U748" s="2138"/>
      <c r="V748" s="2138"/>
      <c r="W748" s="2139"/>
      <c r="X748" s="1858" t="s">
        <v>650</v>
      </c>
      <c r="Y748" s="1859"/>
      <c r="Z748" s="1859"/>
      <c r="AA748" s="1859"/>
      <c r="AB748" s="1860"/>
      <c r="AC748" s="1858" t="s">
        <v>283</v>
      </c>
      <c r="AD748" s="1859"/>
      <c r="AE748" s="1859"/>
      <c r="AF748" s="1859"/>
      <c r="AG748" s="186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1"/>
      <c r="K749" s="1862"/>
      <c r="L749" s="1862"/>
      <c r="M749" s="1862"/>
      <c r="N749" s="1863"/>
      <c r="O749" s="1809"/>
      <c r="P749" s="1809"/>
      <c r="Q749" s="1809"/>
      <c r="R749" s="1809"/>
      <c r="S749" s="1809"/>
      <c r="T749" s="2140"/>
      <c r="U749" s="2141"/>
      <c r="V749" s="2141"/>
      <c r="W749" s="2142"/>
      <c r="X749" s="1861"/>
      <c r="Y749" s="1862"/>
      <c r="Z749" s="1862"/>
      <c r="AA749" s="1862"/>
      <c r="AB749" s="1863"/>
      <c r="AC749" s="1861"/>
      <c r="AD749" s="1862"/>
      <c r="AE749" s="1862"/>
      <c r="AF749" s="1862"/>
      <c r="AG749" s="18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1"/>
      <c r="K750" s="1862"/>
      <c r="L750" s="1862"/>
      <c r="M750" s="1862"/>
      <c r="N750" s="1863"/>
      <c r="O750" s="1809"/>
      <c r="P750" s="1809"/>
      <c r="Q750" s="1809"/>
      <c r="R750" s="1809"/>
      <c r="S750" s="1809"/>
      <c r="T750" s="2140"/>
      <c r="U750" s="2141"/>
      <c r="V750" s="2141"/>
      <c r="W750" s="2142"/>
      <c r="X750" s="1861"/>
      <c r="Y750" s="1862"/>
      <c r="Z750" s="1862"/>
      <c r="AA750" s="1862"/>
      <c r="AB750" s="1863"/>
      <c r="AC750" s="1861"/>
      <c r="AD750" s="1862"/>
      <c r="AE750" s="1862"/>
      <c r="AF750" s="1862"/>
      <c r="AG750" s="1863"/>
      <c r="AM750" s="72"/>
      <c r="AN750" s="72"/>
      <c r="AO750" s="72"/>
      <c r="AP750" s="72"/>
      <c r="AQ750" s="72"/>
      <c r="AR750" s="72"/>
      <c r="AS750" s="72"/>
      <c r="AT750" s="72"/>
      <c r="AU750" s="72"/>
      <c r="AV750" s="72"/>
      <c r="AW750" s="72"/>
      <c r="AX750" s="72"/>
      <c r="AY750" s="72"/>
      <c r="AZ750" s="72"/>
      <c r="BA750" s="72"/>
      <c r="BB750" s="72"/>
      <c r="BC750" s="72"/>
      <c r="BD750" s="72"/>
      <c r="BE750" s="1494"/>
      <c r="BF750" s="1494"/>
      <c r="BG750" s="1494"/>
      <c r="BH750" s="1494"/>
      <c r="BI750" s="1494"/>
      <c r="BJ750" s="1494"/>
      <c r="BK750" s="1494"/>
      <c r="BL750" s="1494"/>
      <c r="BM750" s="1494"/>
      <c r="BN750" s="1494"/>
      <c r="BO750" s="1494"/>
      <c r="BP750" s="1494"/>
      <c r="BQ750" s="1494"/>
      <c r="BR750" s="1494"/>
      <c r="BS750" s="1494"/>
      <c r="BT750" s="1494"/>
      <c r="BU750" s="1494"/>
      <c r="BV750" s="1494"/>
      <c r="BW750" s="1494"/>
      <c r="BX750" s="1494"/>
      <c r="BY750" s="1494"/>
      <c r="BZ750" s="1494"/>
      <c r="CA750" s="1494"/>
      <c r="CB750" s="1494"/>
      <c r="CC750" s="1494"/>
      <c r="CD750" s="1494"/>
      <c r="CE750" s="1494"/>
      <c r="CF750" s="1494"/>
      <c r="CG750" s="1494"/>
      <c r="CH750" s="1494"/>
      <c r="CI750" s="1494"/>
      <c r="CJ750" s="1494"/>
      <c r="CK750" s="1494"/>
      <c r="CL750" s="72"/>
      <c r="CM750" s="72"/>
      <c r="CN750" s="72"/>
      <c r="CO750" s="72"/>
      <c r="CP750" s="72"/>
      <c r="CQ750" s="72"/>
      <c r="CR750" s="72"/>
      <c r="CS750" s="72"/>
    </row>
    <row r="751" spans="1:97" ht="12.75">
      <c r="J751" s="1864"/>
      <c r="K751" s="1865"/>
      <c r="L751" s="1865"/>
      <c r="M751" s="1865"/>
      <c r="N751" s="1866"/>
      <c r="O751" s="1809"/>
      <c r="P751" s="1809"/>
      <c r="Q751" s="1809"/>
      <c r="R751" s="1809"/>
      <c r="S751" s="1809"/>
      <c r="T751" s="2149"/>
      <c r="U751" s="2150"/>
      <c r="V751" s="2150"/>
      <c r="W751" s="2151"/>
      <c r="X751" s="1864"/>
      <c r="Y751" s="1865"/>
      <c r="Z751" s="1865"/>
      <c r="AA751" s="1865"/>
      <c r="AB751" s="1866"/>
      <c r="AC751" s="1864"/>
      <c r="AD751" s="1865"/>
      <c r="AE751" s="1865"/>
      <c r="AF751" s="1865"/>
      <c r="AG751" s="1866"/>
      <c r="AM751" s="72"/>
      <c r="AN751" s="72"/>
      <c r="AO751" s="72"/>
      <c r="AP751" s="72"/>
      <c r="AQ751" s="72"/>
      <c r="AR751" s="72"/>
      <c r="AS751" s="72"/>
      <c r="AT751" s="72"/>
      <c r="AU751" s="72"/>
      <c r="AV751" s="72"/>
      <c r="AW751" s="72"/>
      <c r="AX751" s="72"/>
      <c r="AY751" s="72"/>
      <c r="AZ751" s="72"/>
      <c r="BA751" s="72"/>
      <c r="BB751" s="72"/>
      <c r="BC751" s="72"/>
      <c r="BD751" s="72"/>
      <c r="BE751" s="1494"/>
      <c r="BF751" s="1494"/>
      <c r="BG751" s="1494"/>
      <c r="BH751" s="1494"/>
      <c r="BI751" s="1494"/>
      <c r="BJ751" s="1494"/>
      <c r="BK751" s="1494"/>
      <c r="BL751" s="1494"/>
      <c r="BM751" s="1494"/>
      <c r="BN751" s="1494"/>
      <c r="BO751" s="1494"/>
      <c r="BP751" s="1494"/>
      <c r="BQ751" s="1494"/>
      <c r="BR751" s="1494"/>
      <c r="BS751" s="1494"/>
      <c r="BT751" s="1494"/>
      <c r="BU751" s="1494"/>
      <c r="BV751" s="1494"/>
      <c r="BW751" s="1494"/>
      <c r="BX751" s="1494"/>
      <c r="BY751" s="1494"/>
      <c r="BZ751" s="1494"/>
      <c r="CA751" s="1494"/>
      <c r="CB751" s="1494"/>
      <c r="CC751" s="1494"/>
      <c r="CD751" s="1494"/>
      <c r="CE751" s="1494"/>
      <c r="CF751" s="1494"/>
      <c r="CG751" s="1494"/>
      <c r="CH751" s="1494"/>
      <c r="CI751" s="1494"/>
      <c r="CJ751" s="1494"/>
      <c r="CK751" s="1494"/>
      <c r="CL751" s="72"/>
      <c r="CM751" s="72"/>
      <c r="CN751" s="72"/>
      <c r="CO751" s="72"/>
      <c r="CP751" s="72"/>
      <c r="CQ751" s="72"/>
      <c r="CR751" s="72"/>
      <c r="CS751" s="72"/>
    </row>
    <row r="752" spans="1:97" ht="12.75">
      <c r="J752" s="1782" t="s">
        <v>844</v>
      </c>
      <c r="K752" s="1783"/>
      <c r="L752" s="1783"/>
      <c r="M752" s="1783"/>
      <c r="N752" s="1784"/>
      <c r="O752" s="1776">
        <v>1</v>
      </c>
      <c r="P752" s="1776"/>
      <c r="Q752" s="1776"/>
      <c r="R752" s="1776"/>
      <c r="S752" s="1776"/>
      <c r="T752" s="1786">
        <v>918</v>
      </c>
      <c r="U752" s="1787"/>
      <c r="V752" s="1787"/>
      <c r="W752" s="1788"/>
      <c r="X752" s="1789">
        <v>0</v>
      </c>
      <c r="Y752" s="1790"/>
      <c r="Z752" s="1790"/>
      <c r="AA752" s="1790"/>
      <c r="AB752" s="1791"/>
      <c r="AC752" s="1792">
        <f>X752*O752</f>
        <v>0</v>
      </c>
      <c r="AD752" s="1793"/>
      <c r="AE752" s="1793"/>
      <c r="AF752" s="1793"/>
      <c r="AG752" s="179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2"/>
      <c r="K753" s="1783"/>
      <c r="L753" s="1783"/>
      <c r="M753" s="1783"/>
      <c r="N753" s="1784"/>
      <c r="O753" s="1776"/>
      <c r="P753" s="1776"/>
      <c r="Q753" s="1776"/>
      <c r="R753" s="1776"/>
      <c r="S753" s="1776"/>
      <c r="T753" s="1786"/>
      <c r="U753" s="1787"/>
      <c r="V753" s="1787"/>
      <c r="W753" s="1788"/>
      <c r="X753" s="1789"/>
      <c r="Y753" s="1790"/>
      <c r="Z753" s="1790"/>
      <c r="AA753" s="1790"/>
      <c r="AB753" s="1791"/>
      <c r="AC753" s="1792">
        <f>X753*O753</f>
        <v>0</v>
      </c>
      <c r="AD753" s="1793"/>
      <c r="AE753" s="1793"/>
      <c r="AF753" s="1793"/>
      <c r="AG753" s="179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2"/>
      <c r="K754" s="1783"/>
      <c r="L754" s="1783"/>
      <c r="M754" s="1783"/>
      <c r="N754" s="1784"/>
      <c r="O754" s="1776"/>
      <c r="P754" s="1776"/>
      <c r="Q754" s="1776"/>
      <c r="R754" s="1776"/>
      <c r="S754" s="1776"/>
      <c r="T754" s="1786"/>
      <c r="U754" s="1787"/>
      <c r="V754" s="1787"/>
      <c r="W754" s="1788"/>
      <c r="X754" s="1789"/>
      <c r="Y754" s="1790"/>
      <c r="Z754" s="1790"/>
      <c r="AA754" s="1790"/>
      <c r="AB754" s="1791"/>
      <c r="AC754" s="1792">
        <f>X754*O754</f>
        <v>0</v>
      </c>
      <c r="AD754" s="1793"/>
      <c r="AE754" s="1793"/>
      <c r="AF754" s="1793"/>
      <c r="AG754" s="179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2"/>
      <c r="K755" s="1783"/>
      <c r="L755" s="1783"/>
      <c r="M755" s="1783"/>
      <c r="N755" s="1784"/>
      <c r="O755" s="1776"/>
      <c r="P755" s="1776"/>
      <c r="Q755" s="1776"/>
      <c r="R755" s="1776"/>
      <c r="S755" s="1776"/>
      <c r="T755" s="1786"/>
      <c r="U755" s="1787"/>
      <c r="V755" s="1787"/>
      <c r="W755" s="1788"/>
      <c r="X755" s="1789"/>
      <c r="Y755" s="1790"/>
      <c r="Z755" s="1790"/>
      <c r="AA755" s="1790"/>
      <c r="AB755" s="1791"/>
      <c r="AC755" s="1792">
        <f>X755*O755</f>
        <v>0</v>
      </c>
      <c r="AD755" s="1793"/>
      <c r="AE755" s="1793"/>
      <c r="AF755" s="1793"/>
      <c r="AG755" s="179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9" t="s">
        <v>954</v>
      </c>
      <c r="K756" s="1800"/>
      <c r="L756" s="1800"/>
      <c r="M756" s="1800"/>
      <c r="N756" s="1801"/>
      <c r="O756" s="1881">
        <f>SUM(O752:S755)</f>
        <v>1</v>
      </c>
      <c r="P756" s="1882"/>
      <c r="Q756" s="1882"/>
      <c r="R756" s="1882"/>
      <c r="S756" s="1883"/>
      <c r="X756" s="2153" t="s">
        <v>953</v>
      </c>
      <c r="Y756" s="2154"/>
      <c r="Z756" s="2154"/>
      <c r="AA756" s="2154"/>
      <c r="AB756" s="2155"/>
      <c r="AC756" s="1792">
        <f>SUM(AC752:AG755)</f>
        <v>0</v>
      </c>
      <c r="AD756" s="1793"/>
      <c r="AE756" s="1793"/>
      <c r="AF756" s="1793"/>
      <c r="AG756" s="179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1" t="s">
        <v>527</v>
      </c>
      <c r="K758" s="1851"/>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8" t="s">
        <v>58</v>
      </c>
      <c r="K762" s="1859"/>
      <c r="L762" s="1859"/>
      <c r="M762" s="1859"/>
      <c r="N762" s="1860"/>
      <c r="O762" s="1809" t="s">
        <v>282</v>
      </c>
      <c r="P762" s="1809"/>
      <c r="Q762" s="1809"/>
      <c r="R762" s="1809"/>
      <c r="S762" s="1809"/>
      <c r="T762" s="2137" t="s">
        <v>2210</v>
      </c>
      <c r="U762" s="2138"/>
      <c r="V762" s="2138"/>
      <c r="W762" s="2139"/>
      <c r="X762" s="1858" t="s">
        <v>650</v>
      </c>
      <c r="Y762" s="1859"/>
      <c r="Z762" s="1859"/>
      <c r="AA762" s="1859"/>
      <c r="AB762" s="1860"/>
      <c r="AC762" s="1858" t="s">
        <v>283</v>
      </c>
      <c r="AD762" s="1859"/>
      <c r="AE762" s="1859"/>
      <c r="AF762" s="1859"/>
      <c r="AG762" s="18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1"/>
      <c r="K763" s="1862"/>
      <c r="L763" s="1862"/>
      <c r="M763" s="1862"/>
      <c r="N763" s="1863"/>
      <c r="O763" s="1809"/>
      <c r="P763" s="1809"/>
      <c r="Q763" s="1809"/>
      <c r="R763" s="1809"/>
      <c r="S763" s="1809"/>
      <c r="T763" s="2140"/>
      <c r="U763" s="2141"/>
      <c r="V763" s="2141"/>
      <c r="W763" s="2142"/>
      <c r="X763" s="1861"/>
      <c r="Y763" s="1862"/>
      <c r="Z763" s="1862"/>
      <c r="AA763" s="1862"/>
      <c r="AB763" s="1863"/>
      <c r="AC763" s="1861"/>
      <c r="AD763" s="1862"/>
      <c r="AE763" s="1862"/>
      <c r="AF763" s="1862"/>
      <c r="AG763" s="18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1"/>
      <c r="K764" s="1862"/>
      <c r="L764" s="1862"/>
      <c r="M764" s="1862"/>
      <c r="N764" s="1863"/>
      <c r="O764" s="1809"/>
      <c r="P764" s="1809"/>
      <c r="Q764" s="1809"/>
      <c r="R764" s="1809"/>
      <c r="S764" s="1809"/>
      <c r="T764" s="2140"/>
      <c r="U764" s="2141"/>
      <c r="V764" s="2141"/>
      <c r="W764" s="2142"/>
      <c r="X764" s="1861"/>
      <c r="Y764" s="1862"/>
      <c r="Z764" s="1862"/>
      <c r="AA764" s="1862"/>
      <c r="AB764" s="1863"/>
      <c r="AC764" s="1861"/>
      <c r="AD764" s="1862"/>
      <c r="AE764" s="1862"/>
      <c r="AF764" s="1862"/>
      <c r="AG764" s="186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4"/>
      <c r="K765" s="1865"/>
      <c r="L765" s="1865"/>
      <c r="M765" s="1865"/>
      <c r="N765" s="1866"/>
      <c r="O765" s="1809"/>
      <c r="P765" s="1809"/>
      <c r="Q765" s="1809"/>
      <c r="R765" s="1809"/>
      <c r="S765" s="1809"/>
      <c r="T765" s="2149"/>
      <c r="U765" s="2150"/>
      <c r="V765" s="2150"/>
      <c r="W765" s="2151"/>
      <c r="X765" s="1864"/>
      <c r="Y765" s="1865"/>
      <c r="Z765" s="1865"/>
      <c r="AA765" s="1865"/>
      <c r="AB765" s="1866"/>
      <c r="AC765" s="1864"/>
      <c r="AD765" s="1865"/>
      <c r="AE765" s="1865"/>
      <c r="AF765" s="1865"/>
      <c r="AG765" s="186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2"/>
      <c r="K766" s="1783"/>
      <c r="L766" s="1783"/>
      <c r="M766" s="1783"/>
      <c r="N766" s="1784"/>
      <c r="O766" s="1776"/>
      <c r="P766" s="1776"/>
      <c r="Q766" s="1776"/>
      <c r="R766" s="1776"/>
      <c r="S766" s="1776"/>
      <c r="T766" s="1786"/>
      <c r="U766" s="1787"/>
      <c r="V766" s="1787"/>
      <c r="W766" s="1788"/>
      <c r="X766" s="1789"/>
      <c r="Y766" s="1790"/>
      <c r="Z766" s="1790"/>
      <c r="AA766" s="1790"/>
      <c r="AB766" s="1791"/>
      <c r="AC766" s="1792">
        <f t="shared" ref="AC766:AC775" si="32">X766*O766</f>
        <v>0</v>
      </c>
      <c r="AD766" s="1793"/>
      <c r="AE766" s="1793"/>
      <c r="AF766" s="1793"/>
      <c r="AG766" s="179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2"/>
      <c r="K767" s="1783"/>
      <c r="L767" s="1783"/>
      <c r="M767" s="1783"/>
      <c r="N767" s="1784"/>
      <c r="O767" s="1776"/>
      <c r="P767" s="1776"/>
      <c r="Q767" s="1776"/>
      <c r="R767" s="1776"/>
      <c r="S767" s="1776"/>
      <c r="T767" s="1786"/>
      <c r="U767" s="1787"/>
      <c r="V767" s="1787"/>
      <c r="W767" s="1788"/>
      <c r="X767" s="1789"/>
      <c r="Y767" s="1790"/>
      <c r="Z767" s="1790"/>
      <c r="AA767" s="1790"/>
      <c r="AB767" s="1791"/>
      <c r="AC767" s="1792">
        <f t="shared" si="32"/>
        <v>0</v>
      </c>
      <c r="AD767" s="1793"/>
      <c r="AE767" s="1793"/>
      <c r="AF767" s="1793"/>
      <c r="AG767" s="179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2"/>
      <c r="K768" s="1783"/>
      <c r="L768" s="1783"/>
      <c r="M768" s="1783"/>
      <c r="N768" s="1784"/>
      <c r="O768" s="1776"/>
      <c r="P768" s="1776"/>
      <c r="Q768" s="1776"/>
      <c r="R768" s="1776"/>
      <c r="S768" s="1776"/>
      <c r="T768" s="1786"/>
      <c r="U768" s="1787"/>
      <c r="V768" s="1787"/>
      <c r="W768" s="1788"/>
      <c r="X768" s="1789"/>
      <c r="Y768" s="1790"/>
      <c r="Z768" s="1790"/>
      <c r="AA768" s="1790"/>
      <c r="AB768" s="1791"/>
      <c r="AC768" s="1792">
        <f t="shared" si="32"/>
        <v>0</v>
      </c>
      <c r="AD768" s="1793"/>
      <c r="AE768" s="1793"/>
      <c r="AF768" s="1793"/>
      <c r="AG768" s="179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2"/>
      <c r="K769" s="1783"/>
      <c r="L769" s="1783"/>
      <c r="M769" s="1783"/>
      <c r="N769" s="1784"/>
      <c r="O769" s="1776"/>
      <c r="P769" s="1776"/>
      <c r="Q769" s="1776"/>
      <c r="R769" s="1776"/>
      <c r="S769" s="1776"/>
      <c r="T769" s="1786"/>
      <c r="U769" s="1787"/>
      <c r="V769" s="1787"/>
      <c r="W769" s="1788"/>
      <c r="X769" s="1789"/>
      <c r="Y769" s="1790"/>
      <c r="Z769" s="1790"/>
      <c r="AA769" s="1790"/>
      <c r="AB769" s="1791"/>
      <c r="AC769" s="1792">
        <f t="shared" si="32"/>
        <v>0</v>
      </c>
      <c r="AD769" s="1793"/>
      <c r="AE769" s="1793"/>
      <c r="AF769" s="1793"/>
      <c r="AG769" s="179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2"/>
      <c r="K770" s="1783"/>
      <c r="L770" s="1783"/>
      <c r="M770" s="1783"/>
      <c r="N770" s="1784"/>
      <c r="O770" s="1776"/>
      <c r="P770" s="1776"/>
      <c r="Q770" s="1776"/>
      <c r="R770" s="1776"/>
      <c r="S770" s="1776"/>
      <c r="T770" s="1786"/>
      <c r="U770" s="1787"/>
      <c r="V770" s="1787"/>
      <c r="W770" s="1788"/>
      <c r="X770" s="1789"/>
      <c r="Y770" s="1790"/>
      <c r="Z770" s="1790"/>
      <c r="AA770" s="1790"/>
      <c r="AB770" s="1791"/>
      <c r="AC770" s="1792">
        <f t="shared" si="32"/>
        <v>0</v>
      </c>
      <c r="AD770" s="1793"/>
      <c r="AE770" s="1793"/>
      <c r="AF770" s="1793"/>
      <c r="AG770" s="179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2"/>
      <c r="K771" s="1783"/>
      <c r="L771" s="1783"/>
      <c r="M771" s="1783"/>
      <c r="N771" s="1784"/>
      <c r="O771" s="1776"/>
      <c r="P771" s="1776"/>
      <c r="Q771" s="1776"/>
      <c r="R771" s="1776"/>
      <c r="S771" s="1776"/>
      <c r="T771" s="1786"/>
      <c r="U771" s="1787"/>
      <c r="V771" s="1787"/>
      <c r="W771" s="1788"/>
      <c r="X771" s="1789"/>
      <c r="Y771" s="1790"/>
      <c r="Z771" s="1790"/>
      <c r="AA771" s="1790"/>
      <c r="AB771" s="1791"/>
      <c r="AC771" s="1792">
        <f t="shared" si="32"/>
        <v>0</v>
      </c>
      <c r="AD771" s="1793"/>
      <c r="AE771" s="1793"/>
      <c r="AF771" s="1793"/>
      <c r="AG771" s="179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2"/>
      <c r="K772" s="1783"/>
      <c r="L772" s="1783"/>
      <c r="M772" s="1783"/>
      <c r="N772" s="1784"/>
      <c r="O772" s="1776"/>
      <c r="P772" s="1776"/>
      <c r="Q772" s="1776"/>
      <c r="R772" s="1776"/>
      <c r="S772" s="1776"/>
      <c r="T772" s="1786"/>
      <c r="U772" s="1787"/>
      <c r="V772" s="1787"/>
      <c r="W772" s="1788"/>
      <c r="X772" s="1789"/>
      <c r="Y772" s="1790"/>
      <c r="Z772" s="1790"/>
      <c r="AA772" s="1790"/>
      <c r="AB772" s="1791"/>
      <c r="AC772" s="1792">
        <f t="shared" si="32"/>
        <v>0</v>
      </c>
      <c r="AD772" s="1793"/>
      <c r="AE772" s="1793"/>
      <c r="AF772" s="1793"/>
      <c r="AG772" s="179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2"/>
      <c r="K773" s="1783"/>
      <c r="L773" s="1783"/>
      <c r="M773" s="1783"/>
      <c r="N773" s="1784"/>
      <c r="O773" s="1776"/>
      <c r="P773" s="1776"/>
      <c r="Q773" s="1776"/>
      <c r="R773" s="1776"/>
      <c r="S773" s="1776"/>
      <c r="T773" s="1786"/>
      <c r="U773" s="1787"/>
      <c r="V773" s="1787"/>
      <c r="W773" s="1788"/>
      <c r="X773" s="1789"/>
      <c r="Y773" s="1790"/>
      <c r="Z773" s="1790"/>
      <c r="AA773" s="1790"/>
      <c r="AB773" s="1791"/>
      <c r="AC773" s="1792">
        <f t="shared" si="32"/>
        <v>0</v>
      </c>
      <c r="AD773" s="1793"/>
      <c r="AE773" s="1793"/>
      <c r="AF773" s="1793"/>
      <c r="AG773" s="179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2"/>
      <c r="K774" s="1783"/>
      <c r="L774" s="1783"/>
      <c r="M774" s="1783"/>
      <c r="N774" s="1784"/>
      <c r="O774" s="1776"/>
      <c r="P774" s="1776"/>
      <c r="Q774" s="1776"/>
      <c r="R774" s="1776"/>
      <c r="S774" s="1776"/>
      <c r="T774" s="1786"/>
      <c r="U774" s="1787"/>
      <c r="V774" s="1787"/>
      <c r="W774" s="1788"/>
      <c r="X774" s="1789"/>
      <c r="Y774" s="1790"/>
      <c r="Z774" s="1790"/>
      <c r="AA774" s="1790"/>
      <c r="AB774" s="1791"/>
      <c r="AC774" s="1792">
        <f t="shared" si="32"/>
        <v>0</v>
      </c>
      <c r="AD774" s="1793"/>
      <c r="AE774" s="1793"/>
      <c r="AF774" s="1793"/>
      <c r="AG774" s="179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2"/>
      <c r="K775" s="1783"/>
      <c r="L775" s="1783"/>
      <c r="M775" s="1783"/>
      <c r="N775" s="1784"/>
      <c r="O775" s="1776"/>
      <c r="P775" s="1776"/>
      <c r="Q775" s="1776"/>
      <c r="R775" s="1776"/>
      <c r="S775" s="1776"/>
      <c r="T775" s="1786"/>
      <c r="U775" s="1787"/>
      <c r="V775" s="1787"/>
      <c r="W775" s="1788"/>
      <c r="X775" s="1789"/>
      <c r="Y775" s="1790"/>
      <c r="Z775" s="1790"/>
      <c r="AA775" s="1790"/>
      <c r="AB775" s="1791"/>
      <c r="AC775" s="1792">
        <f t="shared" si="32"/>
        <v>0</v>
      </c>
      <c r="AD775" s="1793"/>
      <c r="AE775" s="1793"/>
      <c r="AF775" s="1793"/>
      <c r="AG775" s="179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9" t="s">
        <v>954</v>
      </c>
      <c r="K776" s="1800"/>
      <c r="L776" s="1800"/>
      <c r="M776" s="1800"/>
      <c r="N776" s="1801"/>
      <c r="O776" s="1857">
        <f>SUM(O766:S775)</f>
        <v>0</v>
      </c>
      <c r="P776" s="1857"/>
      <c r="Q776" s="1857"/>
      <c r="R776" s="1857"/>
      <c r="S776" s="1857"/>
      <c r="X776" s="1410" t="s">
        <v>953</v>
      </c>
      <c r="Y776" s="255"/>
      <c r="Z776" s="255"/>
      <c r="AA776" s="255"/>
      <c r="AB776" s="1411"/>
      <c r="AC776" s="1792">
        <f>SUM(AC766:AG775)</f>
        <v>0</v>
      </c>
      <c r="AD776" s="1793"/>
      <c r="AE776" s="1793"/>
      <c r="AF776" s="1793"/>
      <c r="AG776" s="179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11">
        <f>T731+AC756+AC776</f>
        <v>60543</v>
      </c>
      <c r="Z778" s="1711"/>
      <c r="AA778" s="1711"/>
      <c r="AB778" s="1711"/>
      <c r="AC778" s="17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11">
        <f>(T731+AC756+AC776)*12</f>
        <v>726516</v>
      </c>
      <c r="Z779" s="1711"/>
      <c r="AA779" s="1711"/>
      <c r="AB779" s="1711"/>
      <c r="AC779" s="17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76">
        <v>25</v>
      </c>
      <c r="AA784" s="1877"/>
      <c r="AB784" s="1877"/>
      <c r="AC784" s="1877"/>
      <c r="AD784" s="1877"/>
      <c r="AE784" s="187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78">
        <v>40</v>
      </c>
      <c r="AA785" s="1877"/>
      <c r="AB785" s="1877"/>
      <c r="AC785" s="1877"/>
      <c r="AD785" s="1877"/>
      <c r="AE785" s="187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4">
        <v>60419</v>
      </c>
      <c r="AA786" s="1763"/>
      <c r="AB786" s="1763"/>
      <c r="AC786" s="1763"/>
      <c r="AD786" s="1763"/>
      <c r="AE786" s="176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708">
        <f>'Subsidy Contract Calculation'!I30</f>
        <v>436200</v>
      </c>
      <c r="AA787" s="1709"/>
      <c r="AB787" s="1709"/>
      <c r="AC787" s="1709"/>
      <c r="AD787" s="1709"/>
      <c r="AE787" s="171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98">
        <v>5400</v>
      </c>
      <c r="AA791" s="1699"/>
      <c r="AB791" s="1699"/>
      <c r="AC791" s="1699"/>
      <c r="AD791" s="1699"/>
      <c r="AE791" s="170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98">
        <v>0</v>
      </c>
      <c r="AA792" s="1699"/>
      <c r="AB792" s="1699"/>
      <c r="AC792" s="1699"/>
      <c r="AD792" s="1699"/>
      <c r="AE792" s="170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98">
        <v>0</v>
      </c>
      <c r="AA793" s="1699"/>
      <c r="AB793" s="1699"/>
      <c r="AC793" s="1699"/>
      <c r="AD793" s="1699"/>
      <c r="AE793" s="170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12" t="s">
        <v>2424</v>
      </c>
      <c r="Q794" s="1713"/>
      <c r="R794" s="1713"/>
      <c r="S794" s="1713"/>
      <c r="T794" s="1713"/>
      <c r="U794" s="1713"/>
      <c r="V794" s="1713"/>
      <c r="W794" s="1713"/>
      <c r="X794" s="1713"/>
      <c r="Y794" s="1714"/>
      <c r="Z794" s="1698">
        <v>1</v>
      </c>
      <c r="AA794" s="1699"/>
      <c r="AB794" s="1699"/>
      <c r="AC794" s="1699"/>
      <c r="AD794" s="1699"/>
      <c r="AE794" s="170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05">
        <f>SUM(Z791:AE794)</f>
        <v>5401</v>
      </c>
      <c r="AA795" s="1706"/>
      <c r="AB795" s="1706"/>
      <c r="AC795" s="1706"/>
      <c r="AD795" s="1706"/>
      <c r="AE795" s="170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05">
        <f>Z795+Y779+Z787</f>
        <v>1168117</v>
      </c>
      <c r="AA796" s="1706"/>
      <c r="AB796" s="1706"/>
      <c r="AC796" s="1706"/>
      <c r="AD796" s="1706"/>
      <c r="AE796" s="170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9" t="s">
        <v>955</v>
      </c>
      <c r="N801" s="2079"/>
      <c r="O801" s="2079"/>
      <c r="P801" s="2080"/>
      <c r="Q801" s="1785" t="s">
        <v>289</v>
      </c>
      <c r="R801" s="1785"/>
      <c r="S801" s="1785"/>
      <c r="T801" s="1785"/>
      <c r="U801" s="1785" t="s">
        <v>290</v>
      </c>
      <c r="V801" s="1785"/>
      <c r="W801" s="1785"/>
      <c r="X801" s="1785"/>
      <c r="Y801" s="1785" t="s">
        <v>291</v>
      </c>
      <c r="Z801" s="1785"/>
      <c r="AA801" s="1785"/>
      <c r="AB801" s="1785"/>
      <c r="AC801" s="1785" t="s">
        <v>36</v>
      </c>
      <c r="AD801" s="1785"/>
      <c r="AE801" s="1785"/>
      <c r="AF801" s="1785"/>
      <c r="AG801" s="2156" t="s">
        <v>619</v>
      </c>
      <c r="AH801" s="2156"/>
      <c r="AI801" s="2156"/>
      <c r="AJ801" s="215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81"/>
      <c r="N802" s="2081"/>
      <c r="O802" s="2081"/>
      <c r="P802" s="2082"/>
      <c r="Q802" s="1785"/>
      <c r="R802" s="1785"/>
      <c r="S802" s="1785"/>
      <c r="T802" s="1785"/>
      <c r="U802" s="1785"/>
      <c r="V802" s="1785"/>
      <c r="W802" s="1785"/>
      <c r="X802" s="1785"/>
      <c r="Y802" s="1785"/>
      <c r="Z802" s="1785"/>
      <c r="AA802" s="1785"/>
      <c r="AB802" s="1785"/>
      <c r="AC802" s="1785"/>
      <c r="AD802" s="1785"/>
      <c r="AE802" s="1785"/>
      <c r="AF802" s="1785"/>
      <c r="AG802" s="2156"/>
      <c r="AH802" s="2156"/>
      <c r="AI802" s="2156"/>
      <c r="AJ802" s="215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11" t="s">
        <v>755</v>
      </c>
      <c r="D803" s="1912"/>
      <c r="E803" s="1912"/>
      <c r="F803" s="1912"/>
      <c r="G803" s="1912"/>
      <c r="H803" s="1912"/>
      <c r="I803" s="94"/>
      <c r="J803" s="94"/>
      <c r="K803" s="94"/>
      <c r="L803" s="95"/>
      <c r="M803" s="1735">
        <v>11</v>
      </c>
      <c r="N803" s="1735"/>
      <c r="O803" s="1735"/>
      <c r="P803" s="1735"/>
      <c r="Q803" s="1735">
        <v>13</v>
      </c>
      <c r="R803" s="1735"/>
      <c r="S803" s="1735"/>
      <c r="T803" s="1735"/>
      <c r="U803" s="1735">
        <v>16</v>
      </c>
      <c r="V803" s="1735"/>
      <c r="W803" s="1735"/>
      <c r="X803" s="1735"/>
      <c r="Y803" s="1735"/>
      <c r="Z803" s="1735"/>
      <c r="AA803" s="1735"/>
      <c r="AB803" s="1735"/>
      <c r="AC803" s="1730"/>
      <c r="AD803" s="1731"/>
      <c r="AE803" s="1731"/>
      <c r="AF803" s="1732"/>
      <c r="AG803" s="1730"/>
      <c r="AH803" s="1731"/>
      <c r="AI803" s="1731"/>
      <c r="AJ803" s="173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33" t="s">
        <v>756</v>
      </c>
      <c r="D804" s="1734"/>
      <c r="E804" s="1734"/>
      <c r="F804" s="1734"/>
      <c r="G804" s="1734"/>
      <c r="H804" s="1734"/>
      <c r="I804" s="91"/>
      <c r="J804" s="91"/>
      <c r="K804" s="91"/>
      <c r="L804" s="92"/>
      <c r="M804" s="1735"/>
      <c r="N804" s="1735"/>
      <c r="O804" s="1735"/>
      <c r="P804" s="1735"/>
      <c r="Q804" s="1735"/>
      <c r="R804" s="1735"/>
      <c r="S804" s="1735"/>
      <c r="T804" s="1735"/>
      <c r="U804" s="1735"/>
      <c r="V804" s="1735"/>
      <c r="W804" s="1735"/>
      <c r="X804" s="1735"/>
      <c r="Y804" s="1735"/>
      <c r="Z804" s="1735"/>
      <c r="AA804" s="1735"/>
      <c r="AB804" s="1735"/>
      <c r="AC804" s="1730"/>
      <c r="AD804" s="1731"/>
      <c r="AE804" s="1731"/>
      <c r="AF804" s="1732"/>
      <c r="AG804" s="1730"/>
      <c r="AH804" s="1731"/>
      <c r="AI804" s="1731"/>
      <c r="AJ804" s="173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33" t="s">
        <v>77</v>
      </c>
      <c r="D805" s="1734"/>
      <c r="E805" s="1734"/>
      <c r="F805" s="1734"/>
      <c r="G805" s="1734"/>
      <c r="H805" s="1734"/>
      <c r="I805" s="110"/>
      <c r="J805" s="110"/>
      <c r="K805" s="110"/>
      <c r="L805" s="111"/>
      <c r="M805" s="1735">
        <v>5</v>
      </c>
      <c r="N805" s="1735"/>
      <c r="O805" s="1735"/>
      <c r="P805" s="1735"/>
      <c r="Q805" s="1735">
        <v>6</v>
      </c>
      <c r="R805" s="1735"/>
      <c r="S805" s="1735"/>
      <c r="T805" s="1735"/>
      <c r="U805" s="1735">
        <v>9</v>
      </c>
      <c r="V805" s="1735"/>
      <c r="W805" s="1735"/>
      <c r="X805" s="1735"/>
      <c r="Y805" s="1735"/>
      <c r="Z805" s="1735"/>
      <c r="AA805" s="1735"/>
      <c r="AB805" s="1735"/>
      <c r="AC805" s="1730"/>
      <c r="AD805" s="1731"/>
      <c r="AE805" s="1731"/>
      <c r="AF805" s="1732"/>
      <c r="AG805" s="1730"/>
      <c r="AH805" s="1731"/>
      <c r="AI805" s="1731"/>
      <c r="AJ805" s="173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33" t="s">
        <v>193</v>
      </c>
      <c r="D806" s="1734"/>
      <c r="E806" s="1734"/>
      <c r="F806" s="1734"/>
      <c r="G806" s="1734"/>
      <c r="H806" s="1734"/>
      <c r="I806" s="110"/>
      <c r="J806" s="110"/>
      <c r="K806" s="110"/>
      <c r="L806" s="111"/>
      <c r="M806" s="1735"/>
      <c r="N806" s="1735"/>
      <c r="O806" s="1735"/>
      <c r="P806" s="1735"/>
      <c r="Q806" s="1735"/>
      <c r="R806" s="1735"/>
      <c r="S806" s="1735"/>
      <c r="T806" s="1735"/>
      <c r="U806" s="1735"/>
      <c r="V806" s="1735"/>
      <c r="W806" s="1735"/>
      <c r="X806" s="1735"/>
      <c r="Y806" s="1735"/>
      <c r="Z806" s="1735"/>
      <c r="AA806" s="1735"/>
      <c r="AB806" s="1735"/>
      <c r="AC806" s="1730"/>
      <c r="AD806" s="1731"/>
      <c r="AE806" s="1731"/>
      <c r="AF806" s="1732"/>
      <c r="AG806" s="1730"/>
      <c r="AH806" s="1731"/>
      <c r="AI806" s="1731"/>
      <c r="AJ806" s="173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33" t="s">
        <v>857</v>
      </c>
      <c r="D807" s="1734"/>
      <c r="E807" s="1734"/>
      <c r="F807" s="1734"/>
      <c r="G807" s="1734"/>
      <c r="H807" s="1734"/>
      <c r="I807" s="110"/>
      <c r="J807" s="110"/>
      <c r="K807" s="110"/>
      <c r="L807" s="111"/>
      <c r="M807" s="1735">
        <v>20</v>
      </c>
      <c r="N807" s="1735"/>
      <c r="O807" s="1735"/>
      <c r="P807" s="1735"/>
      <c r="Q807" s="1735">
        <v>24</v>
      </c>
      <c r="R807" s="1735"/>
      <c r="S807" s="1735"/>
      <c r="T807" s="1735"/>
      <c r="U807" s="1735">
        <v>33</v>
      </c>
      <c r="V807" s="1735"/>
      <c r="W807" s="1735"/>
      <c r="X807" s="1735"/>
      <c r="Y807" s="1735"/>
      <c r="Z807" s="1735"/>
      <c r="AA807" s="1735"/>
      <c r="AB807" s="1735"/>
      <c r="AC807" s="1730"/>
      <c r="AD807" s="1731"/>
      <c r="AE807" s="1731"/>
      <c r="AF807" s="1732"/>
      <c r="AG807" s="1730"/>
      <c r="AH807" s="1731"/>
      <c r="AI807" s="1731"/>
      <c r="AJ807" s="173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6" t="s">
        <v>1025</v>
      </c>
      <c r="D808" s="1734"/>
      <c r="E808" s="1734"/>
      <c r="F808" s="1734"/>
      <c r="G808" s="1734"/>
      <c r="H808" s="1734"/>
      <c r="I808" s="110"/>
      <c r="J808" s="110"/>
      <c r="K808" s="110"/>
      <c r="L808" s="111"/>
      <c r="M808" s="1735"/>
      <c r="N808" s="1735"/>
      <c r="O808" s="1735"/>
      <c r="P808" s="1735"/>
      <c r="Q808" s="1735"/>
      <c r="R808" s="1735"/>
      <c r="S808" s="1735"/>
      <c r="T808" s="1735"/>
      <c r="U808" s="1735"/>
      <c r="V808" s="1735"/>
      <c r="W808" s="1735"/>
      <c r="X808" s="1735"/>
      <c r="Y808" s="1735"/>
      <c r="Z808" s="1735"/>
      <c r="AA808" s="1735"/>
      <c r="AB808" s="1735"/>
      <c r="AC808" s="1730"/>
      <c r="AD808" s="1731"/>
      <c r="AE808" s="1731"/>
      <c r="AF808" s="1732"/>
      <c r="AG808" s="1730"/>
      <c r="AH808" s="1731"/>
      <c r="AI808" s="1731"/>
      <c r="AJ808" s="173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822" t="s">
        <v>618</v>
      </c>
      <c r="G809" s="1696"/>
      <c r="H809" s="1696"/>
      <c r="I809" s="1696"/>
      <c r="J809" s="1696"/>
      <c r="K809" s="1696"/>
      <c r="L809" s="1697"/>
      <c r="M809" s="1735"/>
      <c r="N809" s="1735"/>
      <c r="O809" s="1735"/>
      <c r="P809" s="1735"/>
      <c r="Q809" s="1735"/>
      <c r="R809" s="1735"/>
      <c r="S809" s="1735"/>
      <c r="T809" s="1735"/>
      <c r="U809" s="1735"/>
      <c r="V809" s="1735"/>
      <c r="W809" s="1735"/>
      <c r="X809" s="1735"/>
      <c r="Y809" s="1735"/>
      <c r="Z809" s="1735"/>
      <c r="AA809" s="1735"/>
      <c r="AB809" s="1735"/>
      <c r="AC809" s="1730"/>
      <c r="AD809" s="1731"/>
      <c r="AE809" s="1731"/>
      <c r="AF809" s="1732"/>
      <c r="AG809" s="1730"/>
      <c r="AH809" s="1731"/>
      <c r="AI809" s="1731"/>
      <c r="AJ809" s="173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9" t="s">
        <v>953</v>
      </c>
      <c r="D810" s="1800"/>
      <c r="E810" s="1800"/>
      <c r="F810" s="1800"/>
      <c r="G810" s="1800"/>
      <c r="H810" s="1800"/>
      <c r="I810" s="1800"/>
      <c r="J810" s="1800"/>
      <c r="K810" s="1800"/>
      <c r="L810" s="1801"/>
      <c r="M810" s="2157">
        <f>SUM(M803:P809)</f>
        <v>36</v>
      </c>
      <c r="N810" s="2157"/>
      <c r="O810" s="2157"/>
      <c r="P810" s="2157"/>
      <c r="Q810" s="2157">
        <f>SUM(Q803:T809)</f>
        <v>43</v>
      </c>
      <c r="R810" s="2157"/>
      <c r="S810" s="2157"/>
      <c r="T810" s="2157"/>
      <c r="U810" s="2157">
        <f>SUM(U803:X809)</f>
        <v>58</v>
      </c>
      <c r="V810" s="2157"/>
      <c r="W810" s="2157"/>
      <c r="X810" s="2157"/>
      <c r="Y810" s="2157">
        <f>SUM(Y803:AB809)</f>
        <v>0</v>
      </c>
      <c r="Z810" s="2157"/>
      <c r="AA810" s="2157"/>
      <c r="AB810" s="2157"/>
      <c r="AC810" s="2157">
        <f>SUM(AC803:AF809)</f>
        <v>0</v>
      </c>
      <c r="AD810" s="2157"/>
      <c r="AE810" s="2157"/>
      <c r="AF810" s="2157"/>
      <c r="AG810" s="2157">
        <f>SUM(AG803:AJ809)</f>
        <v>0</v>
      </c>
      <c r="AH810" s="2157"/>
      <c r="AI810" s="2157"/>
      <c r="AJ810" s="215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0" t="s">
        <v>2355</v>
      </c>
      <c r="D815" s="2161"/>
      <c r="E815" s="2161"/>
      <c r="F815" s="2161"/>
      <c r="G815" s="2161"/>
      <c r="H815" s="2161"/>
      <c r="I815" s="2161"/>
      <c r="J815" s="2161"/>
      <c r="K815" s="2161"/>
      <c r="L815" s="2161"/>
      <c r="M815" s="2161"/>
      <c r="N815" s="2161"/>
      <c r="O815" s="2161"/>
      <c r="P815" s="2161"/>
      <c r="Q815" s="2161"/>
      <c r="R815" s="2161"/>
      <c r="S815" s="2161"/>
      <c r="T815" s="2161"/>
      <c r="U815" s="2161"/>
      <c r="V815" s="2161"/>
      <c r="W815" s="2161"/>
      <c r="X815" s="2161"/>
      <c r="Y815" s="2161"/>
      <c r="Z815" s="2161"/>
      <c r="AA815" s="2161"/>
      <c r="AB815" s="2161"/>
      <c r="AC815" s="2161"/>
      <c r="AD815" s="2161"/>
      <c r="AE815" s="2161"/>
      <c r="AF815" s="2161"/>
      <c r="AG815" s="2161"/>
      <c r="AH815" s="2161"/>
      <c r="AI815" s="2161"/>
      <c r="AJ815" s="216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39" t="s">
        <v>408</v>
      </c>
      <c r="BB819" s="1740"/>
      <c r="BC819" s="72"/>
      <c r="BD819" s="72"/>
      <c r="BE819" s="72"/>
      <c r="BF819" s="65" t="s">
        <v>465</v>
      </c>
      <c r="BG819" s="65"/>
      <c r="BH819" s="65"/>
      <c r="BI819" s="65"/>
      <c r="BJ819" s="65"/>
      <c r="BK819" s="65"/>
      <c r="BL819" s="65"/>
      <c r="BM819" s="65"/>
      <c r="BN819" s="65"/>
      <c r="BO819" s="1736" t="str">
        <f>T189</f>
        <v>Santa Clara</v>
      </c>
      <c r="BP819" s="1737"/>
      <c r="BQ819" s="1737"/>
      <c r="BR819" s="1737"/>
      <c r="BS819" s="1737"/>
      <c r="BT819" s="1737"/>
      <c r="BU819" s="173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512</v>
      </c>
      <c r="J820" s="90" t="s">
        <v>360</v>
      </c>
      <c r="K820" s="91"/>
      <c r="L820" s="91"/>
      <c r="M820" s="91"/>
      <c r="N820" s="91"/>
      <c r="O820" s="91"/>
      <c r="P820" s="91"/>
      <c r="Q820" s="91"/>
      <c r="R820" s="91"/>
      <c r="S820" s="91"/>
      <c r="T820" s="91"/>
      <c r="U820" s="91"/>
      <c r="V820" s="92"/>
      <c r="W820" s="1755">
        <v>0</v>
      </c>
      <c r="X820" s="1755"/>
      <c r="Y820" s="1755"/>
      <c r="Z820" s="1755"/>
      <c r="AA820" s="1755"/>
      <c r="AB820" s="1755"/>
      <c r="AC820" s="175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5">
        <v>2500</v>
      </c>
      <c r="X821" s="1755"/>
      <c r="Y821" s="1755"/>
      <c r="Z821" s="1755"/>
      <c r="AA821" s="1755"/>
      <c r="AB821" s="1755"/>
      <c r="AC821" s="1755"/>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55">
        <f>5700+10325</f>
        <v>16025</v>
      </c>
      <c r="X822" s="1755"/>
      <c r="Y822" s="1755"/>
      <c r="Z822" s="1755"/>
      <c r="AA822" s="1755"/>
      <c r="AB822" s="1755"/>
      <c r="AC822" s="175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55">
        <v>16000</v>
      </c>
      <c r="X823" s="1755"/>
      <c r="Y823" s="1755"/>
      <c r="Z823" s="1755"/>
      <c r="AA823" s="1755"/>
      <c r="AB823" s="1755"/>
      <c r="AC823" s="1755"/>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822" t="s">
        <v>618</v>
      </c>
      <c r="N824" s="1696"/>
      <c r="O824" s="1696"/>
      <c r="P824" s="1696"/>
      <c r="Q824" s="1696"/>
      <c r="R824" s="1696"/>
      <c r="S824" s="1696"/>
      <c r="T824" s="1696"/>
      <c r="U824" s="1696"/>
      <c r="V824" s="1697"/>
      <c r="W824" s="1755">
        <f>5100+3000+4800+400+300+12000+2200+300+435+1100+6200+1200+300+500</f>
        <v>37835</v>
      </c>
      <c r="X824" s="1755"/>
      <c r="Y824" s="1755"/>
      <c r="Z824" s="1755"/>
      <c r="AA824" s="1755"/>
      <c r="AB824" s="1755"/>
      <c r="AC824" s="175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05">
        <f>SUM(W820:AC824)</f>
        <v>72360</v>
      </c>
      <c r="X825" s="1706"/>
      <c r="Y825" s="1706"/>
      <c r="Z825" s="1706"/>
      <c r="AA825" s="1706"/>
      <c r="AB825" s="1706"/>
      <c r="AC825" s="1707"/>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99" t="s">
        <v>514</v>
      </c>
      <c r="K827" s="1800"/>
      <c r="L827" s="1800"/>
      <c r="M827" s="1800"/>
      <c r="N827" s="1800"/>
      <c r="O827" s="1800"/>
      <c r="P827" s="1800"/>
      <c r="Q827" s="1800"/>
      <c r="R827" s="1800"/>
      <c r="S827" s="1800"/>
      <c r="T827" s="1800"/>
      <c r="U827" s="1800"/>
      <c r="V827" s="1801"/>
      <c r="W827" s="1698">
        <v>45000</v>
      </c>
      <c r="X827" s="1699"/>
      <c r="Y827" s="1699"/>
      <c r="Z827" s="1699"/>
      <c r="AA827" s="1699"/>
      <c r="AB827" s="1699"/>
      <c r="AC827" s="170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78">
        <v>0</v>
      </c>
      <c r="X829" s="1778"/>
      <c r="Y829" s="1778"/>
      <c r="Z829" s="1778"/>
      <c r="AA829" s="1778"/>
      <c r="AB829" s="1778"/>
      <c r="AC829" s="177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78">
        <v>0</v>
      </c>
      <c r="X830" s="1778"/>
      <c r="Y830" s="1778"/>
      <c r="Z830" s="1778"/>
      <c r="AA830" s="1778"/>
      <c r="AB830" s="1778"/>
      <c r="AC830" s="177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78">
        <f>24000-3</f>
        <v>23997</v>
      </c>
      <c r="X831" s="1778"/>
      <c r="Y831" s="1778"/>
      <c r="Z831" s="1778"/>
      <c r="AA831" s="1778"/>
      <c r="AB831" s="1778"/>
      <c r="AC831" s="177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78">
        <f>28000+27000</f>
        <v>55000</v>
      </c>
      <c r="X832" s="1778"/>
      <c r="Y832" s="1778"/>
      <c r="Z832" s="1778"/>
      <c r="AA832" s="1778"/>
      <c r="AB832" s="1778"/>
      <c r="AC832" s="1778"/>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7">
        <f>SUM(W829:AC832)</f>
        <v>78997</v>
      </c>
      <c r="X833" s="1777"/>
      <c r="Y833" s="1777"/>
      <c r="Z833" s="1777"/>
      <c r="AA833" s="1777"/>
      <c r="AB833" s="1777"/>
      <c r="AC833" s="1777"/>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62">
        <v>65162</v>
      </c>
      <c r="X835" s="2063"/>
      <c r="Y835" s="2063"/>
      <c r="Z835" s="2063"/>
      <c r="AA835" s="2063"/>
      <c r="AB835" s="2063"/>
      <c r="AC835" s="2064"/>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84">
        <v>1.7</v>
      </c>
      <c r="U836" s="1885"/>
      <c r="V836" s="1886"/>
      <c r="W836" s="1329"/>
      <c r="X836" s="1330"/>
      <c r="Y836" s="1330"/>
      <c r="Z836" s="1330"/>
      <c r="AA836" s="1330"/>
      <c r="AB836" s="1330"/>
      <c r="AC836" s="1331"/>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2062">
        <v>42631</v>
      </c>
      <c r="X837" s="2063"/>
      <c r="Y837" s="2063"/>
      <c r="Z837" s="2063"/>
      <c r="AA837" s="2063"/>
      <c r="AB837" s="2063"/>
      <c r="AC837" s="2064"/>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84">
        <v>1</v>
      </c>
      <c r="U838" s="1885"/>
      <c r="V838" s="1886"/>
      <c r="W838" s="1329"/>
      <c r="X838" s="1330"/>
      <c r="Y838" s="1330"/>
      <c r="Z838" s="1330"/>
      <c r="AA838" s="1330"/>
      <c r="AB838" s="1330"/>
      <c r="AC838" s="1331"/>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695" t="s">
        <v>2463</v>
      </c>
      <c r="N839" s="1696"/>
      <c r="O839" s="1696"/>
      <c r="P839" s="1696"/>
      <c r="Q839" s="1696"/>
      <c r="R839" s="1696"/>
      <c r="S839" s="1696"/>
      <c r="T839" s="1696"/>
      <c r="U839" s="1696"/>
      <c r="V839" s="1697"/>
      <c r="W839" s="2062">
        <v>8736</v>
      </c>
      <c r="X839" s="2063"/>
      <c r="Y839" s="2063"/>
      <c r="Z839" s="2063"/>
      <c r="AA839" s="2063"/>
      <c r="AB839" s="2063"/>
      <c r="AC839" s="2064"/>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71">
        <f>SUM(W835:AC839)</f>
        <v>116529</v>
      </c>
      <c r="X840" s="1772"/>
      <c r="Y840" s="1772"/>
      <c r="Z840" s="1772"/>
      <c r="AA840" s="1772"/>
      <c r="AB840" s="1772"/>
      <c r="AC840" s="177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2">
        <v>32348</v>
      </c>
      <c r="X841" s="2063"/>
      <c r="Y841" s="2063"/>
      <c r="Z841" s="2063"/>
      <c r="AA841" s="2063"/>
      <c r="AB841" s="2063"/>
      <c r="AC841" s="206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55">
        <f>1200+1000</f>
        <v>2200</v>
      </c>
      <c r="X843" s="1755"/>
      <c r="Y843" s="1755"/>
      <c r="Z843" s="1755"/>
      <c r="AA843" s="1755"/>
      <c r="AB843" s="1755"/>
      <c r="AC843" s="175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55">
        <f>8900+3000+1500+1500</f>
        <v>14900</v>
      </c>
      <c r="X844" s="1755"/>
      <c r="Y844" s="1755"/>
      <c r="Z844" s="1755"/>
      <c r="AA844" s="1755"/>
      <c r="AB844" s="1755"/>
      <c r="AC844" s="175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55">
        <v>35000</v>
      </c>
      <c r="X845" s="1755"/>
      <c r="Y845" s="1755"/>
      <c r="Z845" s="1755"/>
      <c r="AA845" s="1755"/>
      <c r="AB845" s="1755"/>
      <c r="AC845" s="175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55">
        <v>3160</v>
      </c>
      <c r="X846" s="1755"/>
      <c r="Y846" s="1755"/>
      <c r="Z846" s="1755"/>
      <c r="AA846" s="1755"/>
      <c r="AB846" s="1755"/>
      <c r="AC846" s="175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55">
        <v>12000</v>
      </c>
      <c r="X847" s="1755"/>
      <c r="Y847" s="1755"/>
      <c r="Z847" s="1755"/>
      <c r="AA847" s="1755"/>
      <c r="AB847" s="1755"/>
      <c r="AC847" s="175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55">
        <v>10000</v>
      </c>
      <c r="X848" s="1755"/>
      <c r="Y848" s="1755"/>
      <c r="Z848" s="1755"/>
      <c r="AA848" s="1755"/>
      <c r="AB848" s="1755"/>
      <c r="AC848" s="1755"/>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695" t="s">
        <v>2462</v>
      </c>
      <c r="N849" s="1696"/>
      <c r="O849" s="1696"/>
      <c r="P849" s="1696"/>
      <c r="Q849" s="1696"/>
      <c r="R849" s="1696"/>
      <c r="S849" s="1696"/>
      <c r="T849" s="1696"/>
      <c r="U849" s="1696"/>
      <c r="V849" s="1697"/>
      <c r="W849" s="1755">
        <f>24800+650+4800</f>
        <v>30250</v>
      </c>
      <c r="X849" s="1755"/>
      <c r="Y849" s="1755"/>
      <c r="Z849" s="1755"/>
      <c r="AA849" s="1755"/>
      <c r="AB849" s="1755"/>
      <c r="AC849" s="1755"/>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1">
        <f>SUM(W843:AC849)</f>
        <v>107510</v>
      </c>
      <c r="X850" s="1711"/>
      <c r="Y850" s="1711"/>
      <c r="Z850" s="1711"/>
      <c r="AA850" s="1711"/>
      <c r="AB850" s="1711"/>
      <c r="AC850" s="1711"/>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309</v>
      </c>
      <c r="K852" s="91"/>
      <c r="L852" s="91"/>
      <c r="M852" s="1695" t="s">
        <v>2464</v>
      </c>
      <c r="N852" s="1696"/>
      <c r="O852" s="1696"/>
      <c r="P852" s="1696"/>
      <c r="Q852" s="1696"/>
      <c r="R852" s="1696"/>
      <c r="S852" s="1696"/>
      <c r="T852" s="1696"/>
      <c r="U852" s="1696"/>
      <c r="V852" s="1697"/>
      <c r="W852" s="1698">
        <f>800+500</f>
        <v>1300</v>
      </c>
      <c r="X852" s="1699"/>
      <c r="Y852" s="1699"/>
      <c r="Z852" s="1699"/>
      <c r="AA852" s="1699"/>
      <c r="AB852" s="1699"/>
      <c r="AC852" s="170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309</v>
      </c>
      <c r="K853" s="91"/>
      <c r="L853" s="91"/>
      <c r="M853" s="1695" t="s">
        <v>2461</v>
      </c>
      <c r="N853" s="1696"/>
      <c r="O853" s="1696"/>
      <c r="P853" s="1696"/>
      <c r="Q853" s="1696"/>
      <c r="R853" s="1696"/>
      <c r="S853" s="1696"/>
      <c r="T853" s="1696"/>
      <c r="U853" s="1696"/>
      <c r="V853" s="1697"/>
      <c r="W853" s="1698">
        <f>3492+16903+5390</f>
        <v>25785</v>
      </c>
      <c r="X853" s="1699"/>
      <c r="Y853" s="1699"/>
      <c r="Z853" s="1699"/>
      <c r="AA853" s="1699"/>
      <c r="AB853" s="1699"/>
      <c r="AC853" s="170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695" t="s">
        <v>2465</v>
      </c>
      <c r="N854" s="1696"/>
      <c r="O854" s="1696"/>
      <c r="P854" s="1696"/>
      <c r="Q854" s="1696"/>
      <c r="R854" s="1696"/>
      <c r="S854" s="1696"/>
      <c r="T854" s="1696"/>
      <c r="U854" s="1696"/>
      <c r="V854" s="1697"/>
      <c r="W854" s="1698">
        <v>1</v>
      </c>
      <c r="X854" s="1699"/>
      <c r="Y854" s="1699"/>
      <c r="Z854" s="1699"/>
      <c r="AA854" s="1699"/>
      <c r="AB854" s="1699"/>
      <c r="AC854" s="170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822" t="s">
        <v>618</v>
      </c>
      <c r="N855" s="1696"/>
      <c r="O855" s="1696"/>
      <c r="P855" s="1696"/>
      <c r="Q855" s="1696"/>
      <c r="R855" s="1696"/>
      <c r="S855" s="1696"/>
      <c r="T855" s="1696"/>
      <c r="U855" s="1696"/>
      <c r="V855" s="1697"/>
      <c r="W855" s="1698"/>
      <c r="X855" s="1699"/>
      <c r="Y855" s="1699"/>
      <c r="Z855" s="1699"/>
      <c r="AA855" s="1699"/>
      <c r="AB855" s="1699"/>
      <c r="AC855" s="170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822" t="s">
        <v>618</v>
      </c>
      <c r="N856" s="1696"/>
      <c r="O856" s="1696"/>
      <c r="P856" s="1696"/>
      <c r="Q856" s="1696"/>
      <c r="R856" s="1696"/>
      <c r="S856" s="1696"/>
      <c r="T856" s="1696"/>
      <c r="U856" s="1696"/>
      <c r="V856" s="1697"/>
      <c r="W856" s="1698"/>
      <c r="X856" s="1699"/>
      <c r="Y856" s="1699"/>
      <c r="Z856" s="1699"/>
      <c r="AA856" s="1699"/>
      <c r="AB856" s="1699"/>
      <c r="AC856" s="170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5">
        <f>SUM(W852:AC856)</f>
        <v>27086</v>
      </c>
      <c r="X857" s="1706"/>
      <c r="Y857" s="1706"/>
      <c r="Z857" s="1706"/>
      <c r="AA857" s="1706"/>
      <c r="AB857" s="1706"/>
      <c r="AC857" s="170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5">
        <f>W825+W833+W840+W841+W850+W857+W827</f>
        <v>479830</v>
      </c>
      <c r="AD861" s="1706"/>
      <c r="AE861" s="1706"/>
      <c r="AF861" s="1706"/>
      <c r="AG861" s="1706"/>
      <c r="AH861" s="170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8">
        <f>O776+O756+G731</f>
        <v>50</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383</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8">
        <f>IF(ISERROR((ROUNDDOWN(AC861/AC862,0))),0,(ROUNDDOWN(AC861/AC862,0)))</f>
        <v>9596</v>
      </c>
      <c r="AD863" s="2159"/>
      <c r="AE863" s="2159"/>
      <c r="AF863" s="2159"/>
      <c r="AG863" s="2159"/>
      <c r="AH863" s="2159"/>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7" t="s">
        <v>701</v>
      </c>
      <c r="AC864" s="1754"/>
      <c r="AD864" s="2164"/>
      <c r="AE864" s="2164"/>
      <c r="AF864" s="2164"/>
      <c r="AG864" s="2164"/>
      <c r="AH864" s="2164"/>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00">
        <v>0</v>
      </c>
      <c r="AD865" s="1755"/>
      <c r="AE865" s="1755"/>
      <c r="AF865" s="1755"/>
      <c r="AG865" s="1755"/>
      <c r="AH865" s="1755"/>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98">
        <v>28318</v>
      </c>
      <c r="AD866" s="1699"/>
      <c r="AE866" s="1699"/>
      <c r="AF866" s="1699"/>
      <c r="AG866" s="1699"/>
      <c r="AH866" s="1700"/>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98">
        <v>25000</v>
      </c>
      <c r="AD867" s="1699"/>
      <c r="AE867" s="1699"/>
      <c r="AF867" s="1699"/>
      <c r="AG867" s="1699"/>
      <c r="AH867" s="1700"/>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8" t="s">
        <v>2140</v>
      </c>
      <c r="AC868" s="1698">
        <v>5500</v>
      </c>
      <c r="AD868" s="1699"/>
      <c r="AE868" s="1699"/>
      <c r="AF868" s="1699"/>
      <c r="AG868" s="1699"/>
      <c r="AH868" s="1700"/>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8" t="s">
        <v>769</v>
      </c>
      <c r="AC869" s="1698">
        <v>2517</v>
      </c>
      <c r="AD869" s="1699"/>
      <c r="AE869" s="1699"/>
      <c r="AF869" s="1699"/>
      <c r="AG869" s="1699"/>
      <c r="AH869" s="1700"/>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8" t="s">
        <v>2139</v>
      </c>
      <c r="AC870" s="1704"/>
      <c r="AD870" s="1755"/>
      <c r="AE870" s="1755"/>
      <c r="AF870" s="1755"/>
      <c r="AG870" s="1755"/>
      <c r="AH870" s="1755"/>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5" t="s">
        <v>1308</v>
      </c>
      <c r="F871" s="2076"/>
      <c r="G871" s="2076"/>
      <c r="H871" s="2076"/>
      <c r="I871" s="2076"/>
      <c r="J871" s="2076"/>
      <c r="K871" s="2076"/>
      <c r="L871" s="2076"/>
      <c r="M871" s="2076"/>
      <c r="N871" s="2076"/>
      <c r="O871" s="2076"/>
      <c r="P871" s="2076"/>
      <c r="Q871" s="2076"/>
      <c r="R871" s="2076"/>
      <c r="S871" s="2076"/>
      <c r="T871" s="2076"/>
      <c r="U871" s="2076"/>
      <c r="V871" s="2076"/>
      <c r="W871" s="2076"/>
      <c r="X871" s="2076"/>
      <c r="Y871" s="2076"/>
      <c r="Z871" s="2076"/>
      <c r="AA871" s="2076"/>
      <c r="AB871" s="2077"/>
      <c r="AC871" s="1755"/>
      <c r="AD871" s="1755"/>
      <c r="AE871" s="1755"/>
      <c r="AF871" s="1755"/>
      <c r="AG871" s="1755"/>
      <c r="AH871" s="1755"/>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5" t="s">
        <v>1308</v>
      </c>
      <c r="F872" s="2076"/>
      <c r="G872" s="2076"/>
      <c r="H872" s="2076"/>
      <c r="I872" s="2076"/>
      <c r="J872" s="2076"/>
      <c r="K872" s="2076"/>
      <c r="L872" s="2076"/>
      <c r="M872" s="2076"/>
      <c r="N872" s="2076"/>
      <c r="O872" s="2076"/>
      <c r="P872" s="2076"/>
      <c r="Q872" s="2076"/>
      <c r="R872" s="2076"/>
      <c r="S872" s="2076"/>
      <c r="T872" s="2076"/>
      <c r="U872" s="2076"/>
      <c r="V872" s="2076"/>
      <c r="W872" s="2076"/>
      <c r="X872" s="2076"/>
      <c r="Y872" s="2076"/>
      <c r="Z872" s="2076"/>
      <c r="AA872" s="2076"/>
      <c r="AB872" s="2077"/>
      <c r="AC872" s="1755"/>
      <c r="AD872" s="1755"/>
      <c r="AE872" s="1755"/>
      <c r="AF872" s="1755"/>
      <c r="AG872" s="1755"/>
      <c r="AH872" s="1755"/>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3"/>
      <c r="AD873" s="2163"/>
      <c r="AE873" s="2163"/>
      <c r="AF873" s="2163"/>
      <c r="AG873" s="2163"/>
      <c r="AH873" s="2163"/>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2"/>
      <c r="AO874" s="2172"/>
      <c r="AP874" s="1774"/>
      <c r="AQ874" s="1774"/>
      <c r="AR874" s="1774"/>
      <c r="AS874" s="1774"/>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74"/>
      <c r="AQ875" s="1774"/>
      <c r="AR875" s="1774"/>
      <c r="AS875" s="1774"/>
      <c r="AV875" s="1774"/>
      <c r="AW875" s="1774"/>
      <c r="AX875" s="1774"/>
      <c r="AY875" s="1774"/>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98">
        <v>1</v>
      </c>
      <c r="AA876" s="1699"/>
      <c r="AB876" s="1699"/>
      <c r="AC876" s="1699"/>
      <c r="AD876" s="1699"/>
      <c r="AE876" s="170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98">
        <v>0</v>
      </c>
      <c r="AA877" s="1699"/>
      <c r="AB877" s="1699"/>
      <c r="AC877" s="1699"/>
      <c r="AD877" s="1699"/>
      <c r="AE877" s="170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98">
        <v>0</v>
      </c>
      <c r="AA878" s="1699"/>
      <c r="AB878" s="1699"/>
      <c r="AC878" s="1699"/>
      <c r="AD878" s="1699"/>
      <c r="AE878" s="170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05">
        <f>Z876-(Z877+Z878)</f>
        <v>1</v>
      </c>
      <c r="AA879" s="1706"/>
      <c r="AB879" s="1706"/>
      <c r="AC879" s="1706"/>
      <c r="AD879" s="1706"/>
      <c r="AE879" s="170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41"/>
      <c r="AU882" s="1741"/>
      <c r="AV882" s="1741"/>
      <c r="AW882" s="1741"/>
      <c r="AX882" s="1741"/>
      <c r="AY882" s="1741"/>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1" t="s">
        <v>138</v>
      </c>
      <c r="B886" s="1701"/>
      <c r="C886" s="1701"/>
      <c r="D886" s="1701"/>
      <c r="E886" s="1701"/>
      <c r="F886" s="1701"/>
      <c r="G886" s="1701"/>
      <c r="H886" s="1701"/>
      <c r="I886" s="1701"/>
      <c r="J886" s="1701"/>
      <c r="K886" s="1701"/>
      <c r="L886" s="1701"/>
      <c r="M886" s="1701"/>
      <c r="N886" s="1701"/>
      <c r="O886" s="1701"/>
      <c r="P886" s="1701"/>
      <c r="Q886" s="1701"/>
      <c r="R886" s="1701"/>
      <c r="S886" s="1701"/>
      <c r="T886" s="1701"/>
      <c r="U886" s="1701"/>
      <c r="V886" s="1701"/>
      <c r="W886" s="1701"/>
      <c r="X886" s="1701"/>
      <c r="Y886" s="1701"/>
      <c r="Z886" s="1701"/>
      <c r="AA886" s="1701"/>
      <c r="AB886" s="1701"/>
      <c r="AC886" s="1701"/>
      <c r="AD886" s="1701"/>
      <c r="AE886" s="1701"/>
      <c r="AF886" s="1701"/>
      <c r="AG886" s="1701"/>
      <c r="AH886" s="1701"/>
      <c r="AI886" s="1701"/>
      <c r="AJ886" s="1701"/>
      <c r="AK886" s="1701"/>
      <c r="AL886" s="170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1"/>
      <c r="B887" s="1701"/>
      <c r="C887" s="1701"/>
      <c r="D887" s="1701"/>
      <c r="E887" s="1701"/>
      <c r="F887" s="1701"/>
      <c r="G887" s="1701"/>
      <c r="H887" s="1701"/>
      <c r="I887" s="1701"/>
      <c r="J887" s="1701"/>
      <c r="K887" s="1701"/>
      <c r="L887" s="1701"/>
      <c r="M887" s="1701"/>
      <c r="N887" s="1701"/>
      <c r="O887" s="1701"/>
      <c r="P887" s="1701"/>
      <c r="Q887" s="1701"/>
      <c r="R887" s="1701"/>
      <c r="S887" s="1701"/>
      <c r="T887" s="1701"/>
      <c r="U887" s="1701"/>
      <c r="V887" s="1701"/>
      <c r="W887" s="1701"/>
      <c r="X887" s="1701"/>
      <c r="Y887" s="1701"/>
      <c r="Z887" s="1701"/>
      <c r="AA887" s="1701"/>
      <c r="AB887" s="1701"/>
      <c r="AC887" s="1701"/>
      <c r="AD887" s="1701"/>
      <c r="AE887" s="1701"/>
      <c r="AF887" s="1701"/>
      <c r="AG887" s="1701"/>
      <c r="AH887" s="1701"/>
      <c r="AI887" s="1701"/>
      <c r="AJ887" s="1701"/>
      <c r="AK887" s="1701"/>
      <c r="AL887" s="170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5" t="s">
        <v>1043</v>
      </c>
      <c r="G891" s="2166"/>
      <c r="H891" s="2166"/>
      <c r="I891" s="2166"/>
      <c r="J891" s="2166"/>
      <c r="K891" s="2166"/>
      <c r="L891" s="2166"/>
      <c r="M891" s="2166"/>
      <c r="N891" s="2166"/>
      <c r="O891" s="2166"/>
      <c r="P891" s="2166"/>
      <c r="Q891" s="2166"/>
      <c r="R891" s="2166"/>
      <c r="S891" s="2166"/>
      <c r="T891" s="2167"/>
      <c r="U891" s="1813" t="s">
        <v>382</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1125</v>
      </c>
      <c r="G892" s="1816"/>
      <c r="H892" s="1816"/>
      <c r="I892" s="1816"/>
      <c r="J892" s="1816"/>
      <c r="K892" s="1816"/>
      <c r="L892" s="1816"/>
      <c r="M892" s="1816"/>
      <c r="N892" s="1816"/>
      <c r="O892" s="1816"/>
      <c r="P892" s="1816"/>
      <c r="Q892" s="1816"/>
      <c r="R892" s="1816"/>
      <c r="S892" s="1816"/>
      <c r="T892" s="1887"/>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88"/>
      <c r="U893" s="1817"/>
      <c r="V893" s="1818"/>
      <c r="W893" s="1818"/>
      <c r="X893" s="1818"/>
      <c r="Y893" s="1818"/>
      <c r="Z893" s="1818"/>
      <c r="AA893" s="310"/>
      <c r="AB893" s="2171" t="s">
        <v>60</v>
      </c>
      <c r="AC893" s="2171"/>
      <c r="AD893" s="2171"/>
      <c r="AE893" s="217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24" t="s">
        <v>118</v>
      </c>
      <c r="V894" s="1725"/>
      <c r="W894" s="1725"/>
      <c r="X894" s="1725"/>
      <c r="Y894" s="1725"/>
      <c r="Z894" s="1726"/>
      <c r="AA894" s="1752">
        <f>[4]EVERYTHING!$C$10</f>
        <v>1000000</v>
      </c>
      <c r="AB894" s="1753"/>
      <c r="AC894" s="1753"/>
      <c r="AD894" s="1753"/>
      <c r="AE894" s="1753"/>
      <c r="AF894" s="175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24" t="s">
        <v>134</v>
      </c>
      <c r="V895" s="1725"/>
      <c r="W895" s="1725"/>
      <c r="X895" s="1725"/>
      <c r="Y895" s="1725"/>
      <c r="Z895" s="1726"/>
      <c r="AA895" s="1752"/>
      <c r="AB895" s="1753"/>
      <c r="AC895" s="1753"/>
      <c r="AD895" s="1753"/>
      <c r="AE895" s="1753"/>
      <c r="AF895" s="175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24" t="s">
        <v>134</v>
      </c>
      <c r="V896" s="1725"/>
      <c r="W896" s="1725"/>
      <c r="X896" s="1725"/>
      <c r="Y896" s="1725"/>
      <c r="Z896" s="1726"/>
      <c r="AA896" s="1752"/>
      <c r="AB896" s="1753"/>
      <c r="AC896" s="1753"/>
      <c r="AD896" s="1753"/>
      <c r="AE896" s="1753"/>
      <c r="AF896" s="175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24" t="s">
        <v>134</v>
      </c>
      <c r="V897" s="1725"/>
      <c r="W897" s="1725"/>
      <c r="X897" s="1725"/>
      <c r="Y897" s="1725"/>
      <c r="Z897" s="1726"/>
      <c r="AA897" s="1752"/>
      <c r="AB897" s="1753"/>
      <c r="AC897" s="1753"/>
      <c r="AD897" s="1753"/>
      <c r="AE897" s="1753"/>
      <c r="AF897" s="175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24" t="s">
        <v>134</v>
      </c>
      <c r="V898" s="1725"/>
      <c r="W898" s="1725"/>
      <c r="X898" s="1725"/>
      <c r="Y898" s="1725"/>
      <c r="Z898" s="1726"/>
      <c r="AA898" s="1752"/>
      <c r="AB898" s="1753"/>
      <c r="AC898" s="1753"/>
      <c r="AD898" s="1753"/>
      <c r="AE898" s="1753"/>
      <c r="AF898" s="175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24" t="s">
        <v>134</v>
      </c>
      <c r="V899" s="1725"/>
      <c r="W899" s="1725"/>
      <c r="X899" s="1725"/>
      <c r="Y899" s="1725"/>
      <c r="Z899" s="1726"/>
      <c r="AA899" s="1752"/>
      <c r="AB899" s="1753"/>
      <c r="AC899" s="1753"/>
      <c r="AD899" s="1753"/>
      <c r="AE899" s="1753"/>
      <c r="AF899" s="175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24" t="s">
        <v>134</v>
      </c>
      <c r="V900" s="1725"/>
      <c r="W900" s="1725"/>
      <c r="X900" s="1725"/>
      <c r="Y900" s="1725"/>
      <c r="Z900" s="1726"/>
      <c r="AA900" s="1752"/>
      <c r="AB900" s="1753"/>
      <c r="AC900" s="1753"/>
      <c r="AD900" s="1753"/>
      <c r="AE900" s="1753"/>
      <c r="AF900" s="175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24" t="s">
        <v>134</v>
      </c>
      <c r="V901" s="1725"/>
      <c r="W901" s="1725"/>
      <c r="X901" s="1725"/>
      <c r="Y901" s="1725"/>
      <c r="Z901" s="1726"/>
      <c r="AA901" s="1752"/>
      <c r="AB901" s="1753"/>
      <c r="AC901" s="1753"/>
      <c r="AD901" s="1753"/>
      <c r="AE901" s="1753"/>
      <c r="AF901" s="175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24" t="s">
        <v>134</v>
      </c>
      <c r="V902" s="1725"/>
      <c r="W902" s="1725"/>
      <c r="X902" s="1725"/>
      <c r="Y902" s="1725"/>
      <c r="Z902" s="1726"/>
      <c r="AA902" s="1752"/>
      <c r="AB902" s="1753"/>
      <c r="AC902" s="1753"/>
      <c r="AD902" s="1753"/>
      <c r="AE902" s="1753"/>
      <c r="AF902" s="175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24" t="s">
        <v>134</v>
      </c>
      <c r="V903" s="1725"/>
      <c r="W903" s="1725"/>
      <c r="X903" s="1725"/>
      <c r="Y903" s="1725"/>
      <c r="Z903" s="1726"/>
      <c r="AA903" s="1752"/>
      <c r="AB903" s="1753"/>
      <c r="AC903" s="1753"/>
      <c r="AD903" s="1753"/>
      <c r="AE903" s="1753"/>
      <c r="AF903" s="175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4" t="s">
        <v>134</v>
      </c>
      <c r="V904" s="1825"/>
      <c r="W904" s="1825"/>
      <c r="X904" s="1825"/>
      <c r="Y904" s="1825"/>
      <c r="Z904" s="1826"/>
      <c r="AA904" s="1768"/>
      <c r="AB904" s="1769"/>
      <c r="AC904" s="1769"/>
      <c r="AD904" s="1769"/>
      <c r="AE904" s="1769"/>
      <c r="AF904" s="177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24" t="s">
        <v>134</v>
      </c>
      <c r="V905" s="1725"/>
      <c r="W905" s="1725"/>
      <c r="X905" s="1725"/>
      <c r="Y905" s="1725"/>
      <c r="Z905" s="1726"/>
      <c r="AA905" s="1752"/>
      <c r="AB905" s="1753"/>
      <c r="AC905" s="1753"/>
      <c r="AD905" s="1753"/>
      <c r="AE905" s="1753"/>
      <c r="AF905" s="175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24" t="s">
        <v>134</v>
      </c>
      <c r="V906" s="1725"/>
      <c r="W906" s="1725"/>
      <c r="X906" s="1725"/>
      <c r="Y906" s="1725"/>
      <c r="Z906" s="1726"/>
      <c r="AA906" s="1752"/>
      <c r="AB906" s="1753"/>
      <c r="AC906" s="1753"/>
      <c r="AD906" s="1753"/>
      <c r="AE906" s="1753"/>
      <c r="AF906" s="175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24" t="s">
        <v>134</v>
      </c>
      <c r="V907" s="1725"/>
      <c r="W907" s="1725"/>
      <c r="X907" s="1725"/>
      <c r="Y907" s="1725"/>
      <c r="Z907" s="1726"/>
      <c r="AA907" s="1752"/>
      <c r="AB907" s="1753"/>
      <c r="AC907" s="1753"/>
      <c r="AD907" s="1753"/>
      <c r="AE907" s="1753"/>
      <c r="AF907" s="175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2" t="s">
        <v>527</v>
      </c>
      <c r="Q908" s="1725"/>
      <c r="R908" s="1725"/>
      <c r="S908" s="1725"/>
      <c r="T908" s="1726"/>
      <c r="U908" s="1724" t="s">
        <v>134</v>
      </c>
      <c r="V908" s="1725"/>
      <c r="W908" s="1725"/>
      <c r="X908" s="1725"/>
      <c r="Y908" s="1725"/>
      <c r="Z908" s="1726"/>
      <c r="AA908" s="1752"/>
      <c r="AB908" s="1753"/>
      <c r="AC908" s="1753"/>
      <c r="AD908" s="1753"/>
      <c r="AE908" s="1753"/>
      <c r="AF908" s="175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823" t="s">
        <v>618</v>
      </c>
      <c r="J909" s="1713"/>
      <c r="K909" s="1713"/>
      <c r="L909" s="1713"/>
      <c r="M909" s="1713"/>
      <c r="N909" s="1713"/>
      <c r="O909" s="1713"/>
      <c r="P909" s="1713"/>
      <c r="Q909" s="1713"/>
      <c r="R909" s="1713"/>
      <c r="S909" s="1713"/>
      <c r="T909" s="1714"/>
      <c r="U909" s="1724" t="s">
        <v>134</v>
      </c>
      <c r="V909" s="1725"/>
      <c r="W909" s="1725"/>
      <c r="X909" s="1725"/>
      <c r="Y909" s="1725"/>
      <c r="Z909" s="1726"/>
      <c r="AA909" s="1752"/>
      <c r="AB909" s="1753"/>
      <c r="AC909" s="1753"/>
      <c r="AD909" s="1753"/>
      <c r="AE909" s="1753"/>
      <c r="AF909" s="175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12" t="s">
        <v>2434</v>
      </c>
      <c r="J910" s="1713"/>
      <c r="K910" s="1713"/>
      <c r="L910" s="1713"/>
      <c r="M910" s="1713"/>
      <c r="N910" s="1713"/>
      <c r="O910" s="1713"/>
      <c r="P910" s="1713"/>
      <c r="Q910" s="1713"/>
      <c r="R910" s="1713"/>
      <c r="S910" s="1713"/>
      <c r="T910" s="1714"/>
      <c r="U910" s="1724" t="s">
        <v>118</v>
      </c>
      <c r="V910" s="1725"/>
      <c r="W910" s="1725"/>
      <c r="X910" s="1725"/>
      <c r="Y910" s="1725"/>
      <c r="Z910" s="1726"/>
      <c r="AA910" s="1752">
        <f>[4]EVERYTHING!$C$7+[4]EVERYTHING!$C$8+[4]EVERYTHING!$C$9</f>
        <v>10351425</v>
      </c>
      <c r="AB910" s="1753"/>
      <c r="AC910" s="1753"/>
      <c r="AD910" s="1753"/>
      <c r="AE910" s="1753"/>
      <c r="AF910" s="175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12" t="s">
        <v>2494</v>
      </c>
      <c r="J911" s="1713"/>
      <c r="K911" s="1713"/>
      <c r="L911" s="1713"/>
      <c r="M911" s="1713"/>
      <c r="N911" s="1713"/>
      <c r="O911" s="1713"/>
      <c r="P911" s="1713"/>
      <c r="Q911" s="1713"/>
      <c r="R911" s="1713"/>
      <c r="S911" s="1713"/>
      <c r="T911" s="1714"/>
      <c r="U911" s="1724" t="s">
        <v>527</v>
      </c>
      <c r="V911" s="1725"/>
      <c r="W911" s="1725"/>
      <c r="X911" s="1725"/>
      <c r="Y911" s="1725"/>
      <c r="Z911" s="1726"/>
      <c r="AA911" s="1752">
        <f>[4]EVERYTHING!$C$11</f>
        <v>6000000</v>
      </c>
      <c r="AB911" s="1753"/>
      <c r="AC911" s="1753"/>
      <c r="AD911" s="1753"/>
      <c r="AE911" s="1753"/>
      <c r="AF911" s="175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823" t="s">
        <v>618</v>
      </c>
      <c r="J912" s="1713"/>
      <c r="K912" s="1713"/>
      <c r="L912" s="1713"/>
      <c r="M912" s="1713"/>
      <c r="N912" s="1713"/>
      <c r="O912" s="1713"/>
      <c r="P912" s="1713"/>
      <c r="Q912" s="1713"/>
      <c r="R912" s="1713"/>
      <c r="S912" s="1713"/>
      <c r="T912" s="1714"/>
      <c r="U912" s="1724" t="s">
        <v>134</v>
      </c>
      <c r="V912" s="1725"/>
      <c r="W912" s="1725"/>
      <c r="X912" s="1725"/>
      <c r="Y912" s="1725"/>
      <c r="Z912" s="1726"/>
      <c r="AA912" s="1752"/>
      <c r="AB912" s="1753"/>
      <c r="AC912" s="1753"/>
      <c r="AD912" s="1753"/>
      <c r="AE912" s="1753"/>
      <c r="AF912" s="175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62">
        <v>44741</v>
      </c>
      <c r="M917" s="1879"/>
      <c r="N917" s="1879"/>
      <c r="O917" s="1879"/>
      <c r="P917" s="1879"/>
      <c r="Q917" s="1879"/>
      <c r="R917" s="1879"/>
      <c r="S917" s="1922"/>
      <c r="U917" s="117" t="s">
        <v>900</v>
      </c>
      <c r="V917" s="91"/>
      <c r="W917" s="91"/>
      <c r="X917" s="91"/>
      <c r="Y917" s="91"/>
      <c r="Z917" s="91"/>
      <c r="AA917" s="91"/>
      <c r="AB917" s="91"/>
      <c r="AC917" s="91"/>
      <c r="AD917" s="92"/>
      <c r="AE917" s="1762"/>
      <c r="AF917" s="1763"/>
      <c r="AG917" s="1763"/>
      <c r="AH917" s="1763"/>
      <c r="AI917" s="1763"/>
      <c r="AJ917" s="1763"/>
      <c r="AK917" s="176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21" t="s">
        <v>2355</v>
      </c>
      <c r="M918" s="1879"/>
      <c r="N918" s="1879"/>
      <c r="O918" s="1879"/>
      <c r="P918" s="1879"/>
      <c r="Q918" s="1879"/>
      <c r="R918" s="1879"/>
      <c r="S918" s="1922"/>
      <c r="U918" s="117" t="s">
        <v>901</v>
      </c>
      <c r="V918" s="91"/>
      <c r="W918" s="91"/>
      <c r="X918" s="91"/>
      <c r="Y918" s="91"/>
      <c r="Z918" s="91"/>
      <c r="AA918" s="91"/>
      <c r="AB918" s="91"/>
      <c r="AC918" s="91"/>
      <c r="AD918" s="92"/>
      <c r="AE918" s="1765"/>
      <c r="AF918" s="1766"/>
      <c r="AG918" s="1766"/>
      <c r="AH918" s="1766"/>
      <c r="AI918" s="1766"/>
      <c r="AJ918" s="1766"/>
      <c r="AK918" s="176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18" t="s">
        <v>2425</v>
      </c>
      <c r="M919" s="1919"/>
      <c r="N919" s="1919"/>
      <c r="O919" s="1919"/>
      <c r="P919" s="1919"/>
      <c r="Q919" s="1919"/>
      <c r="R919" s="1919"/>
      <c r="S919" s="1920"/>
      <c r="U919" s="117" t="s">
        <v>1195</v>
      </c>
      <c r="V919" s="91"/>
      <c r="W919" s="91"/>
      <c r="AE919" s="1727" t="s">
        <v>85</v>
      </c>
      <c r="AF919" s="1728"/>
      <c r="AG919" s="1728"/>
      <c r="AH919" s="1728"/>
      <c r="AI919" s="1728"/>
      <c r="AJ919" s="1728"/>
      <c r="AK919" s="1729"/>
      <c r="AL919" s="119"/>
      <c r="AM919" s="75"/>
      <c r="AN919" s="75"/>
      <c r="AO919" s="75"/>
      <c r="AP919" s="75"/>
      <c r="AQ919" s="75"/>
      <c r="AR919" s="75"/>
      <c r="AS919" s="75"/>
      <c r="AT919" s="75"/>
      <c r="AU919" s="75"/>
      <c r="AV919" s="75"/>
      <c r="AW919" s="66" t="s">
        <v>645</v>
      </c>
      <c r="AX919" s="319">
        <v>20</v>
      </c>
      <c r="AY919" s="1775">
        <f>IF(AD955&gt;0,0.2,0)</f>
        <v>0</v>
      </c>
      <c r="AZ919" s="177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59">
        <v>0.5</v>
      </c>
      <c r="M920" s="1760"/>
      <c r="N920" s="1760"/>
      <c r="O920" s="1760"/>
      <c r="P920" s="1760"/>
      <c r="Q920" s="1760"/>
      <c r="R920" s="1760"/>
      <c r="S920" s="1761"/>
      <c r="U920" s="117" t="s">
        <v>902</v>
      </c>
      <c r="V920" s="91"/>
      <c r="W920" s="91"/>
      <c r="X920" s="91"/>
      <c r="Y920" s="91"/>
      <c r="Z920" s="91"/>
      <c r="AA920" s="91"/>
      <c r="AB920" s="91"/>
      <c r="AC920" s="91"/>
      <c r="AD920" s="92"/>
      <c r="AE920" s="1759"/>
      <c r="AF920" s="1760"/>
      <c r="AG920" s="1760"/>
      <c r="AH920" s="1760"/>
      <c r="AI920" s="1760"/>
      <c r="AJ920" s="1760"/>
      <c r="AK920" s="1761"/>
      <c r="AL920" s="119"/>
      <c r="AM920" s="75"/>
      <c r="AN920" s="75"/>
      <c r="AO920" s="75"/>
      <c r="AP920" s="75"/>
      <c r="AQ920" s="75"/>
      <c r="AR920" s="75"/>
      <c r="AS920" s="75"/>
      <c r="AT920" s="75"/>
      <c r="AU920" s="75"/>
      <c r="AV920" s="75"/>
      <c r="AX920" s="16">
        <v>5</v>
      </c>
      <c r="AY920" s="1775">
        <f>IF(AD958&gt;0,0.05,0)</f>
        <v>0</v>
      </c>
      <c r="AZ920" s="17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73">
        <v>25</v>
      </c>
      <c r="M921" s="1874"/>
      <c r="N921" s="1874"/>
      <c r="O921" s="1874"/>
      <c r="P921" s="1874"/>
      <c r="Q921" s="1874"/>
      <c r="R921" s="1874"/>
      <c r="S921" s="1875"/>
      <c r="U921" s="117" t="s">
        <v>903</v>
      </c>
      <c r="V921" s="91"/>
      <c r="W921" s="91"/>
      <c r="X921" s="91"/>
      <c r="Y921" s="91"/>
      <c r="Z921" s="91"/>
      <c r="AA921" s="91"/>
      <c r="AB921" s="91"/>
      <c r="AC921" s="91"/>
      <c r="AD921" s="92"/>
      <c r="AE921" s="1876"/>
      <c r="AF921" s="1877"/>
      <c r="AG921" s="1877"/>
      <c r="AH921" s="1877"/>
      <c r="AI921" s="1877"/>
      <c r="AJ921" s="1877"/>
      <c r="AK921" s="1878"/>
      <c r="AL921" s="119"/>
      <c r="AM921" s="75"/>
      <c r="AN921" s="75"/>
      <c r="AO921" s="75"/>
      <c r="AP921" s="75"/>
      <c r="AQ921" s="75"/>
      <c r="AR921" s="75"/>
      <c r="AS921" s="75"/>
      <c r="AT921" s="75"/>
      <c r="AU921" s="75"/>
      <c r="AV921" s="75"/>
      <c r="AW921" s="66" t="s">
        <v>646</v>
      </c>
      <c r="AX921" s="319">
        <v>7</v>
      </c>
      <c r="AY921" s="1894">
        <f>IF(AD962&gt;0,0.07,0)</f>
        <v>0</v>
      </c>
      <c r="AZ921" s="18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98">
        <f>Z787</f>
        <v>436200</v>
      </c>
      <c r="M922" s="1699"/>
      <c r="N922" s="1699"/>
      <c r="O922" s="1699"/>
      <c r="P922" s="1699"/>
      <c r="Q922" s="1699"/>
      <c r="R922" s="1699"/>
      <c r="S922" s="1700"/>
      <c r="U922" s="117" t="s">
        <v>904</v>
      </c>
      <c r="V922" s="91"/>
      <c r="W922" s="91"/>
      <c r="X922" s="91"/>
      <c r="Y922" s="91"/>
      <c r="Z922" s="91"/>
      <c r="AA922" s="91"/>
      <c r="AB922" s="91"/>
      <c r="AC922" s="91"/>
      <c r="AD922" s="92"/>
      <c r="AE922" s="1752"/>
      <c r="AF922" s="1753"/>
      <c r="AG922" s="1753"/>
      <c r="AH922" s="1753"/>
      <c r="AI922" s="1753"/>
      <c r="AJ922" s="1753"/>
      <c r="AK922" s="1754"/>
      <c r="AL922" s="119"/>
      <c r="AM922" s="75"/>
      <c r="AN922" s="75"/>
      <c r="AO922" s="75"/>
      <c r="AP922" s="75"/>
      <c r="AQ922" s="75"/>
      <c r="AR922" s="75"/>
      <c r="AS922" s="75"/>
      <c r="AT922" s="75"/>
      <c r="AU922" s="75"/>
      <c r="AV922" s="75"/>
      <c r="AW922" s="66" t="s">
        <v>162</v>
      </c>
      <c r="AX922" s="319">
        <v>2</v>
      </c>
      <c r="AY922" s="1903">
        <f>IF(AD966&gt;0,0.02,0)</f>
        <v>0</v>
      </c>
      <c r="AZ922" s="190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98">
        <f>L922*L924</f>
        <v>17448000</v>
      </c>
      <c r="M923" s="1699"/>
      <c r="N923" s="1699"/>
      <c r="O923" s="1699"/>
      <c r="P923" s="1699"/>
      <c r="Q923" s="1699"/>
      <c r="R923" s="1699"/>
      <c r="S923" s="1700"/>
      <c r="U923" s="117" t="s">
        <v>905</v>
      </c>
      <c r="V923" s="91"/>
      <c r="W923" s="91"/>
      <c r="X923" s="91"/>
      <c r="Y923" s="91"/>
      <c r="Z923" s="91"/>
      <c r="AA923" s="91"/>
      <c r="AB923" s="91"/>
      <c r="AC923" s="91"/>
      <c r="AD923" s="92"/>
      <c r="AE923" s="1752"/>
      <c r="AF923" s="1753"/>
      <c r="AG923" s="1753"/>
      <c r="AH923" s="1753"/>
      <c r="AI923" s="1753"/>
      <c r="AJ923" s="1753"/>
      <c r="AK923" s="1754"/>
      <c r="AL923" s="119"/>
      <c r="AM923" s="75"/>
      <c r="AN923" s="75"/>
      <c r="AO923" s="75"/>
      <c r="AP923" s="75"/>
      <c r="AQ923" s="75"/>
      <c r="AR923" s="75"/>
      <c r="AS923" s="75"/>
      <c r="AT923" s="75"/>
      <c r="AU923" s="75"/>
      <c r="AV923" s="75"/>
      <c r="AW923" s="66" t="s">
        <v>647</v>
      </c>
      <c r="AX923" s="319">
        <v>2</v>
      </c>
      <c r="AY923" s="1903">
        <f>IF(AD968&gt;0,0.02,0)</f>
        <v>0</v>
      </c>
      <c r="AZ923" s="190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70" t="s">
        <v>2502</v>
      </c>
      <c r="M924" s="1871"/>
      <c r="N924" s="1871"/>
      <c r="O924" s="1871"/>
      <c r="P924" s="1871"/>
      <c r="Q924" s="1871"/>
      <c r="R924" s="1871"/>
      <c r="S924" s="1872"/>
      <c r="U924" s="117" t="s">
        <v>850</v>
      </c>
      <c r="V924" s="91"/>
      <c r="W924" s="91"/>
      <c r="X924" s="91"/>
      <c r="Y924" s="91"/>
      <c r="Z924" s="91"/>
      <c r="AA924" s="91"/>
      <c r="AB924" s="91"/>
      <c r="AC924" s="91"/>
      <c r="AD924" s="92"/>
      <c r="AE924" s="1870"/>
      <c r="AF924" s="1871"/>
      <c r="AG924" s="1871"/>
      <c r="AH924" s="1871"/>
      <c r="AI924" s="1871"/>
      <c r="AJ924" s="1871"/>
      <c r="AK924" s="1872"/>
      <c r="AL924" s="119"/>
      <c r="AM924" s="75"/>
      <c r="AN924" s="75"/>
      <c r="AO924" s="75"/>
      <c r="AP924" s="75"/>
      <c r="AQ924" s="75"/>
      <c r="AR924" s="75"/>
      <c r="AS924" s="75"/>
      <c r="AT924" s="75"/>
      <c r="AU924" s="75"/>
      <c r="AV924" s="75"/>
      <c r="AW924" s="66" t="s">
        <v>648</v>
      </c>
      <c r="AX924" s="319">
        <v>10</v>
      </c>
      <c r="AY924" s="1901">
        <f>AY932</f>
        <v>0.02</v>
      </c>
      <c r="AZ924" s="190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903"/>
      <c r="AZ925" s="190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89"/>
      <c r="AZ926" s="1890"/>
      <c r="BA926" s="18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903">
        <f>IF(AD985&gt;0,0.1,0)</f>
        <v>0</v>
      </c>
      <c r="AZ927" s="1904"/>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901">
        <f>SUM(AY919:AY927)</f>
        <v>0.02</v>
      </c>
      <c r="AZ928" s="1902"/>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02"/>
      <c r="N929" s="1703"/>
      <c r="O929" s="1703"/>
      <c r="P929" s="1703"/>
      <c r="Q929" s="1703"/>
      <c r="R929" s="1703"/>
      <c r="S929" s="1704"/>
      <c r="T929" s="117" t="s">
        <v>1032</v>
      </c>
      <c r="U929" s="91"/>
      <c r="V929" s="91"/>
      <c r="W929" s="91"/>
      <c r="X929" s="91"/>
      <c r="Y929" s="91"/>
      <c r="Z929" s="92"/>
      <c r="AA929" s="1702"/>
      <c r="AB929" s="1703"/>
      <c r="AC929" s="1703"/>
      <c r="AD929" s="1703"/>
      <c r="AE929" s="1703"/>
      <c r="AF929" s="1703"/>
      <c r="AG929" s="170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02"/>
      <c r="N930" s="1703"/>
      <c r="O930" s="1703"/>
      <c r="P930" s="1703"/>
      <c r="Q930" s="1703"/>
      <c r="R930" s="1703"/>
      <c r="S930" s="1704"/>
      <c r="T930" s="117" t="s">
        <v>1031</v>
      </c>
      <c r="U930" s="91"/>
      <c r="V930" s="91"/>
      <c r="W930" s="91"/>
      <c r="X930" s="91"/>
      <c r="Y930" s="91"/>
      <c r="Z930" s="92"/>
      <c r="AA930" s="1702"/>
      <c r="AB930" s="1703"/>
      <c r="AC930" s="1703"/>
      <c r="AD930" s="1703"/>
      <c r="AE930" s="1703"/>
      <c r="AF930" s="1703"/>
      <c r="AG930" s="1704"/>
      <c r="AL930" s="119"/>
      <c r="AM930" s="75"/>
      <c r="AN930" s="75"/>
      <c r="AO930" s="75"/>
      <c r="AP930" s="75"/>
      <c r="AQ930" s="75"/>
      <c r="AR930" s="75"/>
      <c r="AS930" s="75"/>
      <c r="AT930" s="75"/>
      <c r="AU930" s="75"/>
      <c r="AV930" s="75"/>
      <c r="AW930" s="66"/>
      <c r="AX930" s="66"/>
      <c r="AY930" s="1901">
        <f>SUM(AY919:AZ923)+AY927</f>
        <v>0</v>
      </c>
      <c r="AZ930" s="1902"/>
      <c r="BA930" s="1892">
        <v>0.39</v>
      </c>
      <c r="BB930" s="18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22" t="s">
        <v>134</v>
      </c>
      <c r="N931" s="1666"/>
      <c r="O931" s="1666"/>
      <c r="P931" s="1666"/>
      <c r="Q931" s="1666"/>
      <c r="R931" s="1666"/>
      <c r="S931" s="1723"/>
      <c r="T931" s="90" t="s">
        <v>622</v>
      </c>
      <c r="U931" s="91"/>
      <c r="V931" s="91"/>
      <c r="W931" s="91"/>
      <c r="X931" s="91"/>
      <c r="Y931" s="91"/>
      <c r="Z931" s="92"/>
      <c r="AA931" s="1702"/>
      <c r="AB931" s="1703"/>
      <c r="AC931" s="1703"/>
      <c r="AD931" s="1703"/>
      <c r="AE931" s="1703"/>
      <c r="AF931" s="1703"/>
      <c r="AG931" s="170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02"/>
      <c r="N932" s="1703"/>
      <c r="O932" s="1703"/>
      <c r="P932" s="1703"/>
      <c r="Q932" s="1703"/>
      <c r="R932" s="1703"/>
      <c r="S932" s="1704"/>
      <c r="T932" s="90" t="s">
        <v>623</v>
      </c>
      <c r="U932" s="91"/>
      <c r="V932" s="91"/>
      <c r="W932" s="91"/>
      <c r="X932" s="91"/>
      <c r="Y932" s="91"/>
      <c r="Z932" s="92"/>
      <c r="AA932" s="1702"/>
      <c r="AB932" s="1703"/>
      <c r="AC932" s="1703"/>
      <c r="AD932" s="1703"/>
      <c r="AE932" s="1703"/>
      <c r="AF932" s="1703"/>
      <c r="AG932" s="1704"/>
      <c r="AL932" s="119"/>
      <c r="AM932" s="75"/>
      <c r="AN932" s="75"/>
      <c r="AO932" s="75"/>
      <c r="AP932" s="75"/>
      <c r="AQ932" s="75"/>
      <c r="AR932" s="75"/>
      <c r="AS932" s="75"/>
      <c r="AT932" s="75"/>
      <c r="AU932" s="75"/>
      <c r="AV932" s="75"/>
      <c r="AW932" s="75"/>
      <c r="AX932" s="75"/>
      <c r="AY932" s="545">
        <f>IF(SUM(BA945:BA953)&lt;=0.1,SUM(BA945:BA953),0.1)</f>
        <v>0.02</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2"/>
      <c r="N933" s="1703"/>
      <c r="O933" s="1703"/>
      <c r="P933" s="1703"/>
      <c r="Q933" s="1703"/>
      <c r="R933" s="1703"/>
      <c r="S933" s="1704"/>
      <c r="T933" s="90" t="s">
        <v>538</v>
      </c>
      <c r="U933" s="91"/>
      <c r="V933" s="91"/>
      <c r="W933" s="91"/>
      <c r="X933" s="91"/>
      <c r="Y933" s="91"/>
      <c r="Z933" s="92"/>
      <c r="AA933" s="1702"/>
      <c r="AB933" s="1703"/>
      <c r="AC933" s="1703"/>
      <c r="AD933" s="1703"/>
      <c r="AE933" s="1703"/>
      <c r="AF933" s="1703"/>
      <c r="AG933" s="170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27" t="s">
        <v>85</v>
      </c>
      <c r="N934" s="1728"/>
      <c r="O934" s="1728"/>
      <c r="P934" s="1728"/>
      <c r="Q934" s="1728"/>
      <c r="R934" s="1728"/>
      <c r="S934" s="1729"/>
      <c r="T934" s="1908"/>
      <c r="U934" s="1909"/>
      <c r="V934" s="1909"/>
      <c r="W934" s="1909"/>
      <c r="X934" s="1909"/>
      <c r="Y934" s="1909"/>
      <c r="Z934" s="1910"/>
      <c r="AA934" s="1702"/>
      <c r="AB934" s="1703"/>
      <c r="AC934" s="1703"/>
      <c r="AD934" s="1703"/>
      <c r="AE934" s="1703"/>
      <c r="AF934" s="1703"/>
      <c r="AG934" s="170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2"/>
      <c r="N935" s="1703"/>
      <c r="O935" s="1703"/>
      <c r="P935" s="1703"/>
      <c r="Q935" s="1703"/>
      <c r="R935" s="1703"/>
      <c r="S935" s="1704"/>
      <c r="T935" s="1908"/>
      <c r="U935" s="1909"/>
      <c r="V935" s="1909"/>
      <c r="W935" s="1909"/>
      <c r="X935" s="1909"/>
      <c r="Y935" s="1909"/>
      <c r="Z935" s="1910"/>
      <c r="AA935" s="1702"/>
      <c r="AB935" s="1703"/>
      <c r="AC935" s="1703"/>
      <c r="AD935" s="1703"/>
      <c r="AE935" s="1703"/>
      <c r="AF935" s="1703"/>
      <c r="AG935" s="170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22" t="s">
        <v>527</v>
      </c>
      <c r="P936" s="1723"/>
      <c r="Q936" s="228"/>
      <c r="R936" s="228"/>
      <c r="S936" s="229"/>
      <c r="T936" s="85" t="s">
        <v>309</v>
      </c>
      <c r="U936" s="86"/>
      <c r="V936" s="86"/>
      <c r="W936" s="1822" t="s">
        <v>618</v>
      </c>
      <c r="X936" s="1696"/>
      <c r="Y936" s="1696"/>
      <c r="Z936" s="1696"/>
      <c r="AA936" s="1696"/>
      <c r="AB936" s="1696"/>
      <c r="AC936" s="1696"/>
      <c r="AD936" s="1696"/>
      <c r="AE936" s="1696"/>
      <c r="AF936" s="1696"/>
      <c r="AG936" s="169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11" t="s">
        <v>250</v>
      </c>
      <c r="G937" s="1912"/>
      <c r="H937" s="1912"/>
      <c r="I937" s="1912"/>
      <c r="J937" s="1912"/>
      <c r="K937" s="1912"/>
      <c r="L937" s="1912"/>
      <c r="M937" s="1702"/>
      <c r="N937" s="1703"/>
      <c r="O937" s="1703"/>
      <c r="P937" s="1703"/>
      <c r="Q937" s="1703"/>
      <c r="R937" s="1703"/>
      <c r="S937" s="1704"/>
      <c r="T937" s="93"/>
      <c r="U937" s="94"/>
      <c r="V937" s="94"/>
      <c r="W937" s="94"/>
      <c r="X937" s="94"/>
      <c r="Y937" s="94"/>
      <c r="Z937" s="351" t="s">
        <v>251</v>
      </c>
      <c r="AA937" s="1905"/>
      <c r="AB937" s="1906"/>
      <c r="AC937" s="1906"/>
      <c r="AD937" s="1906"/>
      <c r="AE937" s="1906"/>
      <c r="AF937" s="1906"/>
      <c r="AG937" s="190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1" t="s">
        <v>139</v>
      </c>
      <c r="B941" s="1701"/>
      <c r="C941" s="1701"/>
      <c r="D941" s="1701"/>
      <c r="E941" s="1701"/>
      <c r="F941" s="1701"/>
      <c r="G941" s="1701"/>
      <c r="H941" s="1701"/>
      <c r="I941" s="1701"/>
      <c r="J941" s="1701"/>
      <c r="K941" s="1701"/>
      <c r="L941" s="1701"/>
      <c r="M941" s="1701"/>
      <c r="N941" s="1701"/>
      <c r="O941" s="1701"/>
      <c r="P941" s="1701"/>
      <c r="Q941" s="1701"/>
      <c r="R941" s="1701"/>
      <c r="S941" s="1701"/>
      <c r="T941" s="1701"/>
      <c r="U941" s="1701"/>
      <c r="V941" s="1701"/>
      <c r="W941" s="1701"/>
      <c r="X941" s="1701"/>
      <c r="Y941" s="1701"/>
      <c r="Z941" s="1701"/>
      <c r="AA941" s="1701"/>
      <c r="AB941" s="1701"/>
      <c r="AC941" s="1701"/>
      <c r="AD941" s="1701"/>
      <c r="AE941" s="1701"/>
      <c r="AF941" s="1701"/>
      <c r="AG941" s="1701"/>
      <c r="AH941" s="1701"/>
      <c r="AI941" s="1701"/>
      <c r="AJ941" s="1701"/>
      <c r="AK941" s="1701"/>
      <c r="AL941" s="170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1"/>
      <c r="B942" s="1701"/>
      <c r="C942" s="1701"/>
      <c r="D942" s="1701"/>
      <c r="E942" s="1701"/>
      <c r="F942" s="1701"/>
      <c r="G942" s="1701"/>
      <c r="H942" s="1701"/>
      <c r="I942" s="1701"/>
      <c r="J942" s="1701"/>
      <c r="K942" s="1701"/>
      <c r="L942" s="1701"/>
      <c r="M942" s="1701"/>
      <c r="N942" s="1701"/>
      <c r="O942" s="1701"/>
      <c r="P942" s="1701"/>
      <c r="Q942" s="1701"/>
      <c r="R942" s="1701"/>
      <c r="S942" s="1701"/>
      <c r="T942" s="1701"/>
      <c r="U942" s="1701"/>
      <c r="V942" s="1701"/>
      <c r="W942" s="1701"/>
      <c r="X942" s="1701"/>
      <c r="Y942" s="1701"/>
      <c r="Z942" s="1701"/>
      <c r="AA942" s="1701"/>
      <c r="AB942" s="1701"/>
      <c r="AC942" s="1701"/>
      <c r="AD942" s="1701"/>
      <c r="AE942" s="1701"/>
      <c r="AF942" s="1701"/>
      <c r="AG942" s="1701"/>
      <c r="AH942" s="1701"/>
      <c r="AI942" s="1701"/>
      <c r="AJ942" s="1701"/>
      <c r="AK942" s="1701"/>
      <c r="AL942" s="17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2"/>
      <c r="D946" s="1756" t="s">
        <v>469</v>
      </c>
      <c r="E946" s="1757"/>
      <c r="F946" s="1757"/>
      <c r="G946" s="1757"/>
      <c r="H946" s="1757"/>
      <c r="I946" s="1757"/>
      <c r="J946" s="1757"/>
      <c r="K946" s="1757"/>
      <c r="L946" s="1757"/>
      <c r="M946" s="1757"/>
      <c r="N946" s="1757"/>
      <c r="O946" s="1757"/>
      <c r="P946" s="1757"/>
      <c r="Q946" s="1758"/>
      <c r="R946" s="1756" t="s">
        <v>470</v>
      </c>
      <c r="S946" s="1757"/>
      <c r="T946" s="1757"/>
      <c r="U946" s="1757"/>
      <c r="V946" s="1757"/>
      <c r="W946" s="1757"/>
      <c r="X946" s="1757"/>
      <c r="Y946" s="1757"/>
      <c r="Z946" s="1757"/>
      <c r="AA946" s="1758"/>
      <c r="AB946" s="1756" t="s">
        <v>471</v>
      </c>
      <c r="AC946" s="1757"/>
      <c r="AD946" s="1757"/>
      <c r="AE946" s="1757"/>
      <c r="AF946" s="1757"/>
      <c r="AG946" s="1757"/>
      <c r="AH946" s="1757"/>
      <c r="AI946" s="1758"/>
      <c r="AJ946" s="1756" t="s">
        <v>472</v>
      </c>
      <c r="AK946" s="1757"/>
      <c r="AL946" s="1757"/>
      <c r="AM946" s="1757"/>
      <c r="AN946" s="1757"/>
      <c r="AO946" s="1757"/>
      <c r="AP946" s="1757"/>
      <c r="AQ946" s="1758"/>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3"/>
      <c r="D947" s="1748" t="s">
        <v>464</v>
      </c>
      <c r="E947" s="1749"/>
      <c r="F947" s="1749"/>
      <c r="G947" s="1749"/>
      <c r="H947" s="1749"/>
      <c r="I947" s="1749"/>
      <c r="J947" s="1749"/>
      <c r="K947" s="1749"/>
      <c r="L947" s="1749"/>
      <c r="M947" s="1749"/>
      <c r="N947" s="1749"/>
      <c r="O947" s="1749"/>
      <c r="P947" s="1749"/>
      <c r="Q947" s="1750"/>
      <c r="R947" s="1751">
        <f>IF(ISNA(IF($BA$819="4%",(INDEX($BC$833:$BG$890,MATCH($BO$819,$BB$833:$BB$890,0),MATCH(D947,$BC$831:$BG$831,0))),(INDEX($BJ$833:$BN$890,MATCH($BO$819,$BI$833:$BI$890,0),MATCH(D947,$BJ$831:$BN$831,0))))),0,IF($BA$819="4%",(INDEX($BC$833:$BG$890,MATCH($BO$819,$BB$833:$BB$890,0),MATCH(D947,$BC$831:$BG$831,0))),(INDEX($BJ$833:$BN$890,MATCH($BO$819,$BI$833:$BI$890,0),MATCH(D947,$BJ$831:$BN$831,0)))))</f>
        <v>440028</v>
      </c>
      <c r="S947" s="1751"/>
      <c r="T947" s="1751"/>
      <c r="U947" s="1751"/>
      <c r="V947" s="1751"/>
      <c r="W947" s="1751"/>
      <c r="X947" s="1751"/>
      <c r="Y947" s="1751"/>
      <c r="Z947" s="1751"/>
      <c r="AA947" s="1751"/>
      <c r="AB947" s="1895">
        <f>BN652</f>
        <v>37</v>
      </c>
      <c r="AC947" s="1896"/>
      <c r="AD947" s="1896"/>
      <c r="AE947" s="1896"/>
      <c r="AF947" s="1896"/>
      <c r="AG947" s="1896"/>
      <c r="AH947" s="1896"/>
      <c r="AI947" s="1897"/>
      <c r="AJ947" s="1898">
        <f>IF(ISERROR((R947*AB947)),0,(R947*AB947))</f>
        <v>16281036</v>
      </c>
      <c r="AK947" s="1899"/>
      <c r="AL947" s="1899"/>
      <c r="AM947" s="1899"/>
      <c r="AN947" s="1899"/>
      <c r="AO947" s="1899"/>
      <c r="AP947" s="1899"/>
      <c r="AQ947" s="1900"/>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4"/>
      <c r="D948" s="1748" t="s">
        <v>487</v>
      </c>
      <c r="E948" s="1749"/>
      <c r="F948" s="1749"/>
      <c r="G948" s="1749"/>
      <c r="H948" s="1749"/>
      <c r="I948" s="1749"/>
      <c r="J948" s="1749"/>
      <c r="K948" s="1749"/>
      <c r="L948" s="1749"/>
      <c r="M948" s="1749"/>
      <c r="N948" s="1749"/>
      <c r="O948" s="1749"/>
      <c r="P948" s="1749"/>
      <c r="Q948" s="1750"/>
      <c r="R948" s="1751">
        <f>IF(ISNA(IF($BA$819="4%",(INDEX($BC$833:$BG$890,MATCH($BO$819,$BB$833:$BB$890,0),MATCH(D948,$BC$831:$BG$831,0))),(INDEX($BJ$833:$BN$890,MATCH($BO$819,$BI$833:$BI$890,0),MATCH(D948,$BJ$831:$BN$831,0))))),0,IF($BA$819="4%",(INDEX($BC$833:$BG$890,MATCH($BO$819,$BB$833:$BB$890,0),MATCH(D948,$BC$831:$BG$831,0))),(INDEX($BJ$833:$BN$890,MATCH($BO$819,$BI$833:$BI$890,0),MATCH(D948,$BJ$831:$BN$831,0)))))</f>
        <v>507348</v>
      </c>
      <c r="S948" s="1751"/>
      <c r="T948" s="1751"/>
      <c r="U948" s="1751"/>
      <c r="V948" s="1751"/>
      <c r="W948" s="1751"/>
      <c r="X948" s="1751"/>
      <c r="Y948" s="1751"/>
      <c r="Z948" s="1751"/>
      <c r="AA948" s="1751"/>
      <c r="AB948" s="1895">
        <f>BS652</f>
        <v>8</v>
      </c>
      <c r="AC948" s="1896"/>
      <c r="AD948" s="1896"/>
      <c r="AE948" s="1896"/>
      <c r="AF948" s="1896"/>
      <c r="AG948" s="1896"/>
      <c r="AH948" s="1896"/>
      <c r="AI948" s="1897"/>
      <c r="AJ948" s="1898">
        <f>IF(ISERROR((R948*AB948)),0,(R948*AB948))</f>
        <v>4058784</v>
      </c>
      <c r="AK948" s="1899"/>
      <c r="AL948" s="1899"/>
      <c r="AM948" s="1899"/>
      <c r="AN948" s="1899"/>
      <c r="AO948" s="1899"/>
      <c r="AP948" s="1899"/>
      <c r="AQ948" s="1900"/>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4"/>
      <c r="D949" s="1748" t="s">
        <v>844</v>
      </c>
      <c r="E949" s="1749"/>
      <c r="F949" s="1749"/>
      <c r="G949" s="1749"/>
      <c r="H949" s="1749"/>
      <c r="I949" s="1749"/>
      <c r="J949" s="1749"/>
      <c r="K949" s="1749"/>
      <c r="L949" s="1749"/>
      <c r="M949" s="1749"/>
      <c r="N949" s="1749"/>
      <c r="O949" s="1749"/>
      <c r="P949" s="1749"/>
      <c r="Q949" s="1750"/>
      <c r="R949" s="1751">
        <f>IF(ISNA(IF($BA$819="4%",(INDEX($BC$833:$BG$890,MATCH($BO$819,$BB$833:$BB$890,0),MATCH(D949,$BC$831:$BG$831,0))),(INDEX($BJ$833:$BN$890,MATCH($BO$819,$BI$833:$BI$890,0),MATCH(D949,$BJ$831:$BN$831,0))))),0,IF($BA$819="4%",(INDEX($BC$833:$BG$890,MATCH($BO$819,$BB$833:$BB$890,0),MATCH(D949,$BC$831:$BG$831,0))),(INDEX($BJ$833:$BN$890,MATCH($BO$819,$BI$833:$BI$890,0),MATCH(D949,$BJ$831:$BN$831,0)))))</f>
        <v>612000</v>
      </c>
      <c r="S949" s="1751"/>
      <c r="T949" s="1751"/>
      <c r="U949" s="1751"/>
      <c r="V949" s="1751"/>
      <c r="W949" s="1751"/>
      <c r="X949" s="1751"/>
      <c r="Y949" s="1751"/>
      <c r="Z949" s="1751"/>
      <c r="AA949" s="1751"/>
      <c r="AB949" s="1895">
        <f>BX652</f>
        <v>5</v>
      </c>
      <c r="AC949" s="1896"/>
      <c r="AD949" s="1896"/>
      <c r="AE949" s="1896"/>
      <c r="AF949" s="1896"/>
      <c r="AG949" s="1896"/>
      <c r="AH949" s="1896"/>
      <c r="AI949" s="1897"/>
      <c r="AJ949" s="1898">
        <f>IF(ISERROR((R949*AB949)),0,(R949*AB949))</f>
        <v>3060000</v>
      </c>
      <c r="AK949" s="1899"/>
      <c r="AL949" s="1899"/>
      <c r="AM949" s="1899"/>
      <c r="AN949" s="1899"/>
      <c r="AO949" s="1899"/>
      <c r="AP949" s="1899"/>
      <c r="AQ949" s="1900"/>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4"/>
      <c r="D950" s="1748" t="s">
        <v>845</v>
      </c>
      <c r="E950" s="1749"/>
      <c r="F950" s="1749"/>
      <c r="G950" s="1749"/>
      <c r="H950" s="1749"/>
      <c r="I950" s="1749"/>
      <c r="J950" s="1749"/>
      <c r="K950" s="1749"/>
      <c r="L950" s="1749"/>
      <c r="M950" s="1749"/>
      <c r="N950" s="1749"/>
      <c r="O950" s="1749"/>
      <c r="P950" s="1749"/>
      <c r="Q950" s="1750"/>
      <c r="R950" s="1751">
        <f>IF(ISNA(IF($BA$819="4%",(INDEX($BC$833:$BG$890,MATCH($BO$819,$BB$833:$BB$890,0),MATCH(D950,$BC$831:$BG$831,0))),(INDEX($BJ$833:$BN$890,MATCH($BO$819,$BI$833:$BI$890,0),MATCH(D950,$BJ$831:$BN$831,0))))),0,IF($BA$819="4%",(INDEX($BC$833:$BG$890,MATCH($BO$819,$BB$833:$BB$890,0),MATCH(D950,$BC$831:$BG$831,0))),(INDEX($BJ$833:$BN$890,MATCH($BO$819,$BI$833:$BI$890,0),MATCH(D950,$BJ$831:$BN$831,0)))))</f>
        <v>783360</v>
      </c>
      <c r="S950" s="1751"/>
      <c r="T950" s="1751"/>
      <c r="U950" s="1751"/>
      <c r="V950" s="1751"/>
      <c r="W950" s="1751"/>
      <c r="X950" s="1751"/>
      <c r="Y950" s="1751"/>
      <c r="Z950" s="1751"/>
      <c r="AA950" s="1751"/>
      <c r="AB950" s="1895">
        <f>CC652</f>
        <v>0</v>
      </c>
      <c r="AC950" s="1896"/>
      <c r="AD950" s="1896"/>
      <c r="AE950" s="1896"/>
      <c r="AF950" s="1896"/>
      <c r="AG950" s="1896"/>
      <c r="AH950" s="1896"/>
      <c r="AI950" s="1897"/>
      <c r="AJ950" s="1898">
        <f>IF(ISERROR((R950*AB950)),0,(R950*AB950))</f>
        <v>0</v>
      </c>
      <c r="AK950" s="1899"/>
      <c r="AL950" s="1899"/>
      <c r="AM950" s="1899"/>
      <c r="AN950" s="1899"/>
      <c r="AO950" s="1899"/>
      <c r="AP950" s="1899"/>
      <c r="AQ950" s="1900"/>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5"/>
      <c r="D951" s="1748" t="s">
        <v>858</v>
      </c>
      <c r="E951" s="1749"/>
      <c r="F951" s="1749"/>
      <c r="G951" s="1749"/>
      <c r="H951" s="1749"/>
      <c r="I951" s="1749"/>
      <c r="J951" s="1749"/>
      <c r="K951" s="1749"/>
      <c r="L951" s="1749"/>
      <c r="M951" s="1749"/>
      <c r="N951" s="1749"/>
      <c r="O951" s="1749"/>
      <c r="P951" s="1749"/>
      <c r="Q951" s="1750"/>
      <c r="R951" s="1751">
        <f>IF(ISNA(IF($BA$819="4%",(INDEX($BC$833:$BG$890,MATCH($BO$819,$BB$833:$BB$890,0),MATCH(D951,$BC$831:$BG$831,0))),(INDEX($BJ$833:$BN$890,MATCH($BO$819,$BI$833:$BI$890,0),MATCH(D951,$BJ$831:$BN$831,0))))),0,IF($BA$819="4%",(INDEX($BC$833:$BG$890,MATCH($BO$819,$BB$833:$BB$890,0),MATCH(D951,$BC$831:$BG$831,0))),(INDEX($BJ$833:$BN$890,MATCH($BO$819,$BI$833:$BI$890,0),MATCH(D951,$BJ$831:$BN$831,0)))))</f>
        <v>872712</v>
      </c>
      <c r="S951" s="1751"/>
      <c r="T951" s="1751"/>
      <c r="U951" s="1751"/>
      <c r="V951" s="1751"/>
      <c r="W951" s="1751"/>
      <c r="X951" s="1751"/>
      <c r="Y951" s="1751"/>
      <c r="Z951" s="1751"/>
      <c r="AA951" s="1751"/>
      <c r="AB951" s="1895">
        <f>CM652+CH652</f>
        <v>0</v>
      </c>
      <c r="AC951" s="1896"/>
      <c r="AD951" s="1896"/>
      <c r="AE951" s="1896"/>
      <c r="AF951" s="1896"/>
      <c r="AG951" s="1896"/>
      <c r="AH951" s="1896"/>
      <c r="AI951" s="1897"/>
      <c r="AJ951" s="1898">
        <f>IF(ISERROR((R951*AB951)),0,(R951*AB951))</f>
        <v>0</v>
      </c>
      <c r="AK951" s="1899"/>
      <c r="AL951" s="1899"/>
      <c r="AM951" s="1899"/>
      <c r="AN951" s="1899"/>
      <c r="AO951" s="1899"/>
      <c r="AP951" s="1899"/>
      <c r="AQ951" s="1900"/>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7" t="s">
        <v>1042</v>
      </c>
      <c r="C952" s="2198"/>
      <c r="D952" s="2198"/>
      <c r="E952" s="2198"/>
      <c r="F952" s="2198"/>
      <c r="G952" s="2198"/>
      <c r="H952" s="2198"/>
      <c r="I952" s="2198"/>
      <c r="J952" s="2198"/>
      <c r="K952" s="2198"/>
      <c r="L952" s="2198"/>
      <c r="M952" s="2198"/>
      <c r="N952" s="2198"/>
      <c r="O952" s="2198"/>
      <c r="P952" s="2198"/>
      <c r="Q952" s="2198"/>
      <c r="R952" s="2198"/>
      <c r="S952" s="2198"/>
      <c r="T952" s="2198"/>
      <c r="U952" s="2198"/>
      <c r="V952" s="2198"/>
      <c r="W952" s="2198"/>
      <c r="X952" s="2198"/>
      <c r="Y952" s="2198"/>
      <c r="Z952" s="2198"/>
      <c r="AA952" s="2199"/>
      <c r="AB952" s="1895">
        <f>SUM(AB947:AI951)</f>
        <v>50</v>
      </c>
      <c r="AC952" s="1896"/>
      <c r="AD952" s="1896"/>
      <c r="AE952" s="1896"/>
      <c r="AF952" s="1896"/>
      <c r="AG952" s="1896"/>
      <c r="AH952" s="1896"/>
      <c r="AI952" s="1897"/>
      <c r="AJ952" s="1898"/>
      <c r="AK952" s="1899"/>
      <c r="AL952" s="1899"/>
      <c r="AM952" s="1899"/>
      <c r="AN952" s="1899"/>
      <c r="AO952" s="1899"/>
      <c r="AP952" s="1899"/>
      <c r="AQ952" s="1900"/>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0" t="s">
        <v>810</v>
      </c>
      <c r="C953" s="2201"/>
      <c r="D953" s="2201"/>
      <c r="E953" s="2201"/>
      <c r="F953" s="2201"/>
      <c r="G953" s="2201"/>
      <c r="H953" s="2201"/>
      <c r="I953" s="2201"/>
      <c r="J953" s="2201"/>
      <c r="K953" s="2201"/>
      <c r="L953" s="2201"/>
      <c r="M953" s="2201"/>
      <c r="N953" s="2201"/>
      <c r="O953" s="2201"/>
      <c r="P953" s="2201"/>
      <c r="Q953" s="2201"/>
      <c r="R953" s="2201"/>
      <c r="S953" s="2201"/>
      <c r="T953" s="2201"/>
      <c r="U953" s="2201"/>
      <c r="V953" s="2201"/>
      <c r="W953" s="2201"/>
      <c r="X953" s="2201"/>
      <c r="Y953" s="2201"/>
      <c r="Z953" s="2201"/>
      <c r="AA953" s="2201"/>
      <c r="AB953" s="2201"/>
      <c r="AC953" s="2201"/>
      <c r="AD953" s="2201"/>
      <c r="AE953" s="2201"/>
      <c r="AF953" s="2201"/>
      <c r="AG953" s="2201"/>
      <c r="AH953" s="2201"/>
      <c r="AI953" s="2202"/>
      <c r="AJ953" s="1898">
        <f>SUM(AJ947:AQ951)</f>
        <v>23399820</v>
      </c>
      <c r="AK953" s="1899"/>
      <c r="AL953" s="1899"/>
      <c r="AM953" s="1899"/>
      <c r="AN953" s="1899"/>
      <c r="AO953" s="1899"/>
      <c r="AP953" s="1899"/>
      <c r="AQ953" s="1900"/>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3"/>
      <c r="C954" s="2204"/>
      <c r="D954" s="2204"/>
      <c r="E954" s="2204"/>
      <c r="F954" s="2204"/>
      <c r="G954" s="2204"/>
      <c r="H954" s="2204"/>
      <c r="I954" s="2204"/>
      <c r="J954" s="2204"/>
      <c r="K954" s="2204"/>
      <c r="L954" s="2204"/>
      <c r="M954" s="2204"/>
      <c r="N954" s="2204"/>
      <c r="O954" s="2204"/>
      <c r="P954" s="2204"/>
      <c r="Q954" s="2204"/>
      <c r="R954" s="2204"/>
      <c r="S954" s="2204"/>
      <c r="T954" s="2204"/>
      <c r="U954" s="2204"/>
      <c r="V954" s="2204"/>
      <c r="W954" s="2204"/>
      <c r="X954" s="2204"/>
      <c r="Y954" s="2204"/>
      <c r="Z954" s="2204"/>
      <c r="AA954" s="2204"/>
      <c r="AB954" s="2204"/>
      <c r="AC954" s="2204"/>
      <c r="AD954" s="2204"/>
      <c r="AE954" s="2205"/>
      <c r="AF954" s="2206" t="s">
        <v>524</v>
      </c>
      <c r="AG954" s="2207"/>
      <c r="AH954" s="2207"/>
      <c r="AI954" s="2208"/>
      <c r="AJ954" s="2203"/>
      <c r="AK954" s="2204"/>
      <c r="AL954" s="2204"/>
      <c r="AM954" s="2204"/>
      <c r="AN954" s="2204"/>
      <c r="AO954" s="2204"/>
      <c r="AP954" s="2204"/>
      <c r="AQ954" s="220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6" t="s">
        <v>526</v>
      </c>
      <c r="D955" s="1951" t="s">
        <v>2087</v>
      </c>
      <c r="E955" s="1952"/>
      <c r="F955" s="1952"/>
      <c r="G955" s="1952"/>
      <c r="H955" s="1952"/>
      <c r="I955" s="1952"/>
      <c r="J955" s="1952"/>
      <c r="K955" s="1952"/>
      <c r="L955" s="1952"/>
      <c r="M955" s="1952"/>
      <c r="N955" s="1952"/>
      <c r="O955" s="1952"/>
      <c r="P955" s="1952"/>
      <c r="Q955" s="1952"/>
      <c r="R955" s="1952"/>
      <c r="S955" s="1952"/>
      <c r="T955" s="1952"/>
      <c r="U955" s="1952"/>
      <c r="V955" s="1952"/>
      <c r="W955" s="1952"/>
      <c r="X955" s="1952"/>
      <c r="Y955" s="1952"/>
      <c r="Z955" s="1952"/>
      <c r="AA955" s="1952"/>
      <c r="AB955" s="1952"/>
      <c r="AC955" s="1952"/>
      <c r="AD955" s="1952"/>
      <c r="AE955" s="1953"/>
      <c r="AF955" s="128"/>
      <c r="AG955" s="2195" t="s">
        <v>118</v>
      </c>
      <c r="AH955" s="2196"/>
      <c r="AI955" s="131"/>
      <c r="AJ955" s="1928">
        <f>ROUND(IF(AND(AG955="yes",D957&gt;0),AJ953*0.2,0),0)</f>
        <v>4679964</v>
      </c>
      <c r="AK955" s="1929"/>
      <c r="AL955" s="1929"/>
      <c r="AM955" s="1929"/>
      <c r="AN955" s="1929"/>
      <c r="AO955" s="1929"/>
      <c r="AP955" s="1929"/>
      <c r="AQ955" s="193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7"/>
      <c r="C956" s="1418"/>
      <c r="D956" s="1742" t="s">
        <v>2214</v>
      </c>
      <c r="E956" s="1743"/>
      <c r="F956" s="1743"/>
      <c r="G956" s="1743"/>
      <c r="H956" s="1743"/>
      <c r="I956" s="1743"/>
      <c r="J956" s="1743"/>
      <c r="K956" s="1743"/>
      <c r="L956" s="1743"/>
      <c r="M956" s="1743"/>
      <c r="N956" s="1743"/>
      <c r="O956" s="1743"/>
      <c r="P956" s="1743"/>
      <c r="Q956" s="1743"/>
      <c r="R956" s="1743"/>
      <c r="S956" s="1743"/>
      <c r="T956" s="1743"/>
      <c r="U956" s="1743"/>
      <c r="V956" s="1743"/>
      <c r="W956" s="1743"/>
      <c r="X956" s="1743"/>
      <c r="Y956" s="1743"/>
      <c r="Z956" s="1743"/>
      <c r="AA956" s="1743"/>
      <c r="AB956" s="1743"/>
      <c r="AC956" s="1743"/>
      <c r="AD956" s="1743"/>
      <c r="AE956" s="1744"/>
      <c r="AF956" s="124"/>
      <c r="AG956" s="125"/>
      <c r="AH956" s="125"/>
      <c r="AI956" s="129"/>
      <c r="AJ956" s="1934"/>
      <c r="AK956" s="1935"/>
      <c r="AL956" s="1935"/>
      <c r="AM956" s="1935"/>
      <c r="AN956" s="1935"/>
      <c r="AO956" s="1935"/>
      <c r="AP956" s="1935"/>
      <c r="AQ956" s="193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7"/>
      <c r="C957" s="1418"/>
      <c r="D957" s="1943" t="s">
        <v>2429</v>
      </c>
      <c r="E957" s="1944"/>
      <c r="F957" s="1944"/>
      <c r="G957" s="1944"/>
      <c r="H957" s="1944"/>
      <c r="I957" s="1944"/>
      <c r="J957" s="1944"/>
      <c r="K957" s="1944"/>
      <c r="L957" s="1944"/>
      <c r="M957" s="1944"/>
      <c r="N957" s="1944"/>
      <c r="O957" s="1944"/>
      <c r="P957" s="1944"/>
      <c r="Q957" s="1944"/>
      <c r="R957" s="1944"/>
      <c r="S957" s="1944"/>
      <c r="T957" s="1944"/>
      <c r="U957" s="1944"/>
      <c r="V957" s="1944"/>
      <c r="W957" s="1944"/>
      <c r="X957" s="1944"/>
      <c r="Y957" s="1944"/>
      <c r="Z957" s="1944"/>
      <c r="AA957" s="1944"/>
      <c r="AB957" s="1944"/>
      <c r="AC957" s="1944"/>
      <c r="AD957" s="1944"/>
      <c r="AE957" s="1945"/>
      <c r="AF957" s="126"/>
      <c r="AG957" s="15"/>
      <c r="AH957" s="15"/>
      <c r="AI957" s="127"/>
      <c r="AJ957" s="1931"/>
      <c r="AK957" s="1932"/>
      <c r="AL957" s="1932"/>
      <c r="AM957" s="1932"/>
      <c r="AN957" s="1932"/>
      <c r="AO957" s="1932"/>
      <c r="AP957" s="1932"/>
      <c r="AQ957" s="19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9"/>
      <c r="C958" s="1420"/>
      <c r="D958" s="1923" t="s">
        <v>2215</v>
      </c>
      <c r="E958" s="1924"/>
      <c r="F958" s="1924"/>
      <c r="G958" s="1924"/>
      <c r="H958" s="1924"/>
      <c r="I958" s="1924"/>
      <c r="J958" s="1924"/>
      <c r="K958" s="1924"/>
      <c r="L958" s="1924"/>
      <c r="M958" s="1924"/>
      <c r="N958" s="1924"/>
      <c r="O958" s="1924"/>
      <c r="P958" s="1924"/>
      <c r="Q958" s="1924"/>
      <c r="R958" s="1924"/>
      <c r="S958" s="1924"/>
      <c r="T958" s="1924"/>
      <c r="U958" s="1924"/>
      <c r="V958" s="1924"/>
      <c r="W958" s="1924"/>
      <c r="X958" s="1924"/>
      <c r="Y958" s="1924"/>
      <c r="Z958" s="1924"/>
      <c r="AA958" s="1924"/>
      <c r="AB958" s="1924"/>
      <c r="AC958" s="1924"/>
      <c r="AD958" s="1924"/>
      <c r="AE958" s="1925"/>
      <c r="AF958" s="128"/>
      <c r="AG958" s="1926" t="s">
        <v>527</v>
      </c>
      <c r="AH958" s="1927"/>
      <c r="AI958" s="131"/>
      <c r="AJ958" s="1928">
        <f>ROUND(IF(AG958="yes",AJ953*0.05,0),0)</f>
        <v>0</v>
      </c>
      <c r="AK958" s="1929"/>
      <c r="AL958" s="1929"/>
      <c r="AM958" s="1929"/>
      <c r="AN958" s="1929"/>
      <c r="AO958" s="1929"/>
      <c r="AP958" s="1929"/>
      <c r="AQ958" s="193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7"/>
      <c r="C959" s="1421"/>
      <c r="D959" s="1742" t="s">
        <v>2088</v>
      </c>
      <c r="E959" s="1743"/>
      <c r="F959" s="1743"/>
      <c r="G959" s="1743"/>
      <c r="H959" s="1743"/>
      <c r="I959" s="1743"/>
      <c r="J959" s="1743"/>
      <c r="K959" s="1743"/>
      <c r="L959" s="1743"/>
      <c r="M959" s="1743"/>
      <c r="N959" s="1743"/>
      <c r="O959" s="1743"/>
      <c r="P959" s="1743"/>
      <c r="Q959" s="1743"/>
      <c r="R959" s="1743"/>
      <c r="S959" s="1743"/>
      <c r="T959" s="1743"/>
      <c r="U959" s="1743"/>
      <c r="V959" s="1743"/>
      <c r="W959" s="1743"/>
      <c r="X959" s="1743"/>
      <c r="Y959" s="1743"/>
      <c r="Z959" s="1743"/>
      <c r="AA959" s="1743"/>
      <c r="AB959" s="1743"/>
      <c r="AC959" s="1743"/>
      <c r="AD959" s="1743"/>
      <c r="AE959" s="1744"/>
      <c r="AF959" s="124"/>
      <c r="AG959" s="125"/>
      <c r="AH959" s="125"/>
      <c r="AI959" s="129"/>
      <c r="AJ959" s="1934"/>
      <c r="AK959" s="1935"/>
      <c r="AL959" s="1935"/>
      <c r="AM959" s="1935"/>
      <c r="AN959" s="1935"/>
      <c r="AO959" s="1935"/>
      <c r="AP959" s="1935"/>
      <c r="AQ959" s="193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7"/>
      <c r="C960" s="1421"/>
      <c r="D960" s="1742"/>
      <c r="E960" s="1743"/>
      <c r="F960" s="1743"/>
      <c r="G960" s="1743"/>
      <c r="H960" s="1743"/>
      <c r="I960" s="1743"/>
      <c r="J960" s="1743"/>
      <c r="K960" s="1743"/>
      <c r="L960" s="1743"/>
      <c r="M960" s="1743"/>
      <c r="N960" s="1743"/>
      <c r="O960" s="1743"/>
      <c r="P960" s="1743"/>
      <c r="Q960" s="1743"/>
      <c r="R960" s="1743"/>
      <c r="S960" s="1743"/>
      <c r="T960" s="1743"/>
      <c r="U960" s="1743"/>
      <c r="V960" s="1743"/>
      <c r="W960" s="1743"/>
      <c r="X960" s="1743"/>
      <c r="Y960" s="1743"/>
      <c r="Z960" s="1743"/>
      <c r="AA960" s="1743"/>
      <c r="AB960" s="1743"/>
      <c r="AC960" s="1743"/>
      <c r="AD960" s="1743"/>
      <c r="AE960" s="1744"/>
      <c r="AF960" s="124"/>
      <c r="AG960" s="125"/>
      <c r="AH960" s="125"/>
      <c r="AI960" s="129"/>
      <c r="AJ960" s="1934"/>
      <c r="AK960" s="1935"/>
      <c r="AL960" s="1935"/>
      <c r="AM960" s="1935"/>
      <c r="AN960" s="1935"/>
      <c r="AO960" s="1935"/>
      <c r="AP960" s="1935"/>
      <c r="AQ960" s="193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7"/>
      <c r="C961" s="1421"/>
      <c r="D961" s="1742"/>
      <c r="E961" s="1743"/>
      <c r="F961" s="1743"/>
      <c r="G961" s="1743"/>
      <c r="H961" s="1743"/>
      <c r="I961" s="1743"/>
      <c r="J961" s="1743"/>
      <c r="K961" s="1743"/>
      <c r="L961" s="1743"/>
      <c r="M961" s="1743"/>
      <c r="N961" s="1743"/>
      <c r="O961" s="1743"/>
      <c r="P961" s="1743"/>
      <c r="Q961" s="1743"/>
      <c r="R961" s="1743"/>
      <c r="S961" s="1743"/>
      <c r="T961" s="1743"/>
      <c r="U961" s="1743"/>
      <c r="V961" s="1743"/>
      <c r="W961" s="1743"/>
      <c r="X961" s="1743"/>
      <c r="Y961" s="1743"/>
      <c r="Z961" s="1743"/>
      <c r="AA961" s="1743"/>
      <c r="AB961" s="1743"/>
      <c r="AC961" s="1743"/>
      <c r="AD961" s="1743"/>
      <c r="AE961" s="1744"/>
      <c r="AF961" s="124"/>
      <c r="AG961" s="125"/>
      <c r="AH961" s="125"/>
      <c r="AI961" s="129"/>
      <c r="AJ961" s="1934"/>
      <c r="AK961" s="1935"/>
      <c r="AL961" s="1935"/>
      <c r="AM961" s="1935"/>
      <c r="AN961" s="1935"/>
      <c r="AO961" s="1935"/>
      <c r="AP961" s="1935"/>
      <c r="AQ961" s="193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7"/>
      <c r="C962" s="1421"/>
      <c r="D962" s="1742"/>
      <c r="E962" s="1743"/>
      <c r="F962" s="1743"/>
      <c r="G962" s="1743"/>
      <c r="H962" s="1743"/>
      <c r="I962" s="1743"/>
      <c r="J962" s="1743"/>
      <c r="K962" s="1743"/>
      <c r="L962" s="1743"/>
      <c r="M962" s="1743"/>
      <c r="N962" s="1743"/>
      <c r="O962" s="1743"/>
      <c r="P962" s="1743"/>
      <c r="Q962" s="1743"/>
      <c r="R962" s="1743"/>
      <c r="S962" s="1743"/>
      <c r="T962" s="1743"/>
      <c r="U962" s="1743"/>
      <c r="V962" s="1743"/>
      <c r="W962" s="1743"/>
      <c r="X962" s="1743"/>
      <c r="Y962" s="1743"/>
      <c r="Z962" s="1743"/>
      <c r="AA962" s="1743"/>
      <c r="AB962" s="1743"/>
      <c r="AC962" s="1743"/>
      <c r="AD962" s="1743"/>
      <c r="AE962" s="1744"/>
      <c r="AF962" s="124"/>
      <c r="AG962" s="125"/>
      <c r="AH962" s="125"/>
      <c r="AI962" s="129"/>
      <c r="AJ962" s="1934"/>
      <c r="AK962" s="1935"/>
      <c r="AL962" s="1935"/>
      <c r="AM962" s="1935"/>
      <c r="AN962" s="1935"/>
      <c r="AO962" s="1935"/>
      <c r="AP962" s="1935"/>
      <c r="AQ962" s="193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2"/>
      <c r="C963" s="1423"/>
      <c r="D963" s="1745"/>
      <c r="E963" s="1746"/>
      <c r="F963" s="1746"/>
      <c r="G963" s="1746"/>
      <c r="H963" s="1746"/>
      <c r="I963" s="1746"/>
      <c r="J963" s="1746"/>
      <c r="K963" s="1746"/>
      <c r="L963" s="1746"/>
      <c r="M963" s="1746"/>
      <c r="N963" s="1746"/>
      <c r="O963" s="1746"/>
      <c r="P963" s="1746"/>
      <c r="Q963" s="1746"/>
      <c r="R963" s="1746"/>
      <c r="S963" s="1746"/>
      <c r="T963" s="1746"/>
      <c r="U963" s="1746"/>
      <c r="V963" s="1746"/>
      <c r="W963" s="1746"/>
      <c r="X963" s="1746"/>
      <c r="Y963" s="1746"/>
      <c r="Z963" s="1746"/>
      <c r="AA963" s="1746"/>
      <c r="AB963" s="1746"/>
      <c r="AC963" s="1746"/>
      <c r="AD963" s="1746"/>
      <c r="AE963" s="1747"/>
      <c r="AF963" s="126"/>
      <c r="AG963" s="15"/>
      <c r="AH963" s="15"/>
      <c r="AI963" s="127"/>
      <c r="AJ963" s="1931"/>
      <c r="AK963" s="1932"/>
      <c r="AL963" s="1932"/>
      <c r="AM963" s="1932"/>
      <c r="AN963" s="1932"/>
      <c r="AO963" s="1932"/>
      <c r="AP963" s="1932"/>
      <c r="AQ963" s="19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9"/>
      <c r="C964" s="858" t="s">
        <v>530</v>
      </c>
      <c r="D964" s="1923" t="s">
        <v>2216</v>
      </c>
      <c r="E964" s="1924"/>
      <c r="F964" s="1924"/>
      <c r="G964" s="1924"/>
      <c r="H964" s="1924"/>
      <c r="I964" s="1924"/>
      <c r="J964" s="1924"/>
      <c r="K964" s="1924"/>
      <c r="L964" s="1924"/>
      <c r="M964" s="1924"/>
      <c r="N964" s="1924"/>
      <c r="O964" s="1924"/>
      <c r="P964" s="1924"/>
      <c r="Q964" s="1924"/>
      <c r="R964" s="1924"/>
      <c r="S964" s="1924"/>
      <c r="T964" s="1924"/>
      <c r="U964" s="1924"/>
      <c r="V964" s="1924"/>
      <c r="W964" s="1924"/>
      <c r="X964" s="1924"/>
      <c r="Y964" s="1924"/>
      <c r="Z964" s="1924"/>
      <c r="AA964" s="1924"/>
      <c r="AB964" s="1924"/>
      <c r="AC964" s="1924"/>
      <c r="AD964" s="1924"/>
      <c r="AE964" s="1925"/>
      <c r="AF964" s="130"/>
      <c r="AG964" s="1926" t="s">
        <v>527</v>
      </c>
      <c r="AH964" s="1927"/>
      <c r="AI964" s="131"/>
      <c r="AJ964" s="1928">
        <f>ROUND(IF(AG964="yes",AJ953*0.1,0),0)</f>
        <v>0</v>
      </c>
      <c r="AK964" s="1929"/>
      <c r="AL964" s="1929"/>
      <c r="AM964" s="1929"/>
      <c r="AN964" s="1929"/>
      <c r="AO964" s="1929"/>
      <c r="AP964" s="1929"/>
      <c r="AQ964" s="193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37" t="s">
        <v>2217</v>
      </c>
      <c r="E965" s="1938"/>
      <c r="F965" s="1938"/>
      <c r="G965" s="1938"/>
      <c r="H965" s="1938"/>
      <c r="I965" s="1938"/>
      <c r="J965" s="1938"/>
      <c r="K965" s="1938"/>
      <c r="L965" s="1938"/>
      <c r="M965" s="1938"/>
      <c r="N965" s="1938"/>
      <c r="O965" s="1938"/>
      <c r="P965" s="1938"/>
      <c r="Q965" s="1938"/>
      <c r="R965" s="1938"/>
      <c r="S965" s="1938"/>
      <c r="T965" s="1938"/>
      <c r="U965" s="1938"/>
      <c r="V965" s="1938"/>
      <c r="W965" s="1938"/>
      <c r="X965" s="1938"/>
      <c r="Y965" s="1938"/>
      <c r="Z965" s="1938"/>
      <c r="AA965" s="1938"/>
      <c r="AB965" s="1938"/>
      <c r="AC965" s="1938"/>
      <c r="AD965" s="1938"/>
      <c r="AE965" s="1939"/>
      <c r="AF965" s="124"/>
      <c r="AG965" s="35"/>
      <c r="AH965" s="35"/>
      <c r="AI965" s="129"/>
      <c r="AJ965" s="1934"/>
      <c r="AK965" s="1935"/>
      <c r="AL965" s="1935"/>
      <c r="AM965" s="1935"/>
      <c r="AN965" s="1935"/>
      <c r="AO965" s="1935"/>
      <c r="AP965" s="1935"/>
      <c r="AQ965" s="193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37"/>
      <c r="E966" s="1938"/>
      <c r="F966" s="1938"/>
      <c r="G966" s="1938"/>
      <c r="H966" s="1938"/>
      <c r="I966" s="1938"/>
      <c r="J966" s="1938"/>
      <c r="K966" s="1938"/>
      <c r="L966" s="1938"/>
      <c r="M966" s="1938"/>
      <c r="N966" s="1938"/>
      <c r="O966" s="1938"/>
      <c r="P966" s="1938"/>
      <c r="Q966" s="1938"/>
      <c r="R966" s="1938"/>
      <c r="S966" s="1938"/>
      <c r="T966" s="1938"/>
      <c r="U966" s="1938"/>
      <c r="V966" s="1938"/>
      <c r="W966" s="1938"/>
      <c r="X966" s="1938"/>
      <c r="Y966" s="1938"/>
      <c r="Z966" s="1938"/>
      <c r="AA966" s="1938"/>
      <c r="AB966" s="1938"/>
      <c r="AC966" s="1938"/>
      <c r="AD966" s="1938"/>
      <c r="AE966" s="1939"/>
      <c r="AF966" s="124"/>
      <c r="AG966" s="125"/>
      <c r="AH966" s="125"/>
      <c r="AI966" s="129"/>
      <c r="AJ966" s="1934"/>
      <c r="AK966" s="1935"/>
      <c r="AL966" s="1935"/>
      <c r="AM966" s="1935"/>
      <c r="AN966" s="1935"/>
      <c r="AO966" s="1935"/>
      <c r="AP966" s="1935"/>
      <c r="AQ966" s="193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4"/>
      <c r="C967" s="1423"/>
      <c r="D967" s="1940"/>
      <c r="E967" s="1941"/>
      <c r="F967" s="1941"/>
      <c r="G967" s="1941"/>
      <c r="H967" s="1941"/>
      <c r="I967" s="1941"/>
      <c r="J967" s="1941"/>
      <c r="K967" s="1941"/>
      <c r="L967" s="1941"/>
      <c r="M967" s="1941"/>
      <c r="N967" s="1941"/>
      <c r="O967" s="1941"/>
      <c r="P967" s="1941"/>
      <c r="Q967" s="1941"/>
      <c r="R967" s="1941"/>
      <c r="S967" s="1941"/>
      <c r="T967" s="1941"/>
      <c r="U967" s="1941"/>
      <c r="V967" s="1941"/>
      <c r="W967" s="1941"/>
      <c r="X967" s="1941"/>
      <c r="Y967" s="1941"/>
      <c r="Z967" s="1941"/>
      <c r="AA967" s="1941"/>
      <c r="AB967" s="1941"/>
      <c r="AC967" s="1941"/>
      <c r="AD967" s="1941"/>
      <c r="AE967" s="1942"/>
      <c r="AF967" s="126"/>
      <c r="AG967" s="15"/>
      <c r="AH967" s="15"/>
      <c r="AI967" s="127"/>
      <c r="AJ967" s="1931"/>
      <c r="AK967" s="1932"/>
      <c r="AL967" s="1932"/>
      <c r="AM967" s="1932"/>
      <c r="AN967" s="1932"/>
      <c r="AO967" s="1932"/>
      <c r="AP967" s="1932"/>
      <c r="AQ967" s="19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23" t="s">
        <v>2089</v>
      </c>
      <c r="E968" s="1924"/>
      <c r="F968" s="1924"/>
      <c r="G968" s="1924"/>
      <c r="H968" s="1924"/>
      <c r="I968" s="1924"/>
      <c r="J968" s="1924"/>
      <c r="K968" s="1924"/>
      <c r="L968" s="1924"/>
      <c r="M968" s="1924"/>
      <c r="N968" s="1924"/>
      <c r="O968" s="1924"/>
      <c r="P968" s="1924"/>
      <c r="Q968" s="1924"/>
      <c r="R968" s="1924"/>
      <c r="S968" s="1924"/>
      <c r="T968" s="1924"/>
      <c r="U968" s="1924"/>
      <c r="V968" s="1924"/>
      <c r="W968" s="1924"/>
      <c r="X968" s="1924"/>
      <c r="Y968" s="1924"/>
      <c r="Z968" s="1924"/>
      <c r="AA968" s="1924"/>
      <c r="AB968" s="1924"/>
      <c r="AC968" s="1924"/>
      <c r="AD968" s="1924"/>
      <c r="AE968" s="1925"/>
      <c r="AF968" s="128"/>
      <c r="AG968" s="1926" t="s">
        <v>527</v>
      </c>
      <c r="AH968" s="1927"/>
      <c r="AI968" s="131"/>
      <c r="AJ968" s="1928">
        <f>ROUND(IF(AG968="yes",AJ953*0.02,0),0)</f>
        <v>0</v>
      </c>
      <c r="AK968" s="1929"/>
      <c r="AL968" s="1929"/>
      <c r="AM968" s="1929"/>
      <c r="AN968" s="1929"/>
      <c r="AO968" s="1929"/>
      <c r="AP968" s="1929"/>
      <c r="AQ968" s="193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40" t="s">
        <v>2090</v>
      </c>
      <c r="E969" s="1941"/>
      <c r="F969" s="1941"/>
      <c r="G969" s="1941"/>
      <c r="H969" s="1941"/>
      <c r="I969" s="1941"/>
      <c r="J969" s="1941"/>
      <c r="K969" s="1941"/>
      <c r="L969" s="1941"/>
      <c r="M969" s="1941"/>
      <c r="N969" s="1941"/>
      <c r="O969" s="1941"/>
      <c r="P969" s="1941"/>
      <c r="Q969" s="1941"/>
      <c r="R969" s="1941"/>
      <c r="S969" s="1941"/>
      <c r="T969" s="1941"/>
      <c r="U969" s="1941"/>
      <c r="V969" s="1941"/>
      <c r="W969" s="1941"/>
      <c r="X969" s="1941"/>
      <c r="Y969" s="1941"/>
      <c r="Z969" s="1941"/>
      <c r="AA969" s="1941"/>
      <c r="AB969" s="1941"/>
      <c r="AC969" s="1941"/>
      <c r="AD969" s="1941"/>
      <c r="AE969" s="1942"/>
      <c r="AF969" s="126"/>
      <c r="AG969" s="15"/>
      <c r="AH969" s="15"/>
      <c r="AI969" s="127"/>
      <c r="AJ969" s="1931"/>
      <c r="AK969" s="1932"/>
      <c r="AL969" s="1932"/>
      <c r="AM969" s="1932"/>
      <c r="AN969" s="1932"/>
      <c r="AO969" s="1932"/>
      <c r="AP969" s="1932"/>
      <c r="AQ969" s="19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23" t="s">
        <v>2091</v>
      </c>
      <c r="E970" s="1924"/>
      <c r="F970" s="1924"/>
      <c r="G970" s="1924"/>
      <c r="H970" s="1924"/>
      <c r="I970" s="1924"/>
      <c r="J970" s="1924"/>
      <c r="K970" s="1924"/>
      <c r="L970" s="1924"/>
      <c r="M970" s="1924"/>
      <c r="N970" s="1924"/>
      <c r="O970" s="1924"/>
      <c r="P970" s="1924"/>
      <c r="Q970" s="1924"/>
      <c r="R970" s="1924"/>
      <c r="S970" s="1924"/>
      <c r="T970" s="1924"/>
      <c r="U970" s="1924"/>
      <c r="V970" s="1924"/>
      <c r="W970" s="1924"/>
      <c r="X970" s="1924"/>
      <c r="Y970" s="1924"/>
      <c r="Z970" s="1924"/>
      <c r="AA970" s="1924"/>
      <c r="AB970" s="1924"/>
      <c r="AC970" s="1924"/>
      <c r="AD970" s="1924"/>
      <c r="AE970" s="1925"/>
      <c r="AF970" s="128"/>
      <c r="AG970" s="1926" t="s">
        <v>527</v>
      </c>
      <c r="AH970" s="1927"/>
      <c r="AI970" s="128"/>
      <c r="AJ970" s="1928">
        <f>ROUND(IF(AG970="yes",AJ953*0.02,0),0)</f>
        <v>0</v>
      </c>
      <c r="AK970" s="1929"/>
      <c r="AL970" s="1929"/>
      <c r="AM970" s="1929"/>
      <c r="AN970" s="1929"/>
      <c r="AO970" s="1929"/>
      <c r="AP970" s="1929"/>
      <c r="AQ970" s="193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37" t="s">
        <v>2092</v>
      </c>
      <c r="E971" s="1938"/>
      <c r="F971" s="1938"/>
      <c r="G971" s="1938"/>
      <c r="H971" s="1938"/>
      <c r="I971" s="1938"/>
      <c r="J971" s="1938"/>
      <c r="K971" s="1938"/>
      <c r="L971" s="1938"/>
      <c r="M971" s="1938"/>
      <c r="N971" s="1938"/>
      <c r="O971" s="1938"/>
      <c r="P971" s="1938"/>
      <c r="Q971" s="1938"/>
      <c r="R971" s="1938"/>
      <c r="S971" s="1938"/>
      <c r="T971" s="1938"/>
      <c r="U971" s="1938"/>
      <c r="V971" s="1938"/>
      <c r="W971" s="1938"/>
      <c r="X971" s="1938"/>
      <c r="Y971" s="1938"/>
      <c r="Z971" s="1938"/>
      <c r="AA971" s="1938"/>
      <c r="AB971" s="1938"/>
      <c r="AC971" s="1938"/>
      <c r="AD971" s="1938"/>
      <c r="AE971" s="1939"/>
      <c r="AF971" s="124"/>
      <c r="AG971" s="35"/>
      <c r="AH971" s="35"/>
      <c r="AI971" s="125"/>
      <c r="AJ971" s="1934"/>
      <c r="AK971" s="1935"/>
      <c r="AL971" s="1935"/>
      <c r="AM971" s="1935"/>
      <c r="AN971" s="1935"/>
      <c r="AO971" s="1935"/>
      <c r="AP971" s="1935"/>
      <c r="AQ971" s="193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2"/>
      <c r="C972" s="1423"/>
      <c r="D972" s="1940"/>
      <c r="E972" s="1941"/>
      <c r="F972" s="1941"/>
      <c r="G972" s="1941"/>
      <c r="H972" s="1941"/>
      <c r="I972" s="1941"/>
      <c r="J972" s="1941"/>
      <c r="K972" s="1941"/>
      <c r="L972" s="1941"/>
      <c r="M972" s="1941"/>
      <c r="N972" s="1941"/>
      <c r="O972" s="1941"/>
      <c r="P972" s="1941"/>
      <c r="Q972" s="1941"/>
      <c r="R972" s="1941"/>
      <c r="S972" s="1941"/>
      <c r="T972" s="1941"/>
      <c r="U972" s="1941"/>
      <c r="V972" s="1941"/>
      <c r="W972" s="1941"/>
      <c r="X972" s="1941"/>
      <c r="Y972" s="1941"/>
      <c r="Z972" s="1941"/>
      <c r="AA972" s="1941"/>
      <c r="AB972" s="1941"/>
      <c r="AC972" s="1941"/>
      <c r="AD972" s="1941"/>
      <c r="AE972" s="1942"/>
      <c r="AF972" s="126"/>
      <c r="AG972" s="15"/>
      <c r="AH972" s="15"/>
      <c r="AI972" s="127"/>
      <c r="AJ972" s="1931"/>
      <c r="AK972" s="1932"/>
      <c r="AL972" s="1932"/>
      <c r="AM972" s="1932"/>
      <c r="AN972" s="1932"/>
      <c r="AO972" s="1932"/>
      <c r="AP972" s="1932"/>
      <c r="AQ972" s="19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51" t="s">
        <v>2093</v>
      </c>
      <c r="E973" s="1952"/>
      <c r="F973" s="1952"/>
      <c r="G973" s="1952"/>
      <c r="H973" s="1952"/>
      <c r="I973" s="1952"/>
      <c r="J973" s="1952"/>
      <c r="K973" s="1952"/>
      <c r="L973" s="1952"/>
      <c r="M973" s="1952"/>
      <c r="N973" s="1952"/>
      <c r="O973" s="1952"/>
      <c r="P973" s="1952"/>
      <c r="Q973" s="1952"/>
      <c r="R973" s="1952"/>
      <c r="S973" s="1952"/>
      <c r="T973" s="1952"/>
      <c r="U973" s="1952"/>
      <c r="V973" s="1952"/>
      <c r="W973" s="1952"/>
      <c r="X973" s="1952"/>
      <c r="Y973" s="1952"/>
      <c r="Z973" s="1952"/>
      <c r="AA973" s="1952"/>
      <c r="AB973" s="1952"/>
      <c r="AC973" s="1952"/>
      <c r="AD973" s="1952"/>
      <c r="AE973" s="1953"/>
      <c r="AF973" s="128"/>
      <c r="AG973" s="1926" t="s">
        <v>118</v>
      </c>
      <c r="AH973" s="1927"/>
      <c r="AI973" s="131"/>
      <c r="AJ973" s="1928">
        <f>IF(AG973="yes",AJ953*AY932,0)</f>
        <v>467996.4</v>
      </c>
      <c r="AK973" s="1929"/>
      <c r="AL973" s="1929"/>
      <c r="AM973" s="1929"/>
      <c r="AN973" s="1929"/>
      <c r="AO973" s="1929"/>
      <c r="AP973" s="1929"/>
      <c r="AQ973" s="193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37" t="s">
        <v>2218</v>
      </c>
      <c r="E974" s="1938"/>
      <c r="F974" s="1938"/>
      <c r="G974" s="1938"/>
      <c r="H974" s="1938"/>
      <c r="I974" s="1938"/>
      <c r="J974" s="1938"/>
      <c r="K974" s="1938"/>
      <c r="L974" s="1938"/>
      <c r="M974" s="1938"/>
      <c r="N974" s="1938"/>
      <c r="O974" s="1938"/>
      <c r="P974" s="1938"/>
      <c r="Q974" s="1938"/>
      <c r="R974" s="1938"/>
      <c r="S974" s="1938"/>
      <c r="T974" s="1938"/>
      <c r="U974" s="1938"/>
      <c r="V974" s="1938"/>
      <c r="W974" s="1938"/>
      <c r="X974" s="1938"/>
      <c r="Y974" s="1938"/>
      <c r="Z974" s="1938"/>
      <c r="AA974" s="1938"/>
      <c r="AB974" s="1938"/>
      <c r="AC974" s="1938"/>
      <c r="AD974" s="1938"/>
      <c r="AE974" s="1939"/>
      <c r="AF974" s="124"/>
      <c r="AG974" s="125"/>
      <c r="AH974" s="125"/>
      <c r="AI974" s="129"/>
      <c r="AJ974" s="1934"/>
      <c r="AK974" s="1935"/>
      <c r="AL974" s="1935"/>
      <c r="AM974" s="1935"/>
      <c r="AN974" s="1935"/>
      <c r="AO974" s="1935"/>
      <c r="AP974" s="1935"/>
      <c r="AQ974" s="193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37"/>
      <c r="E975" s="1938"/>
      <c r="F975" s="1938"/>
      <c r="G975" s="1938"/>
      <c r="H975" s="1938"/>
      <c r="I975" s="1938"/>
      <c r="J975" s="1938"/>
      <c r="K975" s="1938"/>
      <c r="L975" s="1938"/>
      <c r="M975" s="1938"/>
      <c r="N975" s="1938"/>
      <c r="O975" s="1938"/>
      <c r="P975" s="1938"/>
      <c r="Q975" s="1938"/>
      <c r="R975" s="1938"/>
      <c r="S975" s="1938"/>
      <c r="T975" s="1938"/>
      <c r="U975" s="1938"/>
      <c r="V975" s="1938"/>
      <c r="W975" s="1938"/>
      <c r="X975" s="1938"/>
      <c r="Y975" s="1938"/>
      <c r="Z975" s="1938"/>
      <c r="AA975" s="1938"/>
      <c r="AB975" s="1938"/>
      <c r="AC975" s="1938"/>
      <c r="AD975" s="1938"/>
      <c r="AE975" s="1939"/>
      <c r="AF975" s="124"/>
      <c r="AG975" s="125"/>
      <c r="AH975" s="125"/>
      <c r="AI975" s="129"/>
      <c r="AJ975" s="1934"/>
      <c r="AK975" s="1935"/>
      <c r="AL975" s="1935"/>
      <c r="AM975" s="1935"/>
      <c r="AN975" s="1935"/>
      <c r="AO975" s="1935"/>
      <c r="AP975" s="1935"/>
      <c r="AQ975" s="193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5"/>
      <c r="C976" s="1421"/>
      <c r="D976" s="1940"/>
      <c r="E976" s="1941"/>
      <c r="F976" s="1941"/>
      <c r="G976" s="1941"/>
      <c r="H976" s="1941"/>
      <c r="I976" s="1941"/>
      <c r="J976" s="1941"/>
      <c r="K976" s="1941"/>
      <c r="L976" s="1941"/>
      <c r="M976" s="1941"/>
      <c r="N976" s="1941"/>
      <c r="O976" s="1941"/>
      <c r="P976" s="1941"/>
      <c r="Q976" s="1941"/>
      <c r="R976" s="1941"/>
      <c r="S976" s="1941"/>
      <c r="T976" s="1941"/>
      <c r="U976" s="1941"/>
      <c r="V976" s="1941"/>
      <c r="W976" s="1941"/>
      <c r="X976" s="1941"/>
      <c r="Y976" s="1941"/>
      <c r="Z976" s="1941"/>
      <c r="AA976" s="1941"/>
      <c r="AB976" s="1941"/>
      <c r="AC976" s="1941"/>
      <c r="AD976" s="1941"/>
      <c r="AE976" s="1942"/>
      <c r="AF976" s="126"/>
      <c r="AG976" s="15"/>
      <c r="AH976" s="15"/>
      <c r="AI976" s="127"/>
      <c r="AJ976" s="1931"/>
      <c r="AK976" s="1932"/>
      <c r="AL976" s="1932"/>
      <c r="AM976" s="1932"/>
      <c r="AN976" s="1932"/>
      <c r="AO976" s="1932"/>
      <c r="AP976" s="1932"/>
      <c r="AQ976" s="19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80" t="s">
        <v>2094</v>
      </c>
      <c r="E977" s="2181"/>
      <c r="F977" s="2181"/>
      <c r="G977" s="2181"/>
      <c r="H977" s="2181"/>
      <c r="I977" s="2181"/>
      <c r="J977" s="2181"/>
      <c r="K977" s="2181"/>
      <c r="L977" s="2181"/>
      <c r="M977" s="2181"/>
      <c r="N977" s="2181"/>
      <c r="O977" s="2181"/>
      <c r="P977" s="2181"/>
      <c r="Q977" s="2181"/>
      <c r="R977" s="2181"/>
      <c r="S977" s="2181"/>
      <c r="T977" s="2181"/>
      <c r="U977" s="2181"/>
      <c r="V977" s="2181"/>
      <c r="W977" s="2181"/>
      <c r="X977" s="2181"/>
      <c r="Y977" s="2181"/>
      <c r="Z977" s="2181"/>
      <c r="AA977" s="2181"/>
      <c r="AB977" s="2181"/>
      <c r="AC977" s="2181"/>
      <c r="AD977" s="2181"/>
      <c r="AE977" s="2182"/>
      <c r="AF977" s="128"/>
      <c r="AG977" s="1926" t="s">
        <v>527</v>
      </c>
      <c r="AH977" s="1927"/>
      <c r="AI977" s="131"/>
      <c r="AJ977" s="1928">
        <f>ROUND(IF(AG977="Yes",AF980,0),0)</f>
        <v>0</v>
      </c>
      <c r="AK977" s="1929"/>
      <c r="AL977" s="1929"/>
      <c r="AM977" s="1929"/>
      <c r="AN977" s="1929"/>
      <c r="AO977" s="1929"/>
      <c r="AP977" s="1929"/>
      <c r="AQ977" s="193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5"/>
      <c r="C978" s="1426"/>
      <c r="D978" s="2183"/>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715">
        <f>IF(AG977="yes","Please Select Type and Enter Amount:",0)</f>
        <v>0</v>
      </c>
      <c r="AG978" s="1716"/>
      <c r="AH978" s="1716"/>
      <c r="AI978" s="1717"/>
      <c r="AJ978" s="1934"/>
      <c r="AK978" s="1935"/>
      <c r="AL978" s="1935"/>
      <c r="AM978" s="1935"/>
      <c r="AN978" s="1935"/>
      <c r="AO978" s="1935"/>
      <c r="AP978" s="1935"/>
      <c r="AQ978" s="193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5"/>
      <c r="C979" s="1426"/>
      <c r="D979" s="1937" t="s">
        <v>2095</v>
      </c>
      <c r="E979" s="1938"/>
      <c r="F979" s="1938"/>
      <c r="G979" s="1938"/>
      <c r="H979" s="1938"/>
      <c r="I979" s="1938"/>
      <c r="J979" s="1938"/>
      <c r="K979" s="1938"/>
      <c r="L979" s="1938"/>
      <c r="M979" s="1938"/>
      <c r="N979" s="1938"/>
      <c r="O979" s="1938"/>
      <c r="P979" s="1938"/>
      <c r="Q979" s="1938"/>
      <c r="R979" s="1938"/>
      <c r="S979" s="1938"/>
      <c r="T979" s="1938"/>
      <c r="U979" s="1938"/>
      <c r="V979" s="1938"/>
      <c r="W979" s="1938"/>
      <c r="X979" s="1938"/>
      <c r="Y979" s="1938"/>
      <c r="Z979" s="1938"/>
      <c r="AA979" s="1938"/>
      <c r="AB979" s="1938"/>
      <c r="AC979" s="1938"/>
      <c r="AD979" s="1938"/>
      <c r="AE979" s="1939"/>
      <c r="AF979" s="1715"/>
      <c r="AG979" s="1716"/>
      <c r="AH979" s="1716"/>
      <c r="AI979" s="1717"/>
      <c r="AJ979" s="1934"/>
      <c r="AK979" s="1935"/>
      <c r="AL979" s="1935"/>
      <c r="AM979" s="1935"/>
      <c r="AN979" s="1935"/>
      <c r="AO979" s="1935"/>
      <c r="AP979" s="1935"/>
      <c r="AQ979" s="193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5"/>
      <c r="C980" s="1426"/>
      <c r="D980" s="1937"/>
      <c r="E980" s="1938"/>
      <c r="F980" s="1938"/>
      <c r="G980" s="1938"/>
      <c r="H980" s="1938"/>
      <c r="I980" s="1938"/>
      <c r="J980" s="1938"/>
      <c r="K980" s="1938"/>
      <c r="L980" s="1938"/>
      <c r="M980" s="1938"/>
      <c r="N980" s="1938"/>
      <c r="O980" s="1938"/>
      <c r="P980" s="1938"/>
      <c r="Q980" s="1938"/>
      <c r="R980" s="1938"/>
      <c r="S980" s="1938"/>
      <c r="T980" s="1938"/>
      <c r="U980" s="1938"/>
      <c r="V980" s="1938"/>
      <c r="W980" s="1938"/>
      <c r="X980" s="1938"/>
      <c r="Y980" s="1938"/>
      <c r="Z980" s="1938"/>
      <c r="AA980" s="1938"/>
      <c r="AB980" s="1938"/>
      <c r="AC980" s="1938"/>
      <c r="AD980" s="1938"/>
      <c r="AE980" s="1939"/>
      <c r="AF980" s="1718"/>
      <c r="AG980" s="1718"/>
      <c r="AH980" s="1718"/>
      <c r="AI980" s="1718"/>
      <c r="AJ980" s="1934"/>
      <c r="AK980" s="1935"/>
      <c r="AL980" s="1935"/>
      <c r="AM980" s="1935"/>
      <c r="AN980" s="1935"/>
      <c r="AO980" s="1935"/>
      <c r="AP980" s="1935"/>
      <c r="AQ980" s="193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5"/>
      <c r="C981" s="1426"/>
      <c r="D981" s="1427" t="s">
        <v>960</v>
      </c>
      <c r="E981" s="141"/>
      <c r="F981" s="141"/>
      <c r="G981" s="624"/>
      <c r="H981" s="624"/>
      <c r="I981" s="95"/>
      <c r="J981" s="2186" t="s">
        <v>134</v>
      </c>
      <c r="K981" s="2187"/>
      <c r="L981" s="2187"/>
      <c r="M981" s="2187"/>
      <c r="N981" s="2187"/>
      <c r="O981" s="2187"/>
      <c r="P981" s="2187"/>
      <c r="Q981" s="2187"/>
      <c r="R981" s="2187"/>
      <c r="S981" s="2187"/>
      <c r="T981" s="2187"/>
      <c r="U981" s="2187"/>
      <c r="V981" s="2187"/>
      <c r="W981" s="2187"/>
      <c r="X981" s="2187"/>
      <c r="Y981" s="2187"/>
      <c r="Z981" s="2187"/>
      <c r="AA981" s="2187"/>
      <c r="AB981" s="2187"/>
      <c r="AC981" s="2187"/>
      <c r="AD981" s="2187"/>
      <c r="AE981" s="2188"/>
      <c r="AF981" s="1718"/>
      <c r="AG981" s="1718"/>
      <c r="AH981" s="1718"/>
      <c r="AI981" s="1718"/>
      <c r="AJ981" s="1931"/>
      <c r="AK981" s="1932"/>
      <c r="AL981" s="1932"/>
      <c r="AM981" s="1932"/>
      <c r="AN981" s="1932"/>
      <c r="AO981" s="1932"/>
      <c r="AP981" s="1932"/>
      <c r="AQ981" s="193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23" t="s">
        <v>2096</v>
      </c>
      <c r="E982" s="1924"/>
      <c r="F982" s="1924"/>
      <c r="G982" s="1924"/>
      <c r="H982" s="1924"/>
      <c r="I982" s="1924"/>
      <c r="J982" s="1924"/>
      <c r="K982" s="1924"/>
      <c r="L982" s="1924"/>
      <c r="M982" s="1924"/>
      <c r="N982" s="1924"/>
      <c r="O982" s="1924"/>
      <c r="P982" s="1924"/>
      <c r="Q982" s="1924"/>
      <c r="R982" s="1924"/>
      <c r="S982" s="1924"/>
      <c r="T982" s="1924"/>
      <c r="U982" s="1924"/>
      <c r="V982" s="1924"/>
      <c r="W982" s="1924"/>
      <c r="X982" s="1924"/>
      <c r="Y982" s="1924"/>
      <c r="Z982" s="1924"/>
      <c r="AA982" s="1924"/>
      <c r="AB982" s="1924"/>
      <c r="AC982" s="1924"/>
      <c r="AD982" s="1924"/>
      <c r="AE982" s="1925"/>
      <c r="AF982" s="128"/>
      <c r="AG982" s="1926" t="s">
        <v>118</v>
      </c>
      <c r="AH982" s="1927"/>
      <c r="AI982" s="131"/>
      <c r="AJ982" s="1928">
        <f>ROUND(IF(AG982="Yes",AF984,0),0)</f>
        <v>310122</v>
      </c>
      <c r="AK982" s="1929"/>
      <c r="AL982" s="1929"/>
      <c r="AM982" s="1929"/>
      <c r="AN982" s="1929"/>
      <c r="AO982" s="1929"/>
      <c r="AP982" s="1929"/>
      <c r="AQ982" s="193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37" t="s">
        <v>2219</v>
      </c>
      <c r="E983" s="1938"/>
      <c r="F983" s="1938"/>
      <c r="G983" s="1938"/>
      <c r="H983" s="1938"/>
      <c r="I983" s="1938"/>
      <c r="J983" s="1938"/>
      <c r="K983" s="1938"/>
      <c r="L983" s="1938"/>
      <c r="M983" s="1938"/>
      <c r="N983" s="1938"/>
      <c r="O983" s="1938"/>
      <c r="P983" s="1938"/>
      <c r="Q983" s="1938"/>
      <c r="R983" s="1938"/>
      <c r="S983" s="1938"/>
      <c r="T983" s="1938"/>
      <c r="U983" s="1938"/>
      <c r="V983" s="1938"/>
      <c r="W983" s="1938"/>
      <c r="X983" s="1938"/>
      <c r="Y983" s="1938"/>
      <c r="Z983" s="1938"/>
      <c r="AA983" s="1938"/>
      <c r="AB983" s="1938"/>
      <c r="AC983" s="1938"/>
      <c r="AD983" s="1938"/>
      <c r="AE983" s="1939"/>
      <c r="AF983" s="1719" t="str">
        <f>IF(AG982="yes","Please Enter Amount:",0)</f>
        <v>Please Enter Amount:</v>
      </c>
      <c r="AG983" s="1720"/>
      <c r="AH983" s="1720"/>
      <c r="AI983" s="1721"/>
      <c r="AJ983" s="1934"/>
      <c r="AK983" s="1935"/>
      <c r="AL983" s="1935"/>
      <c r="AM983" s="1935"/>
      <c r="AN983" s="1935"/>
      <c r="AO983" s="1935"/>
      <c r="AP983" s="1935"/>
      <c r="AQ983" s="193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37"/>
      <c r="E984" s="1938"/>
      <c r="F984" s="1938"/>
      <c r="G984" s="1938"/>
      <c r="H984" s="1938"/>
      <c r="I984" s="1938"/>
      <c r="J984" s="1938"/>
      <c r="K984" s="1938"/>
      <c r="L984" s="1938"/>
      <c r="M984" s="1938"/>
      <c r="N984" s="1938"/>
      <c r="O984" s="1938"/>
      <c r="P984" s="1938"/>
      <c r="Q984" s="1938"/>
      <c r="R984" s="1938"/>
      <c r="S984" s="1938"/>
      <c r="T984" s="1938"/>
      <c r="U984" s="1938"/>
      <c r="V984" s="1938"/>
      <c r="W984" s="1938"/>
      <c r="X984" s="1938"/>
      <c r="Y984" s="1938"/>
      <c r="Z984" s="1938"/>
      <c r="AA984" s="1938"/>
      <c r="AB984" s="1938"/>
      <c r="AC984" s="1938"/>
      <c r="AD984" s="1938"/>
      <c r="AE984" s="1939"/>
      <c r="AF984" s="1718">
        <f>'Sources and Uses Budget'!S84</f>
        <v>310121.8</v>
      </c>
      <c r="AG984" s="1718"/>
      <c r="AH984" s="1718"/>
      <c r="AI984" s="1718"/>
      <c r="AJ984" s="1934"/>
      <c r="AK984" s="1935"/>
      <c r="AL984" s="1935"/>
      <c r="AM984" s="1935"/>
      <c r="AN984" s="1935"/>
      <c r="AO984" s="1935"/>
      <c r="AP984" s="1935"/>
      <c r="AQ984" s="193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4"/>
      <c r="C985" s="1426"/>
      <c r="D985" s="1940"/>
      <c r="E985" s="1941"/>
      <c r="F985" s="1941"/>
      <c r="G985" s="1941"/>
      <c r="H985" s="1941"/>
      <c r="I985" s="1941"/>
      <c r="J985" s="1941"/>
      <c r="K985" s="1941"/>
      <c r="L985" s="1941"/>
      <c r="M985" s="1941"/>
      <c r="N985" s="1941"/>
      <c r="O985" s="1941"/>
      <c r="P985" s="1941"/>
      <c r="Q985" s="1941"/>
      <c r="R985" s="1941"/>
      <c r="S985" s="1941"/>
      <c r="T985" s="1941"/>
      <c r="U985" s="1941"/>
      <c r="V985" s="1941"/>
      <c r="W985" s="1941"/>
      <c r="X985" s="1941"/>
      <c r="Y985" s="1941"/>
      <c r="Z985" s="1941"/>
      <c r="AA985" s="1941"/>
      <c r="AB985" s="1941"/>
      <c r="AC985" s="1941"/>
      <c r="AD985" s="1941"/>
      <c r="AE985" s="1942"/>
      <c r="AF985" s="1718"/>
      <c r="AG985" s="1718"/>
      <c r="AH985" s="1718"/>
      <c r="AI985" s="1718"/>
      <c r="AJ985" s="1931"/>
      <c r="AK985" s="1932"/>
      <c r="AL985" s="1932"/>
      <c r="AM985" s="1932"/>
      <c r="AN985" s="1932"/>
      <c r="AO985" s="1932"/>
      <c r="AP985" s="1932"/>
      <c r="AQ985" s="1933"/>
    </row>
    <row r="986" spans="1:97" ht="12.75" customHeight="1">
      <c r="A986" s="65"/>
      <c r="B986" s="128"/>
      <c r="C986" s="858" t="s">
        <v>634</v>
      </c>
      <c r="D986" s="1951" t="s">
        <v>2097</v>
      </c>
      <c r="E986" s="1952"/>
      <c r="F986" s="1952"/>
      <c r="G986" s="1952"/>
      <c r="H986" s="1952"/>
      <c r="I986" s="1952"/>
      <c r="J986" s="1952"/>
      <c r="K986" s="1952"/>
      <c r="L986" s="1952"/>
      <c r="M986" s="1952"/>
      <c r="N986" s="1952"/>
      <c r="O986" s="1952"/>
      <c r="P986" s="1952"/>
      <c r="Q986" s="1952"/>
      <c r="R986" s="1952"/>
      <c r="S986" s="1952"/>
      <c r="T986" s="1952"/>
      <c r="U986" s="1952"/>
      <c r="V986" s="1952"/>
      <c r="W986" s="1952"/>
      <c r="X986" s="1952"/>
      <c r="Y986" s="1952"/>
      <c r="Z986" s="1952"/>
      <c r="AA986" s="1952"/>
      <c r="AB986" s="1952"/>
      <c r="AC986" s="1952"/>
      <c r="AD986" s="1952"/>
      <c r="AE986" s="1953"/>
      <c r="AF986" s="128"/>
      <c r="AG986" s="1926" t="s">
        <v>118</v>
      </c>
      <c r="AH986" s="1927"/>
      <c r="AI986" s="131"/>
      <c r="AJ986" s="1928">
        <f>ROUND(IF(AG986="yes",(AJ953*0.1),0),0)</f>
        <v>2339982</v>
      </c>
      <c r="AK986" s="1929"/>
      <c r="AL986" s="1929"/>
      <c r="AM986" s="1929"/>
      <c r="AN986" s="1929"/>
      <c r="AO986" s="1929"/>
      <c r="AP986" s="1929"/>
      <c r="AQ986" s="1930"/>
    </row>
    <row r="987" spans="1:97" ht="12.75" customHeight="1">
      <c r="A987" s="65"/>
      <c r="B987" s="124"/>
      <c r="C987" s="859"/>
      <c r="D987" s="1937" t="s">
        <v>2098</v>
      </c>
      <c r="E987" s="1938"/>
      <c r="F987" s="1938"/>
      <c r="G987" s="1938"/>
      <c r="H987" s="1938"/>
      <c r="I987" s="1938"/>
      <c r="J987" s="1938"/>
      <c r="K987" s="1938"/>
      <c r="L987" s="1938"/>
      <c r="M987" s="1938"/>
      <c r="N987" s="1938"/>
      <c r="O987" s="1938"/>
      <c r="P987" s="1938"/>
      <c r="Q987" s="1938"/>
      <c r="R987" s="1938"/>
      <c r="S987" s="1938"/>
      <c r="T987" s="1938"/>
      <c r="U987" s="1938"/>
      <c r="V987" s="1938"/>
      <c r="W987" s="1938"/>
      <c r="X987" s="1938"/>
      <c r="Y987" s="1938"/>
      <c r="Z987" s="1938"/>
      <c r="AA987" s="1938"/>
      <c r="AB987" s="1938"/>
      <c r="AC987" s="1938"/>
      <c r="AD987" s="1938"/>
      <c r="AE987" s="1939"/>
      <c r="AF987" s="124"/>
      <c r="AG987" s="125"/>
      <c r="AH987" s="125"/>
      <c r="AI987" s="129"/>
      <c r="AJ987" s="1934"/>
      <c r="AK987" s="1935"/>
      <c r="AL987" s="1935"/>
      <c r="AM987" s="1935"/>
      <c r="AN987" s="1935"/>
      <c r="AO987" s="1935"/>
      <c r="AP987" s="1935"/>
      <c r="AQ987" s="1936"/>
    </row>
    <row r="988" spans="1:97" ht="12.75" customHeight="1">
      <c r="A988" s="857"/>
      <c r="B988" s="126"/>
      <c r="C988" s="859"/>
      <c r="D988" s="1940"/>
      <c r="E988" s="1941"/>
      <c r="F988" s="1941"/>
      <c r="G988" s="1941"/>
      <c r="H988" s="1941"/>
      <c r="I988" s="1941"/>
      <c r="J988" s="1941"/>
      <c r="K988" s="1941"/>
      <c r="L988" s="1941"/>
      <c r="M988" s="1941"/>
      <c r="N988" s="1941"/>
      <c r="O988" s="1941"/>
      <c r="P988" s="1941"/>
      <c r="Q988" s="1941"/>
      <c r="R988" s="1941"/>
      <c r="S988" s="1941"/>
      <c r="T988" s="1941"/>
      <c r="U988" s="1941"/>
      <c r="V988" s="1941"/>
      <c r="W988" s="1941"/>
      <c r="X988" s="1941"/>
      <c r="Y988" s="1941"/>
      <c r="Z988" s="1941"/>
      <c r="AA988" s="1941"/>
      <c r="AB988" s="1941"/>
      <c r="AC988" s="1941"/>
      <c r="AD988" s="1941"/>
      <c r="AE988" s="1942"/>
      <c r="AF988" s="124"/>
      <c r="AG988" s="125"/>
      <c r="AH988" s="125"/>
      <c r="AI988" s="129"/>
      <c r="AJ988" s="1931"/>
      <c r="AK988" s="1932"/>
      <c r="AL988" s="1932"/>
      <c r="AM988" s="1932"/>
      <c r="AN988" s="1932"/>
      <c r="AO988" s="1932"/>
      <c r="AP988" s="1932"/>
      <c r="AQ988" s="1933"/>
    </row>
    <row r="989" spans="1:97" ht="17.649999999999999" customHeight="1">
      <c r="A989" s="857"/>
      <c r="B989" s="124"/>
      <c r="C989" s="858" t="s">
        <v>637</v>
      </c>
      <c r="D989" s="1923" t="s">
        <v>2220</v>
      </c>
      <c r="E989" s="1924"/>
      <c r="F989" s="1924"/>
      <c r="G989" s="1924"/>
      <c r="H989" s="1924"/>
      <c r="I989" s="1924"/>
      <c r="J989" s="1924"/>
      <c r="K989" s="1924"/>
      <c r="L989" s="1924"/>
      <c r="M989" s="1924"/>
      <c r="N989" s="1924"/>
      <c r="O989" s="1924"/>
      <c r="P989" s="1924"/>
      <c r="Q989" s="1924"/>
      <c r="R989" s="1924"/>
      <c r="S989" s="1924"/>
      <c r="T989" s="1924"/>
      <c r="U989" s="1924"/>
      <c r="V989" s="1924"/>
      <c r="W989" s="1924"/>
      <c r="X989" s="1924"/>
      <c r="Y989" s="1924"/>
      <c r="Z989" s="1924"/>
      <c r="AA989" s="1924"/>
      <c r="AB989" s="1924"/>
      <c r="AC989" s="1924"/>
      <c r="AD989" s="1924"/>
      <c r="AE989" s="1925"/>
      <c r="AF989" s="128"/>
      <c r="AG989" s="1926" t="s">
        <v>527</v>
      </c>
      <c r="AH989" s="1927"/>
      <c r="AI989" s="131"/>
      <c r="AJ989" s="1928">
        <f>ROUND(IF(AG989="yes",(AJ953*0.15),0),0)</f>
        <v>0</v>
      </c>
      <c r="AK989" s="1929"/>
      <c r="AL989" s="1929"/>
      <c r="AM989" s="1929"/>
      <c r="AN989" s="1929"/>
      <c r="AO989" s="1929"/>
      <c r="AP989" s="1929"/>
      <c r="AQ989" s="1930"/>
    </row>
    <row r="990" spans="1:97" ht="12.75" customHeight="1">
      <c r="A990" s="857"/>
      <c r="B990" s="124"/>
      <c r="C990" s="859"/>
      <c r="D990" s="2175" t="s">
        <v>2221</v>
      </c>
      <c r="E990" s="1532"/>
      <c r="F990" s="1532"/>
      <c r="G990" s="1532"/>
      <c r="H990" s="1532"/>
      <c r="I990" s="1532"/>
      <c r="J990" s="1532"/>
      <c r="K990" s="1532"/>
      <c r="L990" s="1532"/>
      <c r="M990" s="1532"/>
      <c r="N990" s="1532"/>
      <c r="O990" s="1532"/>
      <c r="P990" s="1532"/>
      <c r="Q990" s="1532"/>
      <c r="R990" s="1532"/>
      <c r="S990" s="1532"/>
      <c r="T990" s="1532"/>
      <c r="U990" s="1532"/>
      <c r="V990" s="1532"/>
      <c r="W990" s="1532"/>
      <c r="X990" s="1532"/>
      <c r="Y990" s="1532"/>
      <c r="Z990" s="1532"/>
      <c r="AA990" s="1532"/>
      <c r="AB990" s="1532"/>
      <c r="AC990" s="1532"/>
      <c r="AD990" s="1532"/>
      <c r="AE990" s="2176"/>
      <c r="AF990" s="1428"/>
      <c r="AG990" s="1429"/>
      <c r="AH990" s="1429"/>
      <c r="AI990" s="1430"/>
      <c r="AJ990" s="1934"/>
      <c r="AK990" s="1935"/>
      <c r="AL990" s="1935"/>
      <c r="AM990" s="1935"/>
      <c r="AN990" s="1935"/>
      <c r="AO990" s="1935"/>
      <c r="AP990" s="1935"/>
      <c r="AQ990" s="193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5"/>
      <c r="E991" s="1532"/>
      <c r="F991" s="1532"/>
      <c r="G991" s="1532"/>
      <c r="H991" s="1532"/>
      <c r="I991" s="1532"/>
      <c r="J991" s="1532"/>
      <c r="K991" s="1532"/>
      <c r="L991" s="1532"/>
      <c r="M991" s="1532"/>
      <c r="N991" s="1532"/>
      <c r="O991" s="1532"/>
      <c r="P991" s="1532"/>
      <c r="Q991" s="1532"/>
      <c r="R991" s="1532"/>
      <c r="S991" s="1532"/>
      <c r="T991" s="1532"/>
      <c r="U991" s="1532"/>
      <c r="V991" s="1532"/>
      <c r="W991" s="1532"/>
      <c r="X991" s="1532"/>
      <c r="Y991" s="1532"/>
      <c r="Z991" s="1532"/>
      <c r="AA991" s="1532"/>
      <c r="AB991" s="1532"/>
      <c r="AC991" s="1532"/>
      <c r="AD991" s="1532"/>
      <c r="AE991" s="2176"/>
      <c r="AF991" s="1428"/>
      <c r="AG991" s="1429"/>
      <c r="AH991" s="1429"/>
      <c r="AI991" s="1430"/>
      <c r="AJ991" s="1934"/>
      <c r="AK991" s="1935"/>
      <c r="AL991" s="1935"/>
      <c r="AM991" s="1935"/>
      <c r="AN991" s="1935"/>
      <c r="AO991" s="1935"/>
      <c r="AP991" s="1935"/>
      <c r="AQ991" s="193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7"/>
      <c r="E992" s="2178"/>
      <c r="F992" s="2178"/>
      <c r="G992" s="2178"/>
      <c r="H992" s="2178"/>
      <c r="I992" s="2178"/>
      <c r="J992" s="2178"/>
      <c r="K992" s="2178"/>
      <c r="L992" s="2178"/>
      <c r="M992" s="2178"/>
      <c r="N992" s="2178"/>
      <c r="O992" s="2178"/>
      <c r="P992" s="2178"/>
      <c r="Q992" s="2178"/>
      <c r="R992" s="2178"/>
      <c r="S992" s="2178"/>
      <c r="T992" s="2178"/>
      <c r="U992" s="2178"/>
      <c r="V992" s="2178"/>
      <c r="W992" s="2178"/>
      <c r="X992" s="2178"/>
      <c r="Y992" s="2178"/>
      <c r="Z992" s="2178"/>
      <c r="AA992" s="2178"/>
      <c r="AB992" s="2178"/>
      <c r="AC992" s="2178"/>
      <c r="AD992" s="2178"/>
      <c r="AE992" s="2179"/>
      <c r="AF992" s="1431"/>
      <c r="AG992" s="1432"/>
      <c r="AH992" s="1432"/>
      <c r="AI992" s="1433"/>
      <c r="AJ992" s="1931"/>
      <c r="AK992" s="1932"/>
      <c r="AL992" s="1932"/>
      <c r="AM992" s="1932"/>
      <c r="AN992" s="1932"/>
      <c r="AO992" s="1932"/>
      <c r="AP992" s="1932"/>
      <c r="AQ992" s="19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51" t="s">
        <v>2222</v>
      </c>
      <c r="E993" s="1952"/>
      <c r="F993" s="1952"/>
      <c r="G993" s="1952"/>
      <c r="H993" s="1952"/>
      <c r="I993" s="1952"/>
      <c r="J993" s="1952"/>
      <c r="K993" s="1952"/>
      <c r="L993" s="1952"/>
      <c r="M993" s="1952"/>
      <c r="N993" s="1952"/>
      <c r="O993" s="1952"/>
      <c r="P993" s="1952"/>
      <c r="Q993" s="1952"/>
      <c r="R993" s="1952"/>
      <c r="S993" s="1952"/>
      <c r="T993" s="1952"/>
      <c r="U993" s="1952"/>
      <c r="V993" s="1952"/>
      <c r="W993" s="1952"/>
      <c r="X993" s="1952"/>
      <c r="Y993" s="1952"/>
      <c r="Z993" s="1952"/>
      <c r="AA993" s="1952"/>
      <c r="AB993" s="1952"/>
      <c r="AC993" s="1952"/>
      <c r="AD993" s="1952"/>
      <c r="AE993" s="1953"/>
      <c r="AF993" s="124"/>
      <c r="AG993" s="2173" t="s">
        <v>527</v>
      </c>
      <c r="AH993" s="2174"/>
      <c r="AI993" s="129"/>
      <c r="AJ993" s="1928">
        <f>ROUND(IF(AG993="yes",(AJ953*0.1),0),0)</f>
        <v>0</v>
      </c>
      <c r="AK993" s="1929"/>
      <c r="AL993" s="1929"/>
      <c r="AM993" s="1929"/>
      <c r="AN993" s="1929"/>
      <c r="AO993" s="1929"/>
      <c r="AP993" s="1929"/>
      <c r="AQ993" s="193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5" t="s">
        <v>2223</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2176"/>
      <c r="AF994" s="124"/>
      <c r="AG994" s="125"/>
      <c r="AH994" s="125"/>
      <c r="AI994" s="129"/>
      <c r="AJ994" s="1934"/>
      <c r="AK994" s="1935"/>
      <c r="AL994" s="1935"/>
      <c r="AM994" s="1935"/>
      <c r="AN994" s="1935"/>
      <c r="AO994" s="1935"/>
      <c r="AP994" s="1935"/>
      <c r="AQ994" s="1936"/>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5"/>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2176"/>
      <c r="AF995" s="124"/>
      <c r="AG995" s="125"/>
      <c r="AH995" s="125"/>
      <c r="AI995" s="129"/>
      <c r="AJ995" s="1934"/>
      <c r="AK995" s="1935"/>
      <c r="AL995" s="1935"/>
      <c r="AM995" s="1935"/>
      <c r="AN995" s="1935"/>
      <c r="AO995" s="1935"/>
      <c r="AP995" s="1935"/>
      <c r="AQ995" s="1936"/>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5"/>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2176"/>
      <c r="AF996" s="124"/>
      <c r="AG996" s="125"/>
      <c r="AH996" s="125"/>
      <c r="AI996" s="129"/>
      <c r="AJ996" s="1934"/>
      <c r="AK996" s="1935"/>
      <c r="AL996" s="1935"/>
      <c r="AM996" s="1935"/>
      <c r="AN996" s="1935"/>
      <c r="AO996" s="1935"/>
      <c r="AP996" s="1935"/>
      <c r="AQ996" s="1936"/>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7"/>
      <c r="E997" s="2178"/>
      <c r="F997" s="2178"/>
      <c r="G997" s="2178"/>
      <c r="H997" s="2178"/>
      <c r="I997" s="2178"/>
      <c r="J997" s="2178"/>
      <c r="K997" s="2178"/>
      <c r="L997" s="2178"/>
      <c r="M997" s="2178"/>
      <c r="N997" s="2178"/>
      <c r="O997" s="2178"/>
      <c r="P997" s="2178"/>
      <c r="Q997" s="2178"/>
      <c r="R997" s="2178"/>
      <c r="S997" s="2178"/>
      <c r="T997" s="2178"/>
      <c r="U997" s="2178"/>
      <c r="V997" s="2178"/>
      <c r="W997" s="2178"/>
      <c r="X997" s="2178"/>
      <c r="Y997" s="2178"/>
      <c r="Z997" s="2178"/>
      <c r="AA997" s="2178"/>
      <c r="AB997" s="2178"/>
      <c r="AC997" s="2178"/>
      <c r="AD997" s="2178"/>
      <c r="AE997" s="2179"/>
      <c r="AF997" s="124"/>
      <c r="AG997" s="125"/>
      <c r="AH997" s="125"/>
      <c r="AI997" s="129"/>
      <c r="AJ997" s="1934"/>
      <c r="AK997" s="1935"/>
      <c r="AL997" s="1935"/>
      <c r="AM997" s="1935"/>
      <c r="AN997" s="1935"/>
      <c r="AO997" s="1935"/>
      <c r="AP997" s="1935"/>
      <c r="AQ997" s="1936"/>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4" t="s">
        <v>2224</v>
      </c>
      <c r="D998" s="1923" t="s">
        <v>2099</v>
      </c>
      <c r="E998" s="1924"/>
      <c r="F998" s="1924"/>
      <c r="G998" s="1924"/>
      <c r="H998" s="1924"/>
      <c r="I998" s="1924"/>
      <c r="J998" s="1924"/>
      <c r="K998" s="1924"/>
      <c r="L998" s="1924"/>
      <c r="M998" s="1924"/>
      <c r="N998" s="1924"/>
      <c r="O998" s="1924"/>
      <c r="P998" s="1924"/>
      <c r="Q998" s="1924"/>
      <c r="R998" s="1924"/>
      <c r="S998" s="1924"/>
      <c r="T998" s="1924"/>
      <c r="U998" s="1924"/>
      <c r="V998" s="1924"/>
      <c r="W998" s="1924"/>
      <c r="X998" s="1924"/>
      <c r="Y998" s="1924"/>
      <c r="Z998" s="1924"/>
      <c r="AA998" s="1924"/>
      <c r="AB998" s="1924"/>
      <c r="AC998" s="1924"/>
      <c r="AD998" s="1924"/>
      <c r="AE998" s="1925"/>
      <c r="AF998" s="128"/>
      <c r="AG998" s="1926" t="s">
        <v>527</v>
      </c>
      <c r="AH998" s="1927"/>
      <c r="AI998" s="131"/>
      <c r="AJ998" s="1928">
        <f>ROUND(IF(AG998="yes",(AJ953*0.1),0),0)</f>
        <v>0</v>
      </c>
      <c r="AK998" s="1929"/>
      <c r="AL998" s="1929"/>
      <c r="AM998" s="1929"/>
      <c r="AN998" s="1929"/>
      <c r="AO998" s="1929"/>
      <c r="AP998" s="1929"/>
      <c r="AQ998" s="193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37" t="s">
        <v>2225</v>
      </c>
      <c r="E999" s="1938"/>
      <c r="F999" s="1938"/>
      <c r="G999" s="1938"/>
      <c r="H999" s="1938"/>
      <c r="I999" s="1938"/>
      <c r="J999" s="1938"/>
      <c r="K999" s="1938"/>
      <c r="L999" s="1938"/>
      <c r="M999" s="1938"/>
      <c r="N999" s="1938"/>
      <c r="O999" s="1938"/>
      <c r="P999" s="1938"/>
      <c r="Q999" s="1938"/>
      <c r="R999" s="1938"/>
      <c r="S999" s="1938"/>
      <c r="T999" s="1938"/>
      <c r="U999" s="1938"/>
      <c r="V999" s="1938"/>
      <c r="W999" s="1938"/>
      <c r="X999" s="1938"/>
      <c r="Y999" s="1938"/>
      <c r="Z999" s="1938"/>
      <c r="AA999" s="1938"/>
      <c r="AB999" s="1938"/>
      <c r="AC999" s="1938"/>
      <c r="AD999" s="1938"/>
      <c r="AE999" s="1939"/>
      <c r="AF999" s="124"/>
      <c r="AG999" s="125"/>
      <c r="AH999" s="125"/>
      <c r="AI999" s="129"/>
      <c r="AJ999" s="1934"/>
      <c r="AK999" s="1935"/>
      <c r="AL999" s="1935"/>
      <c r="AM999" s="1935"/>
      <c r="AN999" s="1935"/>
      <c r="AO999" s="1935"/>
      <c r="AP999" s="1935"/>
      <c r="AQ999" s="1936"/>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37"/>
      <c r="E1000" s="1938"/>
      <c r="F1000" s="1938"/>
      <c r="G1000" s="1938"/>
      <c r="H1000" s="1938"/>
      <c r="I1000" s="1938"/>
      <c r="J1000" s="1938"/>
      <c r="K1000" s="1938"/>
      <c r="L1000" s="1938"/>
      <c r="M1000" s="1938"/>
      <c r="N1000" s="1938"/>
      <c r="O1000" s="1938"/>
      <c r="P1000" s="1938"/>
      <c r="Q1000" s="1938"/>
      <c r="R1000" s="1938"/>
      <c r="S1000" s="1938"/>
      <c r="T1000" s="1938"/>
      <c r="U1000" s="1938"/>
      <c r="V1000" s="1938"/>
      <c r="W1000" s="1938"/>
      <c r="X1000" s="1938"/>
      <c r="Y1000" s="1938"/>
      <c r="Z1000" s="1938"/>
      <c r="AA1000" s="1938"/>
      <c r="AB1000" s="1938"/>
      <c r="AC1000" s="1938"/>
      <c r="AD1000" s="1938"/>
      <c r="AE1000" s="1939"/>
      <c r="AF1000" s="124"/>
      <c r="AG1000" s="125"/>
      <c r="AH1000" s="125"/>
      <c r="AI1000" s="129"/>
      <c r="AJ1000" s="1934"/>
      <c r="AK1000" s="1935"/>
      <c r="AL1000" s="1935"/>
      <c r="AM1000" s="1935"/>
      <c r="AN1000" s="1935"/>
      <c r="AO1000" s="1935"/>
      <c r="AP1000" s="1935"/>
      <c r="AQ1000" s="1936"/>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40"/>
      <c r="E1001" s="1941"/>
      <c r="F1001" s="1941"/>
      <c r="G1001" s="1941"/>
      <c r="H1001" s="1941"/>
      <c r="I1001" s="1941"/>
      <c r="J1001" s="1941"/>
      <c r="K1001" s="1941"/>
      <c r="L1001" s="1941"/>
      <c r="M1001" s="1941"/>
      <c r="N1001" s="1941"/>
      <c r="O1001" s="1941"/>
      <c r="P1001" s="1941"/>
      <c r="Q1001" s="1941"/>
      <c r="R1001" s="1941"/>
      <c r="S1001" s="1941"/>
      <c r="T1001" s="1941"/>
      <c r="U1001" s="1941"/>
      <c r="V1001" s="1941"/>
      <c r="W1001" s="1941"/>
      <c r="X1001" s="1941"/>
      <c r="Y1001" s="1941"/>
      <c r="Z1001" s="1941"/>
      <c r="AA1001" s="1941"/>
      <c r="AB1001" s="1941"/>
      <c r="AC1001" s="1941"/>
      <c r="AD1001" s="1941"/>
      <c r="AE1001" s="1942"/>
      <c r="AF1001" s="124"/>
      <c r="AG1001" s="125"/>
      <c r="AH1001" s="125"/>
      <c r="AI1001" s="129"/>
      <c r="AJ1001" s="1931"/>
      <c r="AK1001" s="1932"/>
      <c r="AL1001" s="1932"/>
      <c r="AM1001" s="1932"/>
      <c r="AN1001" s="1932"/>
      <c r="AO1001" s="1932"/>
      <c r="AP1001" s="1932"/>
      <c r="AQ1001" s="193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5"/>
      <c r="D1002" s="1946" t="s">
        <v>811</v>
      </c>
      <c r="E1002" s="1946"/>
      <c r="F1002" s="1946"/>
      <c r="G1002" s="1946"/>
      <c r="H1002" s="1946"/>
      <c r="I1002" s="1946"/>
      <c r="J1002" s="1946"/>
      <c r="K1002" s="1946"/>
      <c r="L1002" s="1946"/>
      <c r="M1002" s="1946"/>
      <c r="N1002" s="1946"/>
      <c r="O1002" s="1946"/>
      <c r="P1002" s="1946"/>
      <c r="Q1002" s="1946"/>
      <c r="R1002" s="1946"/>
      <c r="S1002" s="1946"/>
      <c r="T1002" s="1946"/>
      <c r="U1002" s="1946"/>
      <c r="V1002" s="1946"/>
      <c r="W1002" s="1946"/>
      <c r="X1002" s="1946"/>
      <c r="Y1002" s="1946"/>
      <c r="Z1002" s="1946"/>
      <c r="AA1002" s="1946"/>
      <c r="AB1002" s="1946"/>
      <c r="AC1002" s="1946"/>
      <c r="AD1002" s="1946"/>
      <c r="AE1002" s="1946"/>
      <c r="AF1002" s="1946"/>
      <c r="AG1002" s="1946"/>
      <c r="AH1002" s="1946"/>
      <c r="AI1002" s="1947"/>
      <c r="AJ1002" s="1948">
        <f>SUM(AJ953:AQ1001)</f>
        <v>31197884.399999999</v>
      </c>
      <c r="AK1002" s="1949"/>
      <c r="AL1002" s="1949"/>
      <c r="AM1002" s="1949"/>
      <c r="AN1002" s="1949"/>
      <c r="AO1002" s="1949"/>
      <c r="AP1002" s="1949"/>
      <c r="AQ1002" s="1950"/>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7">
        <f>'Sources and Uses Budget'!S106+'Sources and Uses Budget'!T106</f>
        <v>38815509.06984631</v>
      </c>
      <c r="Y1006" s="1917"/>
      <c r="Z1006" s="1917"/>
      <c r="AA1006" s="1917"/>
      <c r="AB1006" s="1917"/>
      <c r="AC1006" s="191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13">
        <f>X1006/AJ1002</f>
        <v>1.2441711935392104</v>
      </c>
      <c r="Y1007" s="1914"/>
      <c r="Z1007" s="1914"/>
      <c r="AA1007" s="1914"/>
      <c r="AB1007" s="1914"/>
      <c r="AC1007" s="191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9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3"/>
      <c r="F1008" s="1693"/>
      <c r="G1008" s="1693"/>
      <c r="H1008" s="1693"/>
      <c r="I1008" s="1693"/>
      <c r="J1008" s="1693"/>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3"/>
      <c r="AF1008" s="1693"/>
      <c r="AG1008" s="1693"/>
      <c r="AH1008" s="1693"/>
      <c r="AI1008" s="1693"/>
      <c r="AJ1008" s="1693"/>
      <c r="AK1008" s="169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93"/>
      <c r="E1009" s="1693"/>
      <c r="F1009" s="1693"/>
      <c r="G1009" s="1693"/>
      <c r="H1009" s="1693"/>
      <c r="I1009" s="1693"/>
      <c r="J1009" s="1693"/>
      <c r="K1009" s="1693"/>
      <c r="L1009" s="1693"/>
      <c r="M1009" s="1693"/>
      <c r="N1009" s="1693"/>
      <c r="O1009" s="1693"/>
      <c r="P1009" s="1693"/>
      <c r="Q1009" s="1693"/>
      <c r="R1009" s="1693"/>
      <c r="S1009" s="1693"/>
      <c r="T1009" s="1693"/>
      <c r="U1009" s="1693"/>
      <c r="V1009" s="1693"/>
      <c r="W1009" s="1693"/>
      <c r="X1009" s="1693"/>
      <c r="Y1009" s="1693"/>
      <c r="Z1009" s="1693"/>
      <c r="AA1009" s="1693"/>
      <c r="AB1009" s="1693"/>
      <c r="AC1009" s="1693"/>
      <c r="AD1009" s="1693"/>
      <c r="AE1009" s="1693"/>
      <c r="AF1009" s="1693"/>
      <c r="AG1009" s="1693"/>
      <c r="AH1009" s="1693"/>
      <c r="AI1009" s="1693"/>
      <c r="AJ1009" s="1693"/>
      <c r="AK1009" s="169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93"/>
      <c r="E1010" s="1693"/>
      <c r="F1010" s="1693"/>
      <c r="G1010" s="1693"/>
      <c r="H1010" s="1693"/>
      <c r="I1010" s="1693"/>
      <c r="J1010" s="1693"/>
      <c r="K1010" s="1693"/>
      <c r="L1010" s="1693"/>
      <c r="M1010" s="1693"/>
      <c r="N1010" s="1693"/>
      <c r="O1010" s="1693"/>
      <c r="P1010" s="1693"/>
      <c r="Q1010" s="1693"/>
      <c r="R1010" s="1693"/>
      <c r="S1010" s="1693"/>
      <c r="T1010" s="1693"/>
      <c r="U1010" s="1693"/>
      <c r="V1010" s="1693"/>
      <c r="W1010" s="1693"/>
      <c r="X1010" s="1693"/>
      <c r="Y1010" s="1693"/>
      <c r="Z1010" s="1693"/>
      <c r="AA1010" s="1693"/>
      <c r="AB1010" s="1693"/>
      <c r="AC1010" s="1693"/>
      <c r="AD1010" s="1693"/>
      <c r="AE1010" s="1693"/>
      <c r="AF1010" s="1693"/>
      <c r="AG1010" s="1693"/>
      <c r="AH1010" s="1693"/>
      <c r="AI1010" s="1693"/>
      <c r="AJ1010" s="1693"/>
      <c r="AK1010" s="169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6"/>
      <c r="D1011" s="1916"/>
      <c r="E1011" s="1916"/>
      <c r="F1011" s="1916"/>
      <c r="G1011" s="1916"/>
      <c r="H1011" s="1916"/>
      <c r="I1011" s="1916"/>
      <c r="J1011" s="1916"/>
      <c r="K1011" s="1916"/>
      <c r="L1011" s="1916"/>
      <c r="M1011" s="1916"/>
      <c r="N1011" s="1916"/>
      <c r="O1011" s="1916"/>
      <c r="P1011" s="1916"/>
      <c r="Q1011" s="1916"/>
      <c r="R1011" s="1916"/>
      <c r="S1011" s="1916"/>
      <c r="T1011" s="1916"/>
      <c r="U1011" s="1916"/>
      <c r="V1011" s="1916"/>
      <c r="W1011" s="1916"/>
      <c r="X1011" s="1916"/>
      <c r="Y1011" s="1916"/>
      <c r="Z1011" s="1916"/>
      <c r="AA1011" s="1916"/>
      <c r="AB1011" s="1916"/>
      <c r="AC1011" s="1916"/>
      <c r="AD1011" s="1916"/>
      <c r="AE1011" s="1916"/>
      <c r="AF1011" s="1916"/>
      <c r="AG1011" s="1916"/>
      <c r="AH1011" s="1916"/>
      <c r="AI1011" s="1916"/>
      <c r="AJ1011" s="1916"/>
      <c r="AK1011" s="191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16"/>
      <c r="C1012" s="1916"/>
      <c r="D1012" s="1916"/>
      <c r="E1012" s="1916"/>
      <c r="F1012" s="1916"/>
      <c r="G1012" s="1916"/>
      <c r="H1012" s="1916"/>
      <c r="I1012" s="1916"/>
      <c r="J1012" s="1916"/>
      <c r="K1012" s="1916"/>
      <c r="L1012" s="1916"/>
      <c r="M1012" s="1916"/>
      <c r="N1012" s="1916"/>
      <c r="O1012" s="1916"/>
      <c r="P1012" s="1916"/>
      <c r="Q1012" s="1916"/>
      <c r="R1012" s="1916"/>
      <c r="S1012" s="1916"/>
      <c r="T1012" s="1916"/>
      <c r="U1012" s="1916"/>
      <c r="V1012" s="1916"/>
      <c r="W1012" s="1916"/>
      <c r="X1012" s="1916"/>
      <c r="Y1012" s="1916"/>
      <c r="Z1012" s="1916"/>
      <c r="AA1012" s="1916"/>
      <c r="AB1012" s="1916"/>
      <c r="AC1012" s="1916"/>
      <c r="AD1012" s="1916"/>
      <c r="AE1012" s="1916"/>
      <c r="AF1012" s="1916"/>
      <c r="AG1012" s="1916"/>
      <c r="AH1012" s="1916"/>
      <c r="AI1012" s="1916"/>
      <c r="AJ1012" s="1916"/>
      <c r="AK1012" s="191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6">
        <f>IF(ISNA(IF((AD975&gt;(AD953*0.15)),"(f) cannot be greater than 15% of unadjusted eligible basis.",0)),"",(IF((AD975&gt;(AD953*0.15)),"(f) cannot be greater than 15% of unadjusted eligible basis.",0)))</f>
        <v>0</v>
      </c>
      <c r="C1013" s="1916"/>
      <c r="D1013" s="1916"/>
      <c r="E1013" s="1916"/>
      <c r="F1013" s="1916"/>
      <c r="G1013" s="1916"/>
      <c r="H1013" s="1916"/>
      <c r="I1013" s="1916"/>
      <c r="J1013" s="1916"/>
      <c r="K1013" s="1916"/>
      <c r="L1013" s="1916"/>
      <c r="M1013" s="1916"/>
      <c r="N1013" s="1916"/>
      <c r="O1013" s="1916"/>
      <c r="P1013" s="1916"/>
      <c r="Q1013" s="1916"/>
      <c r="R1013" s="1916"/>
      <c r="S1013" s="1916"/>
      <c r="T1013" s="1916"/>
      <c r="U1013" s="1916"/>
      <c r="V1013" s="1916"/>
      <c r="W1013" s="1916"/>
      <c r="X1013" s="1916"/>
      <c r="Y1013" s="1916"/>
      <c r="Z1013" s="1916"/>
      <c r="AA1013" s="1916"/>
      <c r="AB1013" s="1916"/>
      <c r="AC1013" s="1916"/>
      <c r="AD1013" s="1916"/>
      <c r="AE1013" s="1916"/>
      <c r="AF1013" s="1916"/>
      <c r="AG1013" s="1916"/>
      <c r="AH1013" s="1916"/>
      <c r="AI1013" s="1916"/>
      <c r="AJ1013" s="1916"/>
      <c r="AK1013" s="191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4" t="s">
        <v>1071</v>
      </c>
      <c r="B1014" s="1694"/>
      <c r="C1014" s="1694"/>
      <c r="D1014" s="1694"/>
      <c r="E1014" s="1694"/>
      <c r="F1014" s="1694"/>
      <c r="G1014" s="1694"/>
      <c r="H1014" s="1694"/>
      <c r="I1014" s="1694"/>
      <c r="J1014" s="1694"/>
      <c r="K1014" s="1694"/>
      <c r="L1014" s="1694"/>
      <c r="M1014" s="1694"/>
      <c r="N1014" s="1694"/>
      <c r="O1014" s="1694"/>
      <c r="P1014" s="1694"/>
      <c r="Q1014" s="1694"/>
      <c r="R1014" s="1694"/>
      <c r="S1014" s="1694"/>
      <c r="T1014" s="1694"/>
      <c r="U1014" s="1694"/>
      <c r="V1014" s="1694"/>
      <c r="W1014" s="1694"/>
      <c r="X1014" s="1694"/>
      <c r="Y1014" s="1694"/>
      <c r="Z1014" s="1694"/>
      <c r="AA1014" s="1694"/>
      <c r="AB1014" s="1694"/>
      <c r="AC1014" s="1694"/>
      <c r="AD1014" s="1694"/>
      <c r="AE1014" s="1694"/>
      <c r="AF1014" s="1694"/>
      <c r="AG1014" s="1694"/>
      <c r="AH1014" s="1694"/>
      <c r="AI1014" s="1694"/>
      <c r="AJ1014" s="1694"/>
      <c r="AK1014" s="169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0" t="s">
        <v>134</v>
      </c>
      <c r="B1018" s="1670"/>
      <c r="C1018" s="17">
        <v>1</v>
      </c>
      <c r="D1018" s="1592" t="s">
        <v>1657</v>
      </c>
      <c r="E1018" s="1592"/>
      <c r="F1018" s="1592"/>
      <c r="G1018" s="1592"/>
      <c r="H1018" s="1592"/>
      <c r="I1018" s="1592"/>
      <c r="J1018" s="1592"/>
      <c r="K1018" s="1592"/>
      <c r="L1018" s="1592"/>
      <c r="M1018" s="1592"/>
      <c r="N1018" s="1592"/>
      <c r="O1018" s="1592"/>
      <c r="P1018" s="1592"/>
      <c r="Q1018" s="1592"/>
      <c r="R1018" s="1592"/>
      <c r="S1018" s="1592"/>
      <c r="T1018" s="1592"/>
      <c r="U1018" s="1592"/>
      <c r="V1018" s="1592"/>
      <c r="W1018" s="1592"/>
      <c r="X1018" s="1592"/>
      <c r="Y1018" s="1592"/>
      <c r="Z1018" s="1592"/>
      <c r="AA1018" s="1592"/>
      <c r="AB1018" s="1592"/>
      <c r="AC1018" s="1592"/>
      <c r="AD1018" s="1592"/>
      <c r="AE1018" s="1592"/>
      <c r="AF1018" s="1592"/>
      <c r="AG1018" s="1592"/>
      <c r="AH1018" s="1592"/>
      <c r="AI1018" s="1592"/>
      <c r="AJ1018" s="1592"/>
      <c r="AK1018" s="159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92"/>
      <c r="E1019" s="1592"/>
      <c r="F1019" s="1592"/>
      <c r="G1019" s="1592"/>
      <c r="H1019" s="1592"/>
      <c r="I1019" s="1592"/>
      <c r="J1019" s="1592"/>
      <c r="K1019" s="1592"/>
      <c r="L1019" s="1592"/>
      <c r="M1019" s="1592"/>
      <c r="N1019" s="1592"/>
      <c r="O1019" s="1592"/>
      <c r="P1019" s="1592"/>
      <c r="Q1019" s="1592"/>
      <c r="R1019" s="1592"/>
      <c r="S1019" s="1592"/>
      <c r="T1019" s="1592"/>
      <c r="U1019" s="1592"/>
      <c r="V1019" s="1592"/>
      <c r="W1019" s="1592"/>
      <c r="X1019" s="1592"/>
      <c r="Y1019" s="1592"/>
      <c r="Z1019" s="1592"/>
      <c r="AA1019" s="1592"/>
      <c r="AB1019" s="1592"/>
      <c r="AC1019" s="1592"/>
      <c r="AD1019" s="1592"/>
      <c r="AE1019" s="1592"/>
      <c r="AF1019" s="1592"/>
      <c r="AG1019" s="1592"/>
      <c r="AH1019" s="1592"/>
      <c r="AI1019" s="1592"/>
      <c r="AJ1019" s="1592"/>
      <c r="AK1019" s="159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92"/>
      <c r="E1020" s="1592"/>
      <c r="F1020" s="1592"/>
      <c r="G1020" s="1592"/>
      <c r="H1020" s="1592"/>
      <c r="I1020" s="1592"/>
      <c r="J1020" s="1592"/>
      <c r="K1020" s="1592"/>
      <c r="L1020" s="1592"/>
      <c r="M1020" s="1592"/>
      <c r="N1020" s="1592"/>
      <c r="O1020" s="1592"/>
      <c r="P1020" s="1592"/>
      <c r="Q1020" s="1592"/>
      <c r="R1020" s="1592"/>
      <c r="S1020" s="1592"/>
      <c r="T1020" s="1592"/>
      <c r="U1020" s="1592"/>
      <c r="V1020" s="1592"/>
      <c r="W1020" s="1592"/>
      <c r="X1020" s="1592"/>
      <c r="Y1020" s="1592"/>
      <c r="Z1020" s="1592"/>
      <c r="AA1020" s="1592"/>
      <c r="AB1020" s="1592"/>
      <c r="AC1020" s="1592"/>
      <c r="AD1020" s="1592"/>
      <c r="AE1020" s="1592"/>
      <c r="AF1020" s="1592"/>
      <c r="AG1020" s="1592"/>
      <c r="AH1020" s="1592"/>
      <c r="AI1020" s="1592"/>
      <c r="AJ1020" s="1592"/>
      <c r="AK1020" s="1592"/>
      <c r="AL1020" s="16"/>
      <c r="AM1020" s="66"/>
      <c r="AN1020" s="66"/>
      <c r="AO1020" s="30"/>
      <c r="AP1020" s="30"/>
      <c r="AQ1020" s="30"/>
      <c r="AR1020" s="30"/>
      <c r="AS1020" s="30"/>
      <c r="AT1020" s="1741"/>
      <c r="AU1020" s="1741"/>
      <c r="AV1020" s="1741"/>
      <c r="AW1020" s="1741"/>
      <c r="AX1020" s="1741"/>
      <c r="AY1020" s="174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92"/>
      <c r="E1021" s="1592"/>
      <c r="F1021" s="1592"/>
      <c r="G1021" s="1592"/>
      <c r="H1021" s="1592"/>
      <c r="I1021" s="1592"/>
      <c r="J1021" s="1592"/>
      <c r="K1021" s="1592"/>
      <c r="L1021" s="1592"/>
      <c r="M1021" s="1592"/>
      <c r="N1021" s="1592"/>
      <c r="O1021" s="1592"/>
      <c r="P1021" s="1592"/>
      <c r="Q1021" s="1592"/>
      <c r="R1021" s="1592"/>
      <c r="S1021" s="1592"/>
      <c r="T1021" s="1592"/>
      <c r="U1021" s="1592"/>
      <c r="V1021" s="1592"/>
      <c r="W1021" s="1592"/>
      <c r="X1021" s="1592"/>
      <c r="Y1021" s="1592"/>
      <c r="Z1021" s="1592"/>
      <c r="AA1021" s="1592"/>
      <c r="AB1021" s="1592"/>
      <c r="AC1021" s="1592"/>
      <c r="AD1021" s="1592"/>
      <c r="AE1021" s="1592"/>
      <c r="AF1021" s="1592"/>
      <c r="AG1021" s="1592"/>
      <c r="AH1021" s="1592"/>
      <c r="AI1021" s="1592"/>
      <c r="AJ1021" s="1592"/>
      <c r="AK1021" s="159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92"/>
      <c r="E1022" s="1592"/>
      <c r="F1022" s="1592"/>
      <c r="G1022" s="1592"/>
      <c r="H1022" s="1592"/>
      <c r="I1022" s="1592"/>
      <c r="J1022" s="1592"/>
      <c r="K1022" s="1592"/>
      <c r="L1022" s="1592"/>
      <c r="M1022" s="1592"/>
      <c r="N1022" s="1592"/>
      <c r="O1022" s="1592"/>
      <c r="P1022" s="1592"/>
      <c r="Q1022" s="1592"/>
      <c r="R1022" s="1592"/>
      <c r="S1022" s="1592"/>
      <c r="T1022" s="1592"/>
      <c r="U1022" s="1592"/>
      <c r="V1022" s="1592"/>
      <c r="W1022" s="1592"/>
      <c r="X1022" s="1592"/>
      <c r="Y1022" s="1592"/>
      <c r="Z1022" s="1592"/>
      <c r="AA1022" s="1592"/>
      <c r="AB1022" s="1592"/>
      <c r="AC1022" s="1592"/>
      <c r="AD1022" s="1592"/>
      <c r="AE1022" s="1592"/>
      <c r="AF1022" s="1592"/>
      <c r="AG1022" s="1592"/>
      <c r="AH1022" s="1592"/>
      <c r="AI1022" s="1592"/>
      <c r="AJ1022" s="1592"/>
      <c r="AK1022" s="159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92"/>
      <c r="E1023" s="1592"/>
      <c r="F1023" s="1592"/>
      <c r="G1023" s="1592"/>
      <c r="H1023" s="1592"/>
      <c r="I1023" s="1592"/>
      <c r="J1023" s="1592"/>
      <c r="K1023" s="1592"/>
      <c r="L1023" s="1592"/>
      <c r="M1023" s="1592"/>
      <c r="N1023" s="1592"/>
      <c r="O1023" s="1592"/>
      <c r="P1023" s="1592"/>
      <c r="Q1023" s="1592"/>
      <c r="R1023" s="1592"/>
      <c r="S1023" s="1592"/>
      <c r="T1023" s="1592"/>
      <c r="U1023" s="1592"/>
      <c r="V1023" s="1592"/>
      <c r="W1023" s="1592"/>
      <c r="X1023" s="1592"/>
      <c r="Y1023" s="1592"/>
      <c r="Z1023" s="1592"/>
      <c r="AA1023" s="1592"/>
      <c r="AB1023" s="1592"/>
      <c r="AC1023" s="1592"/>
      <c r="AD1023" s="1592"/>
      <c r="AE1023" s="1592"/>
      <c r="AF1023" s="1592"/>
      <c r="AG1023" s="1592"/>
      <c r="AH1023" s="1592"/>
      <c r="AI1023" s="1592"/>
      <c r="AJ1023" s="1592"/>
      <c r="AK1023" s="159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70" t="s">
        <v>118</v>
      </c>
      <c r="B1024" s="1670"/>
      <c r="C1024" s="17">
        <v>2</v>
      </c>
      <c r="D1024" s="1591" t="s">
        <v>1658</v>
      </c>
      <c r="E1024" s="1592"/>
      <c r="F1024" s="1592"/>
      <c r="G1024" s="1592"/>
      <c r="H1024" s="1592"/>
      <c r="I1024" s="1592"/>
      <c r="J1024" s="1592"/>
      <c r="K1024" s="1592"/>
      <c r="L1024" s="1592"/>
      <c r="M1024" s="1592"/>
      <c r="N1024" s="1592"/>
      <c r="O1024" s="1592"/>
      <c r="P1024" s="1592"/>
      <c r="Q1024" s="1592"/>
      <c r="R1024" s="1592"/>
      <c r="S1024" s="1592"/>
      <c r="T1024" s="1592"/>
      <c r="U1024" s="1592"/>
      <c r="V1024" s="1592"/>
      <c r="W1024" s="1592"/>
      <c r="X1024" s="1592"/>
      <c r="Y1024" s="1592"/>
      <c r="Z1024" s="1592"/>
      <c r="AA1024" s="1592"/>
      <c r="AB1024" s="1592"/>
      <c r="AC1024" s="1592"/>
      <c r="AD1024" s="1592"/>
      <c r="AE1024" s="1592"/>
      <c r="AF1024" s="1592"/>
      <c r="AG1024" s="1592"/>
      <c r="AH1024" s="1592"/>
      <c r="AI1024" s="1592"/>
      <c r="AJ1024" s="1592"/>
      <c r="AK1024" s="159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92"/>
      <c r="E1025" s="1592"/>
      <c r="F1025" s="1592"/>
      <c r="G1025" s="1592"/>
      <c r="H1025" s="1592"/>
      <c r="I1025" s="1592"/>
      <c r="J1025" s="1592"/>
      <c r="K1025" s="1592"/>
      <c r="L1025" s="1592"/>
      <c r="M1025" s="1592"/>
      <c r="N1025" s="1592"/>
      <c r="O1025" s="1592"/>
      <c r="P1025" s="1592"/>
      <c r="Q1025" s="1592"/>
      <c r="R1025" s="1592"/>
      <c r="S1025" s="1592"/>
      <c r="T1025" s="1592"/>
      <c r="U1025" s="1592"/>
      <c r="V1025" s="1592"/>
      <c r="W1025" s="1592"/>
      <c r="X1025" s="1592"/>
      <c r="Y1025" s="1592"/>
      <c r="Z1025" s="1592"/>
      <c r="AA1025" s="1592"/>
      <c r="AB1025" s="1592"/>
      <c r="AC1025" s="1592"/>
      <c r="AD1025" s="1592"/>
      <c r="AE1025" s="1592"/>
      <c r="AF1025" s="1592"/>
      <c r="AG1025" s="1592"/>
      <c r="AH1025" s="1592"/>
      <c r="AI1025" s="1592"/>
      <c r="AJ1025" s="1592"/>
      <c r="AK1025" s="159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92"/>
      <c r="E1026" s="1592"/>
      <c r="F1026" s="1592"/>
      <c r="G1026" s="1592"/>
      <c r="H1026" s="1592"/>
      <c r="I1026" s="1592"/>
      <c r="J1026" s="1592"/>
      <c r="K1026" s="1592"/>
      <c r="L1026" s="1592"/>
      <c r="M1026" s="1592"/>
      <c r="N1026" s="1592"/>
      <c r="O1026" s="1592"/>
      <c r="P1026" s="1592"/>
      <c r="Q1026" s="1592"/>
      <c r="R1026" s="1592"/>
      <c r="S1026" s="1592"/>
      <c r="T1026" s="1592"/>
      <c r="U1026" s="1592"/>
      <c r="V1026" s="1592"/>
      <c r="W1026" s="1592"/>
      <c r="X1026" s="1592"/>
      <c r="Y1026" s="1592"/>
      <c r="Z1026" s="1592"/>
      <c r="AA1026" s="1592"/>
      <c r="AB1026" s="1592"/>
      <c r="AC1026" s="1592"/>
      <c r="AD1026" s="1592"/>
      <c r="AE1026" s="1592"/>
      <c r="AF1026" s="1592"/>
      <c r="AG1026" s="1592"/>
      <c r="AH1026" s="1592"/>
      <c r="AI1026" s="1592"/>
      <c r="AJ1026" s="1592"/>
      <c r="AK1026" s="159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92"/>
      <c r="E1027" s="1592"/>
      <c r="F1027" s="1592"/>
      <c r="G1027" s="1592"/>
      <c r="H1027" s="1592"/>
      <c r="I1027" s="1592"/>
      <c r="J1027" s="1592"/>
      <c r="K1027" s="1592"/>
      <c r="L1027" s="1592"/>
      <c r="M1027" s="1592"/>
      <c r="N1027" s="1592"/>
      <c r="O1027" s="1592"/>
      <c r="P1027" s="1592"/>
      <c r="Q1027" s="1592"/>
      <c r="R1027" s="1592"/>
      <c r="S1027" s="1592"/>
      <c r="T1027" s="1592"/>
      <c r="U1027" s="1592"/>
      <c r="V1027" s="1592"/>
      <c r="W1027" s="1592"/>
      <c r="X1027" s="1592"/>
      <c r="Y1027" s="1592"/>
      <c r="Z1027" s="1592"/>
      <c r="AA1027" s="1592"/>
      <c r="AB1027" s="1592"/>
      <c r="AC1027" s="1592"/>
      <c r="AD1027" s="1592"/>
      <c r="AE1027" s="1592"/>
      <c r="AF1027" s="1592"/>
      <c r="AG1027" s="1592"/>
      <c r="AH1027" s="1592"/>
      <c r="AI1027" s="1592"/>
      <c r="AJ1027" s="1592"/>
      <c r="AK1027" s="159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92"/>
      <c r="E1028" s="1592"/>
      <c r="F1028" s="1592"/>
      <c r="G1028" s="1592"/>
      <c r="H1028" s="1592"/>
      <c r="I1028" s="1592"/>
      <c r="J1028" s="1592"/>
      <c r="K1028" s="1592"/>
      <c r="L1028" s="1592"/>
      <c r="M1028" s="1592"/>
      <c r="N1028" s="1592"/>
      <c r="O1028" s="1592"/>
      <c r="P1028" s="1592"/>
      <c r="Q1028" s="1592"/>
      <c r="R1028" s="1592"/>
      <c r="S1028" s="1592"/>
      <c r="T1028" s="1592"/>
      <c r="U1028" s="1592"/>
      <c r="V1028" s="1592"/>
      <c r="W1028" s="1592"/>
      <c r="X1028" s="1592"/>
      <c r="Y1028" s="1592"/>
      <c r="Z1028" s="1592"/>
      <c r="AA1028" s="1592"/>
      <c r="AB1028" s="1592"/>
      <c r="AC1028" s="1592"/>
      <c r="AD1028" s="1592"/>
      <c r="AE1028" s="1592"/>
      <c r="AF1028" s="1592"/>
      <c r="AG1028" s="1592"/>
      <c r="AH1028" s="1592"/>
      <c r="AI1028" s="1592"/>
      <c r="AJ1028" s="1592"/>
      <c r="AK1028" s="159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92"/>
      <c r="E1029" s="1592"/>
      <c r="F1029" s="1592"/>
      <c r="G1029" s="1592"/>
      <c r="H1029" s="1592"/>
      <c r="I1029" s="1592"/>
      <c r="J1029" s="1592"/>
      <c r="K1029" s="1592"/>
      <c r="L1029" s="1592"/>
      <c r="M1029" s="1592"/>
      <c r="N1029" s="1592"/>
      <c r="O1029" s="1592"/>
      <c r="P1029" s="1592"/>
      <c r="Q1029" s="1592"/>
      <c r="R1029" s="1592"/>
      <c r="S1029" s="1592"/>
      <c r="T1029" s="1592"/>
      <c r="U1029" s="1592"/>
      <c r="V1029" s="1592"/>
      <c r="W1029" s="1592"/>
      <c r="X1029" s="1592"/>
      <c r="Y1029" s="1592"/>
      <c r="Z1029" s="1592"/>
      <c r="AA1029" s="1592"/>
      <c r="AB1029" s="1592"/>
      <c r="AC1029" s="1592"/>
      <c r="AD1029" s="1592"/>
      <c r="AE1029" s="1592"/>
      <c r="AF1029" s="1592"/>
      <c r="AG1029" s="1592"/>
      <c r="AH1029" s="1592"/>
      <c r="AI1029" s="1592"/>
      <c r="AJ1029" s="1592"/>
      <c r="AK1029" s="159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0" t="s">
        <v>134</v>
      </c>
      <c r="B1030" s="1670"/>
      <c r="C1030" s="17">
        <v>3</v>
      </c>
      <c r="D1030" s="1591" t="s">
        <v>2275</v>
      </c>
      <c r="E1030" s="1592"/>
      <c r="F1030" s="1592"/>
      <c r="G1030" s="1592"/>
      <c r="H1030" s="1592"/>
      <c r="I1030" s="1592"/>
      <c r="J1030" s="1592"/>
      <c r="K1030" s="1592"/>
      <c r="L1030" s="1592"/>
      <c r="M1030" s="1592"/>
      <c r="N1030" s="1592"/>
      <c r="O1030" s="1592"/>
      <c r="P1030" s="1592"/>
      <c r="Q1030" s="1592"/>
      <c r="R1030" s="1592"/>
      <c r="S1030" s="1592"/>
      <c r="T1030" s="1592"/>
      <c r="U1030" s="1592"/>
      <c r="V1030" s="1592"/>
      <c r="W1030" s="1592"/>
      <c r="X1030" s="1592"/>
      <c r="Y1030" s="1592"/>
      <c r="Z1030" s="1592"/>
      <c r="AA1030" s="1592"/>
      <c r="AB1030" s="1592"/>
      <c r="AC1030" s="1592"/>
      <c r="AD1030" s="1592"/>
      <c r="AE1030" s="1592"/>
      <c r="AF1030" s="1592"/>
      <c r="AG1030" s="1592"/>
      <c r="AH1030" s="1592"/>
      <c r="AI1030" s="1592"/>
      <c r="AJ1030" s="1592"/>
      <c r="AK1030" s="159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92"/>
      <c r="E1031" s="1592"/>
      <c r="F1031" s="1592"/>
      <c r="G1031" s="1592"/>
      <c r="H1031" s="1592"/>
      <c r="I1031" s="1592"/>
      <c r="J1031" s="1592"/>
      <c r="K1031" s="1592"/>
      <c r="L1031" s="1592"/>
      <c r="M1031" s="1592"/>
      <c r="N1031" s="1592"/>
      <c r="O1031" s="1592"/>
      <c r="P1031" s="1592"/>
      <c r="Q1031" s="1592"/>
      <c r="R1031" s="1592"/>
      <c r="S1031" s="1592"/>
      <c r="T1031" s="1592"/>
      <c r="U1031" s="1592"/>
      <c r="V1031" s="1592"/>
      <c r="W1031" s="1592"/>
      <c r="X1031" s="1592"/>
      <c r="Y1031" s="1592"/>
      <c r="Z1031" s="1592"/>
      <c r="AA1031" s="1592"/>
      <c r="AB1031" s="1592"/>
      <c r="AC1031" s="1592"/>
      <c r="AD1031" s="1592"/>
      <c r="AE1031" s="1592"/>
      <c r="AF1031" s="1592"/>
      <c r="AG1031" s="1592"/>
      <c r="AH1031" s="1592"/>
      <c r="AI1031" s="1592"/>
      <c r="AJ1031" s="1592"/>
      <c r="AK1031" s="159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92"/>
      <c r="E1032" s="1592"/>
      <c r="F1032" s="1592"/>
      <c r="G1032" s="1592"/>
      <c r="H1032" s="1592"/>
      <c r="I1032" s="1592"/>
      <c r="J1032" s="1592"/>
      <c r="K1032" s="1592"/>
      <c r="L1032" s="1592"/>
      <c r="M1032" s="1592"/>
      <c r="N1032" s="1592"/>
      <c r="O1032" s="1592"/>
      <c r="P1032" s="1592"/>
      <c r="Q1032" s="1592"/>
      <c r="R1032" s="1592"/>
      <c r="S1032" s="1592"/>
      <c r="T1032" s="1592"/>
      <c r="U1032" s="1592"/>
      <c r="V1032" s="1592"/>
      <c r="W1032" s="1592"/>
      <c r="X1032" s="1592"/>
      <c r="Y1032" s="1592"/>
      <c r="Z1032" s="1592"/>
      <c r="AA1032" s="1592"/>
      <c r="AB1032" s="1592"/>
      <c r="AC1032" s="1592"/>
      <c r="AD1032" s="1592"/>
      <c r="AE1032" s="1592"/>
      <c r="AF1032" s="1592"/>
      <c r="AG1032" s="1592"/>
      <c r="AH1032" s="1592"/>
      <c r="AI1032" s="1592"/>
      <c r="AJ1032" s="1592"/>
      <c r="AK1032" s="159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92"/>
      <c r="E1033" s="1592"/>
      <c r="F1033" s="1592"/>
      <c r="G1033" s="1592"/>
      <c r="H1033" s="1592"/>
      <c r="I1033" s="1592"/>
      <c r="J1033" s="1592"/>
      <c r="K1033" s="1592"/>
      <c r="L1033" s="1592"/>
      <c r="M1033" s="1592"/>
      <c r="N1033" s="1592"/>
      <c r="O1033" s="1592"/>
      <c r="P1033" s="1592"/>
      <c r="Q1033" s="1592"/>
      <c r="R1033" s="1592"/>
      <c r="S1033" s="1592"/>
      <c r="T1033" s="1592"/>
      <c r="U1033" s="1592"/>
      <c r="V1033" s="1592"/>
      <c r="W1033" s="1592"/>
      <c r="X1033" s="1592"/>
      <c r="Y1033" s="1592"/>
      <c r="Z1033" s="1592"/>
      <c r="AA1033" s="1592"/>
      <c r="AB1033" s="1592"/>
      <c r="AC1033" s="1592"/>
      <c r="AD1033" s="1592"/>
      <c r="AE1033" s="1592"/>
      <c r="AF1033" s="1592"/>
      <c r="AG1033" s="1592"/>
      <c r="AH1033" s="1592"/>
      <c r="AI1033" s="1592"/>
      <c r="AJ1033" s="1592"/>
      <c r="AK1033" s="159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92"/>
      <c r="E1034" s="1592"/>
      <c r="F1034" s="1592"/>
      <c r="G1034" s="1592"/>
      <c r="H1034" s="1592"/>
      <c r="I1034" s="1592"/>
      <c r="J1034" s="1592"/>
      <c r="K1034" s="1592"/>
      <c r="L1034" s="1592"/>
      <c r="M1034" s="1592"/>
      <c r="N1034" s="1592"/>
      <c r="O1034" s="1592"/>
      <c r="P1034" s="1592"/>
      <c r="Q1034" s="1592"/>
      <c r="R1034" s="1592"/>
      <c r="S1034" s="1592"/>
      <c r="T1034" s="1592"/>
      <c r="U1034" s="1592"/>
      <c r="V1034" s="1592"/>
      <c r="W1034" s="1592"/>
      <c r="X1034" s="1592"/>
      <c r="Y1034" s="1592"/>
      <c r="Z1034" s="1592"/>
      <c r="AA1034" s="1592"/>
      <c r="AB1034" s="1592"/>
      <c r="AC1034" s="1592"/>
      <c r="AD1034" s="1592"/>
      <c r="AE1034" s="1592"/>
      <c r="AF1034" s="1592"/>
      <c r="AG1034" s="1592"/>
      <c r="AH1034" s="1592"/>
      <c r="AI1034" s="1592"/>
      <c r="AJ1034" s="1592"/>
      <c r="AK1034" s="159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92"/>
      <c r="E1035" s="1592"/>
      <c r="F1035" s="1592"/>
      <c r="G1035" s="1592"/>
      <c r="H1035" s="1592"/>
      <c r="I1035" s="1592"/>
      <c r="J1035" s="1592"/>
      <c r="K1035" s="1592"/>
      <c r="L1035" s="1592"/>
      <c r="M1035" s="1592"/>
      <c r="N1035" s="1592"/>
      <c r="O1035" s="1592"/>
      <c r="P1035" s="1592"/>
      <c r="Q1035" s="1592"/>
      <c r="R1035" s="1592"/>
      <c r="S1035" s="1592"/>
      <c r="T1035" s="1592"/>
      <c r="U1035" s="1592"/>
      <c r="V1035" s="1592"/>
      <c r="W1035" s="1592"/>
      <c r="X1035" s="1592"/>
      <c r="Y1035" s="1592"/>
      <c r="Z1035" s="1592"/>
      <c r="AA1035" s="1592"/>
      <c r="AB1035" s="1592"/>
      <c r="AC1035" s="1592"/>
      <c r="AD1035" s="1592"/>
      <c r="AE1035" s="1592"/>
      <c r="AF1035" s="1592"/>
      <c r="AG1035" s="1592"/>
      <c r="AH1035" s="1592"/>
      <c r="AI1035" s="1592"/>
      <c r="AJ1035" s="1592"/>
      <c r="AK1035" s="159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0" t="s">
        <v>134</v>
      </c>
      <c r="B1036" s="1670"/>
      <c r="C1036" s="17">
        <v>4</v>
      </c>
      <c r="D1036" s="1591" t="s">
        <v>2270</v>
      </c>
      <c r="E1036" s="1592"/>
      <c r="F1036" s="1592"/>
      <c r="G1036" s="1592"/>
      <c r="H1036" s="1592"/>
      <c r="I1036" s="1592"/>
      <c r="J1036" s="1592"/>
      <c r="K1036" s="1592"/>
      <c r="L1036" s="1592"/>
      <c r="M1036" s="1592"/>
      <c r="N1036" s="1592"/>
      <c r="O1036" s="1592"/>
      <c r="P1036" s="1592"/>
      <c r="Q1036" s="1592"/>
      <c r="R1036" s="1592"/>
      <c r="S1036" s="1592"/>
      <c r="T1036" s="1592"/>
      <c r="U1036" s="1592"/>
      <c r="V1036" s="1592"/>
      <c r="W1036" s="1592"/>
      <c r="X1036" s="1592"/>
      <c r="Y1036" s="1592"/>
      <c r="Z1036" s="1592"/>
      <c r="AA1036" s="1592"/>
      <c r="AB1036" s="1592"/>
      <c r="AC1036" s="1592"/>
      <c r="AD1036" s="1592"/>
      <c r="AE1036" s="1592"/>
      <c r="AF1036" s="1592"/>
      <c r="AG1036" s="1592"/>
      <c r="AH1036" s="1592"/>
      <c r="AI1036" s="1592"/>
      <c r="AJ1036" s="1592"/>
      <c r="AK1036" s="159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92"/>
      <c r="E1037" s="1592"/>
      <c r="F1037" s="1592"/>
      <c r="G1037" s="1592"/>
      <c r="H1037" s="1592"/>
      <c r="I1037" s="1592"/>
      <c r="J1037" s="1592"/>
      <c r="K1037" s="1592"/>
      <c r="L1037" s="1592"/>
      <c r="M1037" s="1592"/>
      <c r="N1037" s="1592"/>
      <c r="O1037" s="1592"/>
      <c r="P1037" s="1592"/>
      <c r="Q1037" s="1592"/>
      <c r="R1037" s="1592"/>
      <c r="S1037" s="1592"/>
      <c r="T1037" s="1592"/>
      <c r="U1037" s="1592"/>
      <c r="V1037" s="1592"/>
      <c r="W1037" s="1592"/>
      <c r="X1037" s="1592"/>
      <c r="Y1037" s="1592"/>
      <c r="Z1037" s="1592"/>
      <c r="AA1037" s="1592"/>
      <c r="AB1037" s="1592"/>
      <c r="AC1037" s="1592"/>
      <c r="AD1037" s="1592"/>
      <c r="AE1037" s="1592"/>
      <c r="AF1037" s="1592"/>
      <c r="AG1037" s="1592"/>
      <c r="AH1037" s="1592"/>
      <c r="AI1037" s="1592"/>
      <c r="AJ1037" s="1592"/>
      <c r="AK1037" s="159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92"/>
      <c r="E1038" s="1592"/>
      <c r="F1038" s="1592"/>
      <c r="G1038" s="1592"/>
      <c r="H1038" s="1592"/>
      <c r="I1038" s="1592"/>
      <c r="J1038" s="1592"/>
      <c r="K1038" s="1592"/>
      <c r="L1038" s="1592"/>
      <c r="M1038" s="1592"/>
      <c r="N1038" s="1592"/>
      <c r="O1038" s="1592"/>
      <c r="P1038" s="1592"/>
      <c r="Q1038" s="1592"/>
      <c r="R1038" s="1592"/>
      <c r="S1038" s="1592"/>
      <c r="T1038" s="1592"/>
      <c r="U1038" s="1592"/>
      <c r="V1038" s="1592"/>
      <c r="W1038" s="1592"/>
      <c r="X1038" s="1592"/>
      <c r="Y1038" s="1592"/>
      <c r="Z1038" s="1592"/>
      <c r="AA1038" s="1592"/>
      <c r="AB1038" s="1592"/>
      <c r="AC1038" s="1592"/>
      <c r="AD1038" s="1592"/>
      <c r="AE1038" s="1592"/>
      <c r="AF1038" s="1592"/>
      <c r="AG1038" s="1592"/>
      <c r="AH1038" s="1592"/>
      <c r="AI1038" s="1592"/>
      <c r="AJ1038" s="1592"/>
      <c r="AK1038" s="159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70" t="s">
        <v>134</v>
      </c>
      <c r="B1039" s="1670"/>
      <c r="C1039" s="17">
        <v>5</v>
      </c>
      <c r="D1039" s="1591" t="s">
        <v>1885</v>
      </c>
      <c r="E1039" s="1592"/>
      <c r="F1039" s="1592"/>
      <c r="G1039" s="1592"/>
      <c r="H1039" s="1592"/>
      <c r="I1039" s="1592"/>
      <c r="J1039" s="1592"/>
      <c r="K1039" s="1592"/>
      <c r="L1039" s="1592"/>
      <c r="M1039" s="1592"/>
      <c r="N1039" s="1592"/>
      <c r="O1039" s="1592"/>
      <c r="P1039" s="1592"/>
      <c r="Q1039" s="1592"/>
      <c r="R1039" s="1592"/>
      <c r="S1039" s="1592"/>
      <c r="T1039" s="1592"/>
      <c r="U1039" s="1592"/>
      <c r="V1039" s="1592"/>
      <c r="W1039" s="1592"/>
      <c r="X1039" s="1592"/>
      <c r="Y1039" s="1592"/>
      <c r="Z1039" s="1592"/>
      <c r="AA1039" s="1592"/>
      <c r="AB1039" s="1592"/>
      <c r="AC1039" s="1592"/>
      <c r="AD1039" s="1592"/>
      <c r="AE1039" s="1592"/>
      <c r="AF1039" s="1592"/>
      <c r="AG1039" s="1592"/>
      <c r="AH1039" s="1592"/>
      <c r="AI1039" s="1592"/>
      <c r="AJ1039" s="1592"/>
      <c r="AK1039" s="159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92"/>
      <c r="E1040" s="1592"/>
      <c r="F1040" s="1592"/>
      <c r="G1040" s="1592"/>
      <c r="H1040" s="1592"/>
      <c r="I1040" s="1592"/>
      <c r="J1040" s="1592"/>
      <c r="K1040" s="1592"/>
      <c r="L1040" s="1592"/>
      <c r="M1040" s="1592"/>
      <c r="N1040" s="1592"/>
      <c r="O1040" s="1592"/>
      <c r="P1040" s="1592"/>
      <c r="Q1040" s="1592"/>
      <c r="R1040" s="1592"/>
      <c r="S1040" s="1592"/>
      <c r="T1040" s="1592"/>
      <c r="U1040" s="1592"/>
      <c r="V1040" s="1592"/>
      <c r="W1040" s="1592"/>
      <c r="X1040" s="1592"/>
      <c r="Y1040" s="1592"/>
      <c r="Z1040" s="1592"/>
      <c r="AA1040" s="1592"/>
      <c r="AB1040" s="1592"/>
      <c r="AC1040" s="1592"/>
      <c r="AD1040" s="1592"/>
      <c r="AE1040" s="1592"/>
      <c r="AF1040" s="1592"/>
      <c r="AG1040" s="1592"/>
      <c r="AH1040" s="1592"/>
      <c r="AI1040" s="1592"/>
      <c r="AJ1040" s="1592"/>
      <c r="AK1040" s="159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92"/>
      <c r="E1041" s="1592"/>
      <c r="F1041" s="1592"/>
      <c r="G1041" s="1592"/>
      <c r="H1041" s="1592"/>
      <c r="I1041" s="1592"/>
      <c r="J1041" s="1592"/>
      <c r="K1041" s="1592"/>
      <c r="L1041" s="1592"/>
      <c r="M1041" s="1592"/>
      <c r="N1041" s="1592"/>
      <c r="O1041" s="1592"/>
      <c r="P1041" s="1592"/>
      <c r="Q1041" s="1592"/>
      <c r="R1041" s="1592"/>
      <c r="S1041" s="1592"/>
      <c r="T1041" s="1592"/>
      <c r="U1041" s="1592"/>
      <c r="V1041" s="1592"/>
      <c r="W1041" s="1592"/>
      <c r="X1041" s="1592"/>
      <c r="Y1041" s="1592"/>
      <c r="Z1041" s="1592"/>
      <c r="AA1041" s="1592"/>
      <c r="AB1041" s="1592"/>
      <c r="AC1041" s="1592"/>
      <c r="AD1041" s="1592"/>
      <c r="AE1041" s="1592"/>
      <c r="AF1041" s="1592"/>
      <c r="AG1041" s="1592"/>
      <c r="AH1041" s="1592"/>
      <c r="AI1041" s="1592"/>
      <c r="AJ1041" s="1592"/>
      <c r="AK1041" s="159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92"/>
      <c r="E1042" s="1592"/>
      <c r="F1042" s="1592"/>
      <c r="G1042" s="1592"/>
      <c r="H1042" s="1592"/>
      <c r="I1042" s="1592"/>
      <c r="J1042" s="1592"/>
      <c r="K1042" s="1592"/>
      <c r="L1042" s="1592"/>
      <c r="M1042" s="1592"/>
      <c r="N1042" s="1592"/>
      <c r="O1042" s="1592"/>
      <c r="P1042" s="1592"/>
      <c r="Q1042" s="1592"/>
      <c r="R1042" s="1592"/>
      <c r="S1042" s="1592"/>
      <c r="T1042" s="1592"/>
      <c r="U1042" s="1592"/>
      <c r="V1042" s="1592"/>
      <c r="W1042" s="1592"/>
      <c r="X1042" s="1592"/>
      <c r="Y1042" s="1592"/>
      <c r="Z1042" s="1592"/>
      <c r="AA1042" s="1592"/>
      <c r="AB1042" s="1592"/>
      <c r="AC1042" s="1592"/>
      <c r="AD1042" s="1592"/>
      <c r="AE1042" s="1592"/>
      <c r="AF1042" s="1592"/>
      <c r="AG1042" s="1592"/>
      <c r="AH1042" s="1592"/>
      <c r="AI1042" s="1592"/>
      <c r="AJ1042" s="1592"/>
      <c r="AK1042" s="159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92"/>
      <c r="E1043" s="1592"/>
      <c r="F1043" s="1592"/>
      <c r="G1043" s="1592"/>
      <c r="H1043" s="1592"/>
      <c r="I1043" s="1592"/>
      <c r="J1043" s="1592"/>
      <c r="K1043" s="1592"/>
      <c r="L1043" s="1592"/>
      <c r="M1043" s="1592"/>
      <c r="N1043" s="1592"/>
      <c r="O1043" s="1592"/>
      <c r="P1043" s="1592"/>
      <c r="Q1043" s="1592"/>
      <c r="R1043" s="1592"/>
      <c r="S1043" s="1592"/>
      <c r="T1043" s="1592"/>
      <c r="U1043" s="1592"/>
      <c r="V1043" s="1592"/>
      <c r="W1043" s="1592"/>
      <c r="X1043" s="1592"/>
      <c r="Y1043" s="1592"/>
      <c r="Z1043" s="1592"/>
      <c r="AA1043" s="1592"/>
      <c r="AB1043" s="1592"/>
      <c r="AC1043" s="1592"/>
      <c r="AD1043" s="1592"/>
      <c r="AE1043" s="1592"/>
      <c r="AF1043" s="1592"/>
      <c r="AG1043" s="1592"/>
      <c r="AH1043" s="1592"/>
      <c r="AI1043" s="1592"/>
      <c r="AJ1043" s="1592"/>
      <c r="AK1043" s="159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0" t="s">
        <v>134</v>
      </c>
      <c r="B1044" s="1670"/>
      <c r="C1044" s="17">
        <v>6</v>
      </c>
      <c r="D1044" s="1592" t="s">
        <v>1659</v>
      </c>
      <c r="E1044" s="1592"/>
      <c r="F1044" s="1592"/>
      <c r="G1044" s="1592"/>
      <c r="H1044" s="1592"/>
      <c r="I1044" s="1592"/>
      <c r="J1044" s="1592"/>
      <c r="K1044" s="1592"/>
      <c r="L1044" s="1592"/>
      <c r="M1044" s="1592"/>
      <c r="N1044" s="1592"/>
      <c r="O1044" s="1592"/>
      <c r="P1044" s="1592"/>
      <c r="Q1044" s="1592"/>
      <c r="R1044" s="1592"/>
      <c r="S1044" s="1592"/>
      <c r="T1044" s="1592"/>
      <c r="U1044" s="1592"/>
      <c r="V1044" s="1592"/>
      <c r="W1044" s="1592"/>
      <c r="X1044" s="1592"/>
      <c r="Y1044" s="1592"/>
      <c r="Z1044" s="1592"/>
      <c r="AA1044" s="1592"/>
      <c r="AB1044" s="1592"/>
      <c r="AC1044" s="1592"/>
      <c r="AD1044" s="1592"/>
      <c r="AE1044" s="1592"/>
      <c r="AF1044" s="1592"/>
      <c r="AG1044" s="1592"/>
      <c r="AH1044" s="1592"/>
      <c r="AI1044" s="1592"/>
      <c r="AJ1044" s="1592"/>
      <c r="AK1044" s="159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92"/>
      <c r="E1045" s="1592"/>
      <c r="F1045" s="1592"/>
      <c r="G1045" s="1592"/>
      <c r="H1045" s="1592"/>
      <c r="I1045" s="1592"/>
      <c r="J1045" s="1592"/>
      <c r="K1045" s="1592"/>
      <c r="L1045" s="1592"/>
      <c r="M1045" s="1592"/>
      <c r="N1045" s="1592"/>
      <c r="O1045" s="1592"/>
      <c r="P1045" s="1592"/>
      <c r="Q1045" s="1592"/>
      <c r="R1045" s="1592"/>
      <c r="S1045" s="1592"/>
      <c r="T1045" s="1592"/>
      <c r="U1045" s="1592"/>
      <c r="V1045" s="1592"/>
      <c r="W1045" s="1592"/>
      <c r="X1045" s="1592"/>
      <c r="Y1045" s="1592"/>
      <c r="Z1045" s="1592"/>
      <c r="AA1045" s="1592"/>
      <c r="AB1045" s="1592"/>
      <c r="AC1045" s="1592"/>
      <c r="AD1045" s="1592"/>
      <c r="AE1045" s="1592"/>
      <c r="AF1045" s="1592"/>
      <c r="AG1045" s="1592"/>
      <c r="AH1045" s="1592"/>
      <c r="AI1045" s="1592"/>
      <c r="AJ1045" s="1592"/>
      <c r="AK1045" s="159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92"/>
      <c r="E1046" s="1592"/>
      <c r="F1046" s="1592"/>
      <c r="G1046" s="1592"/>
      <c r="H1046" s="1592"/>
      <c r="I1046" s="1592"/>
      <c r="J1046" s="1592"/>
      <c r="K1046" s="1592"/>
      <c r="L1046" s="1592"/>
      <c r="M1046" s="1592"/>
      <c r="N1046" s="1592"/>
      <c r="O1046" s="1592"/>
      <c r="P1046" s="1592"/>
      <c r="Q1046" s="1592"/>
      <c r="R1046" s="1592"/>
      <c r="S1046" s="1592"/>
      <c r="T1046" s="1592"/>
      <c r="U1046" s="1592"/>
      <c r="V1046" s="1592"/>
      <c r="W1046" s="1592"/>
      <c r="X1046" s="1592"/>
      <c r="Y1046" s="1592"/>
      <c r="Z1046" s="1592"/>
      <c r="AA1046" s="1592"/>
      <c r="AB1046" s="1592"/>
      <c r="AC1046" s="1592"/>
      <c r="AD1046" s="1592"/>
      <c r="AE1046" s="1592"/>
      <c r="AF1046" s="1592"/>
      <c r="AG1046" s="1592"/>
      <c r="AH1046" s="1592"/>
      <c r="AI1046" s="1592"/>
      <c r="AJ1046" s="1592"/>
      <c r="AK1046" s="159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0" t="s">
        <v>134</v>
      </c>
      <c r="B1047" s="1670"/>
      <c r="C1047" s="541">
        <v>7</v>
      </c>
      <c r="D1047" s="1592" t="s">
        <v>1661</v>
      </c>
      <c r="E1047" s="1592"/>
      <c r="F1047" s="1592"/>
      <c r="G1047" s="1592"/>
      <c r="H1047" s="1592"/>
      <c r="I1047" s="1592"/>
      <c r="J1047" s="1592"/>
      <c r="K1047" s="1592"/>
      <c r="L1047" s="1592"/>
      <c r="M1047" s="1592"/>
      <c r="N1047" s="1592"/>
      <c r="O1047" s="1592"/>
      <c r="P1047" s="1592"/>
      <c r="Q1047" s="1592"/>
      <c r="R1047" s="1592"/>
      <c r="S1047" s="1592"/>
      <c r="T1047" s="1592"/>
      <c r="U1047" s="1592"/>
      <c r="V1047" s="1592"/>
      <c r="W1047" s="1592"/>
      <c r="X1047" s="1592"/>
      <c r="Y1047" s="1592"/>
      <c r="Z1047" s="1592"/>
      <c r="AA1047" s="1592"/>
      <c r="AB1047" s="1592"/>
      <c r="AC1047" s="1592"/>
      <c r="AD1047" s="1592"/>
      <c r="AE1047" s="1592"/>
      <c r="AF1047" s="1592"/>
      <c r="AG1047" s="1592"/>
      <c r="AH1047" s="1592"/>
      <c r="AI1047" s="1592"/>
      <c r="AJ1047" s="1592"/>
      <c r="AK1047" s="159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92"/>
      <c r="E1048" s="1592"/>
      <c r="F1048" s="1592"/>
      <c r="G1048" s="1592"/>
      <c r="H1048" s="1592"/>
      <c r="I1048" s="1592"/>
      <c r="J1048" s="1592"/>
      <c r="K1048" s="1592"/>
      <c r="L1048" s="1592"/>
      <c r="M1048" s="1592"/>
      <c r="N1048" s="1592"/>
      <c r="O1048" s="1592"/>
      <c r="P1048" s="1592"/>
      <c r="Q1048" s="1592"/>
      <c r="R1048" s="1592"/>
      <c r="S1048" s="1592"/>
      <c r="T1048" s="1592"/>
      <c r="U1048" s="1592"/>
      <c r="V1048" s="1592"/>
      <c r="W1048" s="1592"/>
      <c r="X1048" s="1592"/>
      <c r="Y1048" s="1592"/>
      <c r="Z1048" s="1592"/>
      <c r="AA1048" s="1592"/>
      <c r="AB1048" s="1592"/>
      <c r="AC1048" s="1592"/>
      <c r="AD1048" s="1592"/>
      <c r="AE1048" s="1592"/>
      <c r="AF1048" s="1592"/>
      <c r="AG1048" s="1592"/>
      <c r="AH1048" s="1592"/>
      <c r="AI1048" s="1592"/>
      <c r="AJ1048" s="1592"/>
      <c r="AK1048" s="159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92"/>
      <c r="E1049" s="1592"/>
      <c r="F1049" s="1592"/>
      <c r="G1049" s="1592"/>
      <c r="H1049" s="1592"/>
      <c r="I1049" s="1592"/>
      <c r="J1049" s="1592"/>
      <c r="K1049" s="1592"/>
      <c r="L1049" s="1592"/>
      <c r="M1049" s="1592"/>
      <c r="N1049" s="1592"/>
      <c r="O1049" s="1592"/>
      <c r="P1049" s="1592"/>
      <c r="Q1049" s="1592"/>
      <c r="R1049" s="1592"/>
      <c r="S1049" s="1592"/>
      <c r="T1049" s="1592"/>
      <c r="U1049" s="1592"/>
      <c r="V1049" s="1592"/>
      <c r="W1049" s="1592"/>
      <c r="X1049" s="1592"/>
      <c r="Y1049" s="1592"/>
      <c r="Z1049" s="1592"/>
      <c r="AA1049" s="1592"/>
      <c r="AB1049" s="1592"/>
      <c r="AC1049" s="1592"/>
      <c r="AD1049" s="1592"/>
      <c r="AE1049" s="1592"/>
      <c r="AF1049" s="1592"/>
      <c r="AG1049" s="1592"/>
      <c r="AH1049" s="1592"/>
      <c r="AI1049" s="1592"/>
      <c r="AJ1049" s="1592"/>
      <c r="AK1049" s="159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92"/>
      <c r="E1050" s="1592"/>
      <c r="F1050" s="1592"/>
      <c r="G1050" s="1592"/>
      <c r="H1050" s="1592"/>
      <c r="I1050" s="1592"/>
      <c r="J1050" s="1592"/>
      <c r="K1050" s="1592"/>
      <c r="L1050" s="1592"/>
      <c r="M1050" s="1592"/>
      <c r="N1050" s="1592"/>
      <c r="O1050" s="1592"/>
      <c r="P1050" s="1592"/>
      <c r="Q1050" s="1592"/>
      <c r="R1050" s="1592"/>
      <c r="S1050" s="1592"/>
      <c r="T1050" s="1592"/>
      <c r="U1050" s="1592"/>
      <c r="V1050" s="1592"/>
      <c r="W1050" s="1592"/>
      <c r="X1050" s="1592"/>
      <c r="Y1050" s="1592"/>
      <c r="Z1050" s="1592"/>
      <c r="AA1050" s="1592"/>
      <c r="AB1050" s="1592"/>
      <c r="AC1050" s="1592"/>
      <c r="AD1050" s="1592"/>
      <c r="AE1050" s="1592"/>
      <c r="AF1050" s="1592"/>
      <c r="AG1050" s="1592"/>
      <c r="AH1050" s="1592"/>
      <c r="AI1050" s="1592"/>
      <c r="AJ1050" s="1592"/>
      <c r="AK1050" s="159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0" t="s">
        <v>134</v>
      </c>
      <c r="B1051" s="1670"/>
      <c r="C1051" s="541">
        <v>8</v>
      </c>
      <c r="D1051" s="1591" t="s">
        <v>2239</v>
      </c>
      <c r="E1051" s="1592"/>
      <c r="F1051" s="1592"/>
      <c r="G1051" s="1592"/>
      <c r="H1051" s="1592"/>
      <c r="I1051" s="1592"/>
      <c r="J1051" s="1592"/>
      <c r="K1051" s="1592"/>
      <c r="L1051" s="1592"/>
      <c r="M1051" s="1592"/>
      <c r="N1051" s="1592"/>
      <c r="O1051" s="1592"/>
      <c r="P1051" s="1592"/>
      <c r="Q1051" s="1592"/>
      <c r="R1051" s="1592"/>
      <c r="S1051" s="1592"/>
      <c r="T1051" s="1592"/>
      <c r="U1051" s="1592"/>
      <c r="V1051" s="1592"/>
      <c r="W1051" s="1592"/>
      <c r="X1051" s="1592"/>
      <c r="Y1051" s="1592"/>
      <c r="Z1051" s="1592"/>
      <c r="AA1051" s="1592"/>
      <c r="AB1051" s="1592"/>
      <c r="AC1051" s="1592"/>
      <c r="AD1051" s="1592"/>
      <c r="AE1051" s="1592"/>
      <c r="AF1051" s="1592"/>
      <c r="AG1051" s="1592"/>
      <c r="AH1051" s="1592"/>
      <c r="AI1051" s="1592"/>
      <c r="AJ1051" s="1592"/>
      <c r="AK1051" s="1592"/>
      <c r="AL1051" s="16"/>
      <c r="CE1051" s="1341"/>
    </row>
    <row r="1052" spans="1:97" ht="12.75" customHeight="1">
      <c r="A1052" s="1064"/>
      <c r="B1052" s="1064"/>
      <c r="C1052" s="541"/>
      <c r="D1052" s="1592"/>
      <c r="E1052" s="1592"/>
      <c r="F1052" s="1592"/>
      <c r="G1052" s="1592"/>
      <c r="H1052" s="1592"/>
      <c r="I1052" s="1592"/>
      <c r="J1052" s="1592"/>
      <c r="K1052" s="1592"/>
      <c r="L1052" s="1592"/>
      <c r="M1052" s="1592"/>
      <c r="N1052" s="1592"/>
      <c r="O1052" s="1592"/>
      <c r="P1052" s="1592"/>
      <c r="Q1052" s="1592"/>
      <c r="R1052" s="1592"/>
      <c r="S1052" s="1592"/>
      <c r="T1052" s="1592"/>
      <c r="U1052" s="1592"/>
      <c r="V1052" s="1592"/>
      <c r="W1052" s="1592"/>
      <c r="X1052" s="1592"/>
      <c r="Y1052" s="1592"/>
      <c r="Z1052" s="1592"/>
      <c r="AA1052" s="1592"/>
      <c r="AB1052" s="1592"/>
      <c r="AC1052" s="1592"/>
      <c r="AD1052" s="1592"/>
      <c r="AE1052" s="1592"/>
      <c r="AF1052" s="1592"/>
      <c r="AG1052" s="1592"/>
      <c r="AH1052" s="1592"/>
      <c r="AI1052" s="1592"/>
      <c r="AJ1052" s="1592"/>
      <c r="AK1052" s="1592"/>
    </row>
    <row r="1053" spans="1:97" ht="12.75" customHeight="1">
      <c r="A1053" s="390"/>
      <c r="B1053" s="390"/>
      <c r="C1053" s="541"/>
      <c r="D1053" s="1592"/>
      <c r="E1053" s="1592"/>
      <c r="F1053" s="1592"/>
      <c r="G1053" s="1592"/>
      <c r="H1053" s="1592"/>
      <c r="I1053" s="1592"/>
      <c r="J1053" s="1592"/>
      <c r="K1053" s="1592"/>
      <c r="L1053" s="1592"/>
      <c r="M1053" s="1592"/>
      <c r="N1053" s="1592"/>
      <c r="O1053" s="1592"/>
      <c r="P1053" s="1592"/>
      <c r="Q1053" s="1592"/>
      <c r="R1053" s="1592"/>
      <c r="S1053" s="1592"/>
      <c r="T1053" s="1592"/>
      <c r="U1053" s="1592"/>
      <c r="V1053" s="1592"/>
      <c r="W1053" s="1592"/>
      <c r="X1053" s="1592"/>
      <c r="Y1053" s="1592"/>
      <c r="Z1053" s="1592"/>
      <c r="AA1053" s="1592"/>
      <c r="AB1053" s="1592"/>
      <c r="AC1053" s="1592"/>
      <c r="AD1053" s="1592"/>
      <c r="AE1053" s="1592"/>
      <c r="AF1053" s="1592"/>
      <c r="AG1053" s="1592"/>
      <c r="AH1053" s="1592"/>
      <c r="AI1053" s="1592"/>
      <c r="AJ1053" s="1592"/>
      <c r="AK1053" s="1592"/>
    </row>
    <row r="1054" spans="1:97" ht="12.75" customHeight="1">
      <c r="A1054" s="76"/>
      <c r="B1054" s="80"/>
      <c r="C1054" s="541"/>
      <c r="D1054" s="1592"/>
      <c r="E1054" s="1592"/>
      <c r="F1054" s="1592"/>
      <c r="G1054" s="1592"/>
      <c r="H1054" s="1592"/>
      <c r="I1054" s="1592"/>
      <c r="J1054" s="1592"/>
      <c r="K1054" s="1592"/>
      <c r="L1054" s="1592"/>
      <c r="M1054" s="1592"/>
      <c r="N1054" s="1592"/>
      <c r="O1054" s="1592"/>
      <c r="P1054" s="1592"/>
      <c r="Q1054" s="1592"/>
      <c r="R1054" s="1592"/>
      <c r="S1054" s="1592"/>
      <c r="T1054" s="1592"/>
      <c r="U1054" s="1592"/>
      <c r="V1054" s="1592"/>
      <c r="W1054" s="1592"/>
      <c r="X1054" s="1592"/>
      <c r="Y1054" s="1592"/>
      <c r="Z1054" s="1592"/>
      <c r="AA1054" s="1592"/>
      <c r="AB1054" s="1592"/>
      <c r="AC1054" s="1592"/>
      <c r="AD1054" s="1592"/>
      <c r="AE1054" s="1592"/>
      <c r="AF1054" s="1592"/>
      <c r="AG1054" s="1592"/>
      <c r="AH1054" s="1592"/>
      <c r="AI1054" s="1592"/>
      <c r="AJ1054" s="1592"/>
      <c r="AK1054" s="1592"/>
    </row>
    <row r="1055" spans="1:97" ht="29.25" customHeight="1">
      <c r="A1055" s="1692" t="s">
        <v>134</v>
      </c>
      <c r="B1055" s="1692"/>
      <c r="C1055" s="541">
        <v>9</v>
      </c>
      <c r="D1055" s="1592" t="s">
        <v>1660</v>
      </c>
      <c r="E1055" s="1592"/>
      <c r="F1055" s="1592"/>
      <c r="G1055" s="1592"/>
      <c r="H1055" s="1592"/>
      <c r="I1055" s="1592"/>
      <c r="J1055" s="1592"/>
      <c r="K1055" s="1592"/>
      <c r="L1055" s="1592"/>
      <c r="M1055" s="1592"/>
      <c r="N1055" s="1592"/>
      <c r="O1055" s="1592"/>
      <c r="P1055" s="1592"/>
      <c r="Q1055" s="1592"/>
      <c r="R1055" s="1592"/>
      <c r="S1055" s="1592"/>
      <c r="T1055" s="1592"/>
      <c r="U1055" s="1592"/>
      <c r="V1055" s="1592"/>
      <c r="W1055" s="1592"/>
      <c r="X1055" s="1592"/>
      <c r="Y1055" s="1592"/>
      <c r="Z1055" s="1592"/>
      <c r="AA1055" s="1592"/>
      <c r="AB1055" s="1592"/>
      <c r="AC1055" s="1592"/>
      <c r="AD1055" s="1592"/>
      <c r="AE1055" s="1592"/>
      <c r="AF1055" s="1592"/>
      <c r="AG1055" s="1592"/>
      <c r="AH1055" s="1592"/>
      <c r="AI1055" s="1592"/>
      <c r="AJ1055" s="1592"/>
      <c r="AK1055" s="1592"/>
    </row>
    <row r="1056" spans="1:97" ht="12.75" hidden="1" customHeight="1">
      <c r="A1056" s="76"/>
      <c r="B1056" s="80"/>
      <c r="C1056" s="541"/>
      <c r="D1056" s="1592"/>
      <c r="E1056" s="1592"/>
      <c r="F1056" s="1592"/>
      <c r="G1056" s="1592"/>
      <c r="H1056" s="1592"/>
      <c r="I1056" s="1592"/>
      <c r="J1056" s="1592"/>
      <c r="K1056" s="1592"/>
      <c r="L1056" s="1592"/>
      <c r="M1056" s="1592"/>
      <c r="N1056" s="1592"/>
      <c r="O1056" s="1592"/>
      <c r="P1056" s="1592"/>
      <c r="Q1056" s="1592"/>
      <c r="R1056" s="1592"/>
      <c r="S1056" s="1592"/>
      <c r="T1056" s="1592"/>
      <c r="U1056" s="1592"/>
      <c r="V1056" s="1592"/>
      <c r="W1056" s="1592"/>
      <c r="X1056" s="1592"/>
      <c r="Y1056" s="1592"/>
      <c r="Z1056" s="1592"/>
      <c r="AA1056" s="1592"/>
      <c r="AB1056" s="1592"/>
      <c r="AC1056" s="1592"/>
      <c r="AD1056" s="1592"/>
      <c r="AE1056" s="1592"/>
      <c r="AF1056" s="1592"/>
      <c r="AG1056" s="1592"/>
      <c r="AH1056" s="1592"/>
      <c r="AI1056" s="1592"/>
      <c r="AJ1056" s="1592"/>
      <c r="AK1056" s="1592"/>
    </row>
    <row r="1057" spans="1:38" ht="12.75" hidden="1" customHeight="1">
      <c r="D1057" s="1592"/>
      <c r="E1057" s="1592"/>
      <c r="F1057" s="1592"/>
      <c r="G1057" s="1592"/>
      <c r="H1057" s="1592"/>
      <c r="I1057" s="1592"/>
      <c r="J1057" s="1592"/>
      <c r="K1057" s="1592"/>
      <c r="L1057" s="1592"/>
      <c r="M1057" s="1592"/>
      <c r="N1057" s="1592"/>
      <c r="O1057" s="1592"/>
      <c r="P1057" s="1592"/>
      <c r="Q1057" s="1592"/>
      <c r="R1057" s="1592"/>
      <c r="S1057" s="1592"/>
      <c r="T1057" s="1592"/>
      <c r="U1057" s="1592"/>
      <c r="V1057" s="1592"/>
      <c r="W1057" s="1592"/>
      <c r="X1057" s="1592"/>
      <c r="Y1057" s="1592"/>
      <c r="Z1057" s="1592"/>
      <c r="AA1057" s="1592"/>
      <c r="AB1057" s="1592"/>
      <c r="AC1057" s="1592"/>
      <c r="AD1057" s="1592"/>
      <c r="AE1057" s="1592"/>
      <c r="AF1057" s="1592"/>
      <c r="AG1057" s="1592"/>
      <c r="AH1057" s="1592"/>
      <c r="AI1057" s="1592"/>
      <c r="AJ1057" s="1592"/>
      <c r="AK1057" s="159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2">
    <mergeCell ref="S496:AK497"/>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U810:X810"/>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AC637:AE637"/>
    <mergeCell ref="AF637:AJ637"/>
    <mergeCell ref="AK637:AN637"/>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H529:AK529"/>
    <mergeCell ref="AC534:AF534"/>
    <mergeCell ref="AH547:AK547"/>
    <mergeCell ref="AH507:AK507"/>
    <mergeCell ref="AH522:AK522"/>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Z602:AE602"/>
    <mergeCell ref="AI602:AK60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G591:R591"/>
    <mergeCell ref="Z599:AK599"/>
    <mergeCell ref="AG604:AH604"/>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H595:R595"/>
    <mergeCell ref="G598:R598"/>
    <mergeCell ref="G606:R606"/>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Z674:AK674"/>
    <mergeCell ref="N670:O670"/>
    <mergeCell ref="G682:R682"/>
    <mergeCell ref="Z682:AK682"/>
    <mergeCell ref="G676:L676"/>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J755:N755"/>
    <mergeCell ref="O755:S755"/>
    <mergeCell ref="B726:F726"/>
    <mergeCell ref="G722:J722"/>
    <mergeCell ref="B731:F731"/>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AE919:AK919"/>
    <mergeCell ref="AA934:AG934"/>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345:AL346"/>
    <mergeCell ref="AA343:AK343"/>
    <mergeCell ref="M351:N351"/>
    <mergeCell ref="O756:S756"/>
    <mergeCell ref="T836:V836"/>
    <mergeCell ref="B723:F723"/>
    <mergeCell ref="F892:T893"/>
    <mergeCell ref="O762:S765"/>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Z557:AD559"/>
    <mergeCell ref="AE557:AH559"/>
    <mergeCell ref="L924:S924"/>
    <mergeCell ref="M350:N350"/>
    <mergeCell ref="Q557:S559"/>
    <mergeCell ref="T557:V559"/>
    <mergeCell ref="B722:F722"/>
    <mergeCell ref="AA323:AK323"/>
    <mergeCell ref="J774:N774"/>
    <mergeCell ref="O774:S774"/>
    <mergeCell ref="G702:J705"/>
    <mergeCell ref="G716:J716"/>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H334:M334"/>
    <mergeCell ref="AA337:AK337"/>
    <mergeCell ref="AJ349:AK349"/>
    <mergeCell ref="H337:R337"/>
    <mergeCell ref="AI610:AK610"/>
    <mergeCell ref="AA619:AK619"/>
    <mergeCell ref="AC801:AF802"/>
    <mergeCell ref="G692:L692"/>
    <mergeCell ref="N371:P371"/>
    <mergeCell ref="AG373:AH373"/>
    <mergeCell ref="AJ351:AK351"/>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G808:AJ808"/>
    <mergeCell ref="Q808:T808"/>
    <mergeCell ref="U807:X807"/>
    <mergeCell ref="AG807:AJ807"/>
    <mergeCell ref="O766:S766"/>
    <mergeCell ref="J767:N767"/>
    <mergeCell ref="AI382:AJ382"/>
    <mergeCell ref="Y807:AB807"/>
    <mergeCell ref="J762:N765"/>
    <mergeCell ref="G731:J731"/>
    <mergeCell ref="AI557:AL559"/>
    <mergeCell ref="AA298:AK298"/>
    <mergeCell ref="P293:R293"/>
    <mergeCell ref="AA313:AK313"/>
    <mergeCell ref="H311:R311"/>
    <mergeCell ref="T280:V280"/>
    <mergeCell ref="H298:R298"/>
    <mergeCell ref="M255:T255"/>
    <mergeCell ref="AA305:AK305"/>
    <mergeCell ref="L278:S278"/>
    <mergeCell ref="AF261:AK261"/>
    <mergeCell ref="L276:AJ276"/>
    <mergeCell ref="V278:W278"/>
    <mergeCell ref="H307:R307"/>
    <mergeCell ref="AA303:AK303"/>
    <mergeCell ref="M267:T26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D167:Y167"/>
    <mergeCell ref="W237:X237"/>
    <mergeCell ref="M242:AE242"/>
    <mergeCell ref="O161:R161"/>
    <mergeCell ref="O156:AH156"/>
    <mergeCell ref="W162:X162"/>
    <mergeCell ref="O160:X160"/>
    <mergeCell ref="M254:AE254"/>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AE215:AF215"/>
    <mergeCell ref="W263:X263"/>
    <mergeCell ref="M259:T259"/>
    <mergeCell ref="H300:R300"/>
    <mergeCell ref="H292:R292"/>
    <mergeCell ref="P301:R301"/>
    <mergeCell ref="AI301:AK301"/>
    <mergeCell ref="L277:AD277"/>
    <mergeCell ref="W255:X255"/>
    <mergeCell ref="H293:M293"/>
    <mergeCell ref="M240:AE240"/>
    <mergeCell ref="M263:T263"/>
    <mergeCell ref="D272:H272"/>
    <mergeCell ref="M266:AE266"/>
    <mergeCell ref="M248:AE248"/>
    <mergeCell ref="AB278:AD278"/>
    <mergeCell ref="AA310:AF310"/>
    <mergeCell ref="Z249:AE249"/>
    <mergeCell ref="M247:T247"/>
    <mergeCell ref="M241:T241"/>
    <mergeCell ref="AC247:AE247"/>
    <mergeCell ref="AF245:AK245"/>
    <mergeCell ref="AC255:AE255"/>
    <mergeCell ref="M256:AE256"/>
    <mergeCell ref="U257:W257"/>
    <mergeCell ref="H310:M310"/>
    <mergeCell ref="L281:AD281"/>
    <mergeCell ref="AA259:AK259"/>
    <mergeCell ref="L279:AD279"/>
    <mergeCell ref="X272:AC272"/>
    <mergeCell ref="H289:R289"/>
    <mergeCell ref="M262:AE262"/>
    <mergeCell ref="AA293:AF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Y779:AC779"/>
    <mergeCell ref="B729:F729"/>
    <mergeCell ref="J756:N75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AA341:AF341"/>
    <mergeCell ref="U265:W265"/>
    <mergeCell ref="A284:AL285"/>
    <mergeCell ref="L280:Q280"/>
    <mergeCell ref="M261:AE261"/>
    <mergeCell ref="T269:X269"/>
    <mergeCell ref="AC263:AE263"/>
    <mergeCell ref="M258:AE258"/>
    <mergeCell ref="Y280:AD280"/>
    <mergeCell ref="M265:R265"/>
    <mergeCell ref="W557:Y559"/>
    <mergeCell ref="AA321:AK321"/>
    <mergeCell ref="AA326:AF326"/>
    <mergeCell ref="H340:R340"/>
    <mergeCell ref="H342:M342"/>
    <mergeCell ref="AA292:AK292"/>
    <mergeCell ref="AA297:AK297"/>
    <mergeCell ref="AA301:AF301"/>
    <mergeCell ref="AA300:AK300"/>
    <mergeCell ref="H297:R297"/>
    <mergeCell ref="I403:AD403"/>
    <mergeCell ref="AA325:AF325"/>
    <mergeCell ref="H331:R331"/>
    <mergeCell ref="AA295:AK295"/>
    <mergeCell ref="AA267:AK267"/>
    <mergeCell ref="H290:R290"/>
    <mergeCell ref="P325:R325"/>
    <mergeCell ref="AA302:AF302"/>
    <mergeCell ref="H326:M326"/>
    <mergeCell ref="H339:R339"/>
    <mergeCell ref="M264:AE264"/>
    <mergeCell ref="AA294:AF294"/>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08:R308"/>
    <mergeCell ref="AA299:AK299"/>
    <mergeCell ref="H299:R299"/>
    <mergeCell ref="H303:R303"/>
    <mergeCell ref="P309:R309"/>
    <mergeCell ref="H309:M309"/>
    <mergeCell ref="H294:M294"/>
    <mergeCell ref="H302:M302"/>
    <mergeCell ref="H341:M341"/>
    <mergeCell ref="H330:R330"/>
    <mergeCell ref="AA289:AK289"/>
    <mergeCell ref="P317:R317"/>
    <mergeCell ref="AA331:AK331"/>
    <mergeCell ref="AA330:AK330"/>
    <mergeCell ref="AA332:AK332"/>
    <mergeCell ref="AA329:AK329"/>
    <mergeCell ref="AA333:AF333"/>
    <mergeCell ref="AA335:AK335"/>
    <mergeCell ref="AA307:AK307"/>
    <mergeCell ref="AA306:AK306"/>
    <mergeCell ref="AA308:AK308"/>
    <mergeCell ref="AA309:AF309"/>
    <mergeCell ref="AA311:AK311"/>
    <mergeCell ref="H313:R313"/>
    <mergeCell ref="H314:R314"/>
    <mergeCell ref="H315:R315"/>
    <mergeCell ref="H316:R316"/>
    <mergeCell ref="H317:M317"/>
    <mergeCell ref="H319:R319"/>
    <mergeCell ref="H322:R322"/>
    <mergeCell ref="H324:R324"/>
    <mergeCell ref="H321:R321"/>
    <mergeCell ref="H323:R323"/>
    <mergeCell ref="H325:M325"/>
    <mergeCell ref="H327:R327"/>
    <mergeCell ref="H332:R332"/>
    <mergeCell ref="AA316:AK316"/>
    <mergeCell ref="H306:R306"/>
    <mergeCell ref="AA317:AF317"/>
    <mergeCell ref="AI317:AK317"/>
    <mergeCell ref="AA315:AK315"/>
    <mergeCell ref="AI325:AK325"/>
    <mergeCell ref="AI309:AK309"/>
    <mergeCell ref="H318:M318"/>
    <mergeCell ref="AA314:AK314"/>
  </mergeCells>
  <phoneticPr fontId="0" type="noConversion"/>
  <conditionalFormatting sqref="AF990">
    <cfRule type="cellIs" dxfId="123" priority="2" stopIfTrue="1" operator="equal">
      <formula>"Please Enter Amount:"</formula>
    </cfRule>
  </conditionalFormatting>
  <conditionalFormatting sqref="B1013 B1011">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8">
    <cfRule type="cellIs" dxfId="120" priority="3" stopIfTrue="1" operator="equal">
      <formula>"Please Enter Amount:"</formula>
    </cfRule>
  </conditionalFormatting>
  <conditionalFormatting sqref="AF983">
    <cfRule type="cellIs" dxfId="11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workbookViewId="0">
      <selection activeCell="C88" sqref="C8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209" t="s">
        <v>199</v>
      </c>
      <c r="G1" s="2210"/>
      <c r="H1" s="2210"/>
      <c r="I1" s="2210"/>
      <c r="J1" s="2210"/>
      <c r="K1" s="2210"/>
      <c r="L1" s="2210"/>
      <c r="M1" s="2210"/>
      <c r="N1" s="2210"/>
      <c r="O1" s="2210"/>
      <c r="P1" s="2210"/>
      <c r="Q1" s="2210"/>
      <c r="R1" s="2211"/>
      <c r="S1" s="314"/>
      <c r="T1" s="313"/>
      <c r="U1" s="315"/>
    </row>
    <row r="2" spans="1:21" s="362" customFormat="1" ht="60" customHeight="1">
      <c r="A2" s="361"/>
      <c r="B2" s="362" t="s">
        <v>867</v>
      </c>
      <c r="C2" s="362" t="s">
        <v>561</v>
      </c>
      <c r="D2" s="432" t="s">
        <v>560</v>
      </c>
      <c r="E2" s="362" t="s">
        <v>868</v>
      </c>
      <c r="F2" s="363" t="str">
        <f>Application!B632&amp;Application!C632</f>
        <v>1)JP Morgan Chase Permanent Loan</v>
      </c>
      <c r="G2" s="363" t="str">
        <f>Application!B633&amp;Application!C633</f>
        <v>2)County of Santa Clara</v>
      </c>
      <c r="H2" s="363" t="str">
        <f>Application!B634&amp;Application!C634</f>
        <v>3)City of Palo Alto</v>
      </c>
      <c r="I2" s="363" t="str">
        <f>Application!B635&amp;Application!C635</f>
        <v>4)Value of Donated Land (GP equity or deferred fee or sponsor loan TBD based on investor negotiations)</v>
      </c>
      <c r="J2" s="363" t="str">
        <f>Application!B636&amp;Application!C636</f>
        <v>5)GP Equity (Eden Housing)</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6000000</v>
      </c>
      <c r="C4" s="371">
        <f>[4]EVERYTHING!$D$28</f>
        <v>5700000</v>
      </c>
      <c r="D4" s="371">
        <f>[4]EVERYTHING!$E$28</f>
        <v>300000</v>
      </c>
      <c r="E4" s="371">
        <f>B4-SUM(F4:L4)</f>
        <v>0</v>
      </c>
      <c r="F4" s="371"/>
      <c r="G4" s="371"/>
      <c r="H4" s="371"/>
      <c r="I4" s="371">
        <f>B4</f>
        <v>6000000</v>
      </c>
      <c r="J4" s="371"/>
      <c r="K4" s="371"/>
      <c r="L4" s="371"/>
      <c r="M4" s="371"/>
      <c r="N4" s="371"/>
      <c r="O4" s="371"/>
      <c r="P4" s="371"/>
      <c r="Q4" s="371"/>
      <c r="R4" s="371">
        <f>SUM(E4:Q4)</f>
        <v>6000000</v>
      </c>
      <c r="S4" s="372"/>
      <c r="T4" s="372"/>
      <c r="U4" s="367"/>
    </row>
    <row r="5" spans="1:21" s="368" customFormat="1" ht="13.5">
      <c r="A5" s="464" t="s">
        <v>74</v>
      </c>
      <c r="B5" s="370">
        <f>SUM(C5+D5)</f>
        <v>0</v>
      </c>
      <c r="C5" s="371"/>
      <c r="D5" s="371"/>
      <c r="E5" s="371">
        <f t="shared" ref="E5:E7" si="0">B5-SUM(F5:L5)</f>
        <v>0</v>
      </c>
      <c r="F5" s="371"/>
      <c r="G5" s="371"/>
      <c r="H5" s="371"/>
      <c r="I5" s="371"/>
      <c r="J5" s="371"/>
      <c r="K5" s="371"/>
      <c r="L5" s="371"/>
      <c r="M5" s="371"/>
      <c r="N5" s="371"/>
      <c r="O5" s="371"/>
      <c r="P5" s="371"/>
      <c r="Q5" s="371"/>
      <c r="R5" s="371">
        <f>SUM(E5:Q5)</f>
        <v>0</v>
      </c>
      <c r="S5" s="372"/>
      <c r="T5" s="372"/>
      <c r="U5" s="367"/>
    </row>
    <row r="6" spans="1:21" s="368" customFormat="1">
      <c r="A6" s="369" t="s">
        <v>380</v>
      </c>
      <c r="B6" s="370">
        <f>SUM(C6+D6)</f>
        <v>100000</v>
      </c>
      <c r="C6" s="371">
        <f>[4]EVERYTHING!$D$31</f>
        <v>95000</v>
      </c>
      <c r="D6" s="371">
        <f>[4]EVERYTHING!$E$31</f>
        <v>5000</v>
      </c>
      <c r="E6" s="371">
        <f t="shared" si="0"/>
        <v>100000</v>
      </c>
      <c r="F6" s="371"/>
      <c r="G6" s="371"/>
      <c r="H6" s="371"/>
      <c r="I6" s="371"/>
      <c r="J6" s="371"/>
      <c r="K6" s="371"/>
      <c r="L6" s="371"/>
      <c r="M6" s="371"/>
      <c r="N6" s="371"/>
      <c r="O6" s="371"/>
      <c r="P6" s="371"/>
      <c r="Q6" s="371"/>
      <c r="R6" s="371">
        <f>SUM(E6:Q6)</f>
        <v>100000</v>
      </c>
      <c r="S6" s="372"/>
      <c r="T6" s="372"/>
      <c r="U6" s="367"/>
    </row>
    <row r="7" spans="1:21" s="368" customFormat="1">
      <c r="A7" s="369" t="s">
        <v>308</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6100000</v>
      </c>
      <c r="C8" s="370">
        <f t="shared" ref="C8:R8" si="1">SUM(C4:C7)</f>
        <v>5795000</v>
      </c>
      <c r="D8" s="370">
        <f t="shared" si="1"/>
        <v>305000</v>
      </c>
      <c r="E8" s="370">
        <f t="shared" si="1"/>
        <v>100000</v>
      </c>
      <c r="F8" s="370">
        <f t="shared" si="1"/>
        <v>0</v>
      </c>
      <c r="G8" s="370">
        <f t="shared" si="1"/>
        <v>0</v>
      </c>
      <c r="H8" s="370">
        <f t="shared" si="1"/>
        <v>0</v>
      </c>
      <c r="I8" s="370">
        <f t="shared" si="1"/>
        <v>6000000</v>
      </c>
      <c r="J8" s="370">
        <f t="shared" si="1"/>
        <v>0</v>
      </c>
      <c r="K8" s="370">
        <f t="shared" si="1"/>
        <v>0</v>
      </c>
      <c r="L8" s="370">
        <f t="shared" si="1"/>
        <v>0</v>
      </c>
      <c r="M8" s="370">
        <f t="shared" si="1"/>
        <v>0</v>
      </c>
      <c r="N8" s="370">
        <f t="shared" si="1"/>
        <v>0</v>
      </c>
      <c r="O8" s="370">
        <f t="shared" si="1"/>
        <v>0</v>
      </c>
      <c r="P8" s="370">
        <f t="shared" si="1"/>
        <v>0</v>
      </c>
      <c r="Q8" s="370">
        <f t="shared" si="1"/>
        <v>0</v>
      </c>
      <c r="R8" s="370">
        <f t="shared" si="1"/>
        <v>6100000</v>
      </c>
      <c r="S8" s="372"/>
      <c r="T8" s="372"/>
      <c r="U8" s="367"/>
    </row>
    <row r="9" spans="1:21" s="368" customFormat="1">
      <c r="A9" s="369" t="s">
        <v>1884</v>
      </c>
      <c r="B9" s="370">
        <f>SUM(C9+D9)</f>
        <v>0</v>
      </c>
      <c r="C9" s="371"/>
      <c r="D9" s="371"/>
      <c r="E9" s="371">
        <f t="shared" ref="E9:E10" si="2">B9-SUM(F9:L9)</f>
        <v>0</v>
      </c>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501780</v>
      </c>
      <c r="C10" s="371">
        <f>[4]EVERYTHING!$D$35</f>
        <v>476691</v>
      </c>
      <c r="D10" s="371">
        <f>[4]EVERYTHING!$E$35</f>
        <v>25089</v>
      </c>
      <c r="E10" s="371">
        <f t="shared" si="2"/>
        <v>501780</v>
      </c>
      <c r="F10" s="371"/>
      <c r="G10" s="371"/>
      <c r="H10" s="371"/>
      <c r="I10" s="371"/>
      <c r="J10" s="371"/>
      <c r="K10" s="371"/>
      <c r="L10" s="371"/>
      <c r="M10" s="371"/>
      <c r="N10" s="371"/>
      <c r="O10" s="371"/>
      <c r="P10" s="371"/>
      <c r="Q10" s="371"/>
      <c r="R10" s="371">
        <f>SUM(E10:Q10)</f>
        <v>501780</v>
      </c>
      <c r="S10" s="371">
        <f>C10</f>
        <v>476691</v>
      </c>
      <c r="T10" s="371"/>
      <c r="U10" s="367"/>
    </row>
    <row r="11" spans="1:21" s="368" customFormat="1">
      <c r="A11" s="373" t="s">
        <v>642</v>
      </c>
      <c r="B11" s="370">
        <f>SUM(C11:D11)</f>
        <v>501780</v>
      </c>
      <c r="C11" s="370">
        <f t="shared" ref="C11:T11" si="3">SUM(C9:C10)</f>
        <v>476691</v>
      </c>
      <c r="D11" s="370">
        <f t="shared" si="3"/>
        <v>25089</v>
      </c>
      <c r="E11" s="370">
        <f t="shared" si="3"/>
        <v>501780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501780</v>
      </c>
      <c r="S11" s="372"/>
      <c r="T11" s="370">
        <f t="shared" si="3"/>
        <v>0</v>
      </c>
      <c r="U11" s="367"/>
    </row>
    <row r="12" spans="1:21" s="368" customFormat="1">
      <c r="A12" s="373" t="s">
        <v>772</v>
      </c>
      <c r="B12" s="370">
        <f t="shared" ref="B12:R12" si="4">SUM(B8+B11)</f>
        <v>6601780</v>
      </c>
      <c r="C12" s="370">
        <f t="shared" si="4"/>
        <v>6271691</v>
      </c>
      <c r="D12" s="370">
        <f t="shared" si="4"/>
        <v>330089</v>
      </c>
      <c r="E12" s="370">
        <f t="shared" si="4"/>
        <v>601780</v>
      </c>
      <c r="F12" s="370">
        <f t="shared" si="4"/>
        <v>0</v>
      </c>
      <c r="G12" s="370">
        <f t="shared" si="4"/>
        <v>0</v>
      </c>
      <c r="H12" s="370">
        <f t="shared" si="4"/>
        <v>0</v>
      </c>
      <c r="I12" s="370">
        <f t="shared" si="4"/>
        <v>6000000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6601780</v>
      </c>
      <c r="S12" s="372"/>
      <c r="T12" s="372"/>
      <c r="U12" s="367"/>
    </row>
    <row r="13" spans="1:21" s="368" customFormat="1">
      <c r="A13" s="699" t="s">
        <v>1197</v>
      </c>
      <c r="B13" s="370">
        <f>SUM(C13+D13)</f>
        <v>46177</v>
      </c>
      <c r="C13" s="371">
        <f>[4]EVERYTHING!$D$32</f>
        <v>43868.15</v>
      </c>
      <c r="D13" s="371">
        <f>[4]EVERYTHING!$E$32</f>
        <v>2308.8499999999985</v>
      </c>
      <c r="E13" s="371">
        <f t="shared" ref="E13" si="5">B13-SUM(F13:L13)</f>
        <v>46177</v>
      </c>
      <c r="F13" s="371"/>
      <c r="G13" s="371"/>
      <c r="H13" s="371"/>
      <c r="I13" s="371"/>
      <c r="J13" s="371"/>
      <c r="K13" s="371"/>
      <c r="L13" s="371"/>
      <c r="M13" s="371"/>
      <c r="N13" s="371"/>
      <c r="O13" s="371"/>
      <c r="P13" s="371"/>
      <c r="Q13" s="371"/>
      <c r="R13" s="371">
        <f>SUM(E13:Q13)</f>
        <v>46177</v>
      </c>
      <c r="S13" s="371"/>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996</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997</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998</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2163</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588</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246</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999</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9">SUM(C29+D29)</f>
        <v>1607430</v>
      </c>
      <c r="C29" s="371">
        <f>[4]EVERYTHING!$D$38</f>
        <v>1527058.5</v>
      </c>
      <c r="D29" s="371">
        <f>[4]EVERYTHING!$E$38</f>
        <v>80371.5</v>
      </c>
      <c r="E29" s="371">
        <f t="shared" ref="E29:E37" si="10">B29-SUM(F29:L29)</f>
        <v>1607430</v>
      </c>
      <c r="F29" s="371"/>
      <c r="G29" s="371"/>
      <c r="H29" s="371"/>
      <c r="I29" s="371"/>
      <c r="J29" s="371"/>
      <c r="K29" s="371"/>
      <c r="L29" s="371"/>
      <c r="M29" s="371"/>
      <c r="N29" s="371"/>
      <c r="O29" s="371"/>
      <c r="P29" s="371"/>
      <c r="Q29" s="371"/>
      <c r="R29" s="371">
        <f t="shared" ref="R29:R37" si="11">SUM(E29:Q29)</f>
        <v>1607430</v>
      </c>
      <c r="S29" s="371">
        <f>[4]EVERYTHING!$F$38</f>
        <v>1020251.5</v>
      </c>
      <c r="T29" s="371"/>
      <c r="U29" s="367"/>
    </row>
    <row r="30" spans="1:21" s="368" customFormat="1">
      <c r="A30" s="369" t="s">
        <v>993</v>
      </c>
      <c r="B30" s="370">
        <f t="shared" si="9"/>
        <v>24759943.460000001</v>
      </c>
      <c r="C30" s="371">
        <f>[4]EVERYTHING!$D$39+[4]EVERYTHING!$D$41+[4]EVERYTHING!$D$42</f>
        <v>23521946.287</v>
      </c>
      <c r="D30" s="371">
        <f>[4]EVERYTHING!$E$39+[4]EVERYTHING!$E$41+[4]EVERYTHING!$E$42</f>
        <v>1237997.1729999993</v>
      </c>
      <c r="E30" s="371">
        <f t="shared" si="10"/>
        <v>7556418.4600000009</v>
      </c>
      <c r="F30" s="371">
        <f>Application!AO632</f>
        <v>5852000</v>
      </c>
      <c r="G30" s="371">
        <f>Application!AO633</f>
        <v>9000000</v>
      </c>
      <c r="H30" s="371">
        <f>Application!AO634</f>
        <v>2351425</v>
      </c>
      <c r="I30" s="371"/>
      <c r="J30" s="371">
        <f>Application!AO636</f>
        <v>100</v>
      </c>
      <c r="K30" s="371"/>
      <c r="L30" s="371"/>
      <c r="M30" s="371"/>
      <c r="N30" s="371"/>
      <c r="O30" s="371"/>
      <c r="P30" s="371"/>
      <c r="Q30" s="371"/>
      <c r="R30" s="371">
        <f t="shared" si="11"/>
        <v>24759943.460000001</v>
      </c>
      <c r="S30" s="371">
        <f t="shared" ref="S30:S37" si="12">C30</f>
        <v>23521946.287</v>
      </c>
      <c r="T30" s="371"/>
      <c r="U30" s="367"/>
    </row>
    <row r="31" spans="1:21" s="368" customFormat="1">
      <c r="A31" s="369" t="s">
        <v>994</v>
      </c>
      <c r="B31" s="370">
        <f t="shared" si="9"/>
        <v>2093350</v>
      </c>
      <c r="C31" s="371">
        <f>[4]EVERYTHING!$D$43</f>
        <v>1988682.5</v>
      </c>
      <c r="D31" s="371">
        <f>[4]EVERYTHING!$E$43</f>
        <v>104667.5</v>
      </c>
      <c r="E31" s="371">
        <f t="shared" si="10"/>
        <v>2093350</v>
      </c>
      <c r="F31" s="371"/>
      <c r="G31" s="371"/>
      <c r="H31" s="371"/>
      <c r="I31" s="371"/>
      <c r="J31" s="371"/>
      <c r="K31" s="371"/>
      <c r="L31" s="371"/>
      <c r="M31" s="371"/>
      <c r="N31" s="371"/>
      <c r="O31" s="371"/>
      <c r="P31" s="371"/>
      <c r="Q31" s="371"/>
      <c r="R31" s="371">
        <f t="shared" si="11"/>
        <v>2093350</v>
      </c>
      <c r="S31" s="371">
        <f t="shared" si="12"/>
        <v>1988682.5</v>
      </c>
      <c r="T31" s="371"/>
      <c r="U31" s="367"/>
    </row>
    <row r="32" spans="1:21" s="368" customFormat="1">
      <c r="A32" s="369" t="s">
        <v>995</v>
      </c>
      <c r="B32" s="370">
        <f t="shared" si="9"/>
        <v>367414.8</v>
      </c>
      <c r="C32" s="371">
        <f>[4]EVERYTHING!$D$45*30%</f>
        <v>349044.06</v>
      </c>
      <c r="D32" s="371">
        <f>[4]EVERYTHING!$E$45*30%</f>
        <v>18370.740000000013</v>
      </c>
      <c r="E32" s="371">
        <f t="shared" si="10"/>
        <v>367414.8</v>
      </c>
      <c r="F32" s="371"/>
      <c r="G32" s="371"/>
      <c r="H32" s="371"/>
      <c r="I32" s="371"/>
      <c r="J32" s="371"/>
      <c r="K32" s="371"/>
      <c r="L32" s="371"/>
      <c r="M32" s="371"/>
      <c r="N32" s="371"/>
      <c r="O32" s="371"/>
      <c r="P32" s="371"/>
      <c r="Q32" s="371"/>
      <c r="R32" s="371">
        <f t="shared" si="11"/>
        <v>367414.8</v>
      </c>
      <c r="S32" s="371">
        <f t="shared" si="12"/>
        <v>349044.06</v>
      </c>
      <c r="T32" s="371"/>
      <c r="U32" s="367"/>
    </row>
    <row r="33" spans="1:21" s="368" customFormat="1">
      <c r="A33" s="369" t="s">
        <v>996</v>
      </c>
      <c r="B33" s="370">
        <f t="shared" si="9"/>
        <v>857301.2</v>
      </c>
      <c r="C33" s="371">
        <f>[4]EVERYTHING!$D$45*70%</f>
        <v>814436.1399999999</v>
      </c>
      <c r="D33" s="371">
        <f>[4]EVERYTHING!$E$45*70%</f>
        <v>42865.060000000027</v>
      </c>
      <c r="E33" s="371">
        <f t="shared" si="10"/>
        <v>857301.2</v>
      </c>
      <c r="F33" s="371"/>
      <c r="G33" s="371"/>
      <c r="H33" s="371"/>
      <c r="I33" s="371"/>
      <c r="J33" s="371"/>
      <c r="K33" s="371"/>
      <c r="L33" s="371"/>
      <c r="M33" s="371"/>
      <c r="N33" s="371"/>
      <c r="O33" s="371"/>
      <c r="P33" s="371"/>
      <c r="Q33" s="371"/>
      <c r="R33" s="371">
        <f t="shared" si="11"/>
        <v>857301.2</v>
      </c>
      <c r="S33" s="371">
        <f t="shared" si="12"/>
        <v>814436.1399999999</v>
      </c>
      <c r="T33" s="371"/>
      <c r="U33" s="367"/>
    </row>
    <row r="34" spans="1:21" s="368" customFormat="1">
      <c r="A34" s="369" t="s">
        <v>997</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c r="A35" s="369" t="s">
        <v>998</v>
      </c>
      <c r="B35" s="370">
        <f t="shared" si="9"/>
        <v>217258</v>
      </c>
      <c r="C35" s="371">
        <f>[4]EVERYTHING!$D$44</f>
        <v>206395.09999999998</v>
      </c>
      <c r="D35" s="371">
        <f>[4]EVERYTHING!$E$44</f>
        <v>10862.900000000023</v>
      </c>
      <c r="E35" s="371">
        <f t="shared" si="10"/>
        <v>217258</v>
      </c>
      <c r="F35" s="371"/>
      <c r="G35" s="371"/>
      <c r="H35" s="371"/>
      <c r="I35" s="371"/>
      <c r="J35" s="371"/>
      <c r="K35" s="371"/>
      <c r="L35" s="371"/>
      <c r="M35" s="371"/>
      <c r="N35" s="371"/>
      <c r="O35" s="371"/>
      <c r="P35" s="371"/>
      <c r="Q35" s="371"/>
      <c r="R35" s="371">
        <f t="shared" si="11"/>
        <v>217258</v>
      </c>
      <c r="S35" s="371">
        <f t="shared" si="12"/>
        <v>206395.09999999998</v>
      </c>
      <c r="T35" s="371"/>
      <c r="U35" s="367"/>
    </row>
    <row r="36" spans="1:21" s="368" customFormat="1">
      <c r="A36" s="380" t="s">
        <v>2163</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2"/>
        <v>0</v>
      </c>
      <c r="T36" s="371"/>
      <c r="U36" s="367"/>
    </row>
    <row r="37" spans="1:21" s="368" customFormat="1">
      <c r="A37" s="376" t="s">
        <v>2435</v>
      </c>
      <c r="B37" s="370">
        <f t="shared" si="9"/>
        <v>259452</v>
      </c>
      <c r="C37" s="371">
        <f>[4]EVERYTHING!$D$40</f>
        <v>259452</v>
      </c>
      <c r="D37" s="371">
        <f>[4]EVERYTHING!$E$40</f>
        <v>0</v>
      </c>
      <c r="E37" s="371">
        <f t="shared" si="10"/>
        <v>259452</v>
      </c>
      <c r="F37" s="371"/>
      <c r="G37" s="371"/>
      <c r="H37" s="371"/>
      <c r="I37" s="371"/>
      <c r="J37" s="371"/>
      <c r="K37" s="371"/>
      <c r="L37" s="371"/>
      <c r="M37" s="371"/>
      <c r="N37" s="371"/>
      <c r="O37" s="371"/>
      <c r="P37" s="371"/>
      <c r="Q37" s="371"/>
      <c r="R37" s="371">
        <f t="shared" si="11"/>
        <v>259452</v>
      </c>
      <c r="S37" s="371">
        <f t="shared" si="12"/>
        <v>259452</v>
      </c>
      <c r="T37" s="371"/>
      <c r="U37" s="367"/>
    </row>
    <row r="38" spans="1:21" s="368" customFormat="1">
      <c r="A38" s="373" t="s">
        <v>1001</v>
      </c>
      <c r="B38" s="370">
        <f t="shared" si="9"/>
        <v>30162149.460000001</v>
      </c>
      <c r="C38" s="370">
        <f>SUM(C29:C37)</f>
        <v>28667014.587000001</v>
      </c>
      <c r="D38" s="370">
        <f>SUM(D29:D37)</f>
        <v>1495134.8729999992</v>
      </c>
      <c r="E38" s="370">
        <f>SUM(E29:E37)</f>
        <v>12958624.460000001</v>
      </c>
      <c r="F38" s="370">
        <f t="shared" ref="F38:T38" si="13">SUM(F29:F37)</f>
        <v>5852000</v>
      </c>
      <c r="G38" s="370">
        <f t="shared" si="13"/>
        <v>9000000</v>
      </c>
      <c r="H38" s="370">
        <f t="shared" si="13"/>
        <v>2351425</v>
      </c>
      <c r="I38" s="370">
        <f t="shared" si="13"/>
        <v>0</v>
      </c>
      <c r="J38" s="370">
        <f t="shared" si="13"/>
        <v>100</v>
      </c>
      <c r="K38" s="370">
        <f t="shared" si="13"/>
        <v>0</v>
      </c>
      <c r="L38" s="370">
        <f t="shared" si="13"/>
        <v>0</v>
      </c>
      <c r="M38" s="370">
        <f t="shared" si="13"/>
        <v>0</v>
      </c>
      <c r="N38" s="370">
        <f t="shared" si="13"/>
        <v>0</v>
      </c>
      <c r="O38" s="370">
        <f t="shared" si="13"/>
        <v>0</v>
      </c>
      <c r="P38" s="370">
        <f t="shared" si="13"/>
        <v>0</v>
      </c>
      <c r="Q38" s="370">
        <f t="shared" si="13"/>
        <v>0</v>
      </c>
      <c r="R38" s="370">
        <f t="shared" si="13"/>
        <v>30162149.460000001</v>
      </c>
      <c r="S38" s="374">
        <f t="shared" si="13"/>
        <v>28160207.587000001</v>
      </c>
      <c r="T38" s="374">
        <f t="shared" si="13"/>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1438400</v>
      </c>
      <c r="C40" s="371">
        <f>[4]EVERYTHING!$D$48*80%</f>
        <v>1366480</v>
      </c>
      <c r="D40" s="371">
        <f>[4]EVERYTHING!$E$48*80%</f>
        <v>71920</v>
      </c>
      <c r="E40" s="371">
        <f t="shared" ref="E40:E41" si="14">B40-SUM(F40:L40)</f>
        <v>1438400</v>
      </c>
      <c r="F40" s="371"/>
      <c r="G40" s="371"/>
      <c r="H40" s="371"/>
      <c r="I40" s="371"/>
      <c r="J40" s="371"/>
      <c r="K40" s="371"/>
      <c r="L40" s="371"/>
      <c r="M40" s="371"/>
      <c r="N40" s="371"/>
      <c r="O40" s="371"/>
      <c r="P40" s="371"/>
      <c r="Q40" s="371"/>
      <c r="R40" s="371">
        <f>SUM(E40:Q40)</f>
        <v>1438400</v>
      </c>
      <c r="S40" s="371">
        <f t="shared" ref="S40:S41" si="15">C40</f>
        <v>1366480</v>
      </c>
      <c r="T40" s="371"/>
      <c r="U40" s="367"/>
    </row>
    <row r="41" spans="1:21" s="368" customFormat="1">
      <c r="A41" s="369" t="s">
        <v>1004</v>
      </c>
      <c r="B41" s="370">
        <f>SUM(C41+D41)</f>
        <v>359600</v>
      </c>
      <c r="C41" s="371">
        <f>[4]EVERYTHING!$D$48*20%</f>
        <v>341620</v>
      </c>
      <c r="D41" s="371">
        <f>[4]EVERYTHING!$E$48*20%</f>
        <v>17980</v>
      </c>
      <c r="E41" s="371">
        <f t="shared" si="14"/>
        <v>359600</v>
      </c>
      <c r="F41" s="371"/>
      <c r="G41" s="371"/>
      <c r="H41" s="371"/>
      <c r="I41" s="371"/>
      <c r="J41" s="371"/>
      <c r="K41" s="371"/>
      <c r="L41" s="371"/>
      <c r="M41" s="371"/>
      <c r="N41" s="371"/>
      <c r="O41" s="371"/>
      <c r="P41" s="371"/>
      <c r="Q41" s="371"/>
      <c r="R41" s="371">
        <f>SUM(E41:Q41)</f>
        <v>359600</v>
      </c>
      <c r="S41" s="371">
        <f t="shared" si="15"/>
        <v>341620</v>
      </c>
      <c r="T41" s="371"/>
      <c r="U41" s="367"/>
    </row>
    <row r="42" spans="1:21" s="368" customFormat="1">
      <c r="A42" s="373" t="s">
        <v>1005</v>
      </c>
      <c r="B42" s="370">
        <f>SUM(C42:D42)</f>
        <v>1798000</v>
      </c>
      <c r="C42" s="370">
        <f>SUM(C39:C41)</f>
        <v>1708100</v>
      </c>
      <c r="D42" s="370">
        <f>SUM(D39:D41)</f>
        <v>89900</v>
      </c>
      <c r="E42" s="370">
        <f t="shared" ref="E42:T42" si="16">SUM(E40:E41)</f>
        <v>1798000</v>
      </c>
      <c r="F42" s="370">
        <f t="shared" si="16"/>
        <v>0</v>
      </c>
      <c r="G42" s="370">
        <f t="shared" si="16"/>
        <v>0</v>
      </c>
      <c r="H42" s="370">
        <f t="shared" si="16"/>
        <v>0</v>
      </c>
      <c r="I42" s="370">
        <f t="shared" si="16"/>
        <v>0</v>
      </c>
      <c r="J42" s="370">
        <f t="shared" si="16"/>
        <v>0</v>
      </c>
      <c r="K42" s="370">
        <f t="shared" si="16"/>
        <v>0</v>
      </c>
      <c r="L42" s="370">
        <f t="shared" si="16"/>
        <v>0</v>
      </c>
      <c r="M42" s="370">
        <f t="shared" si="16"/>
        <v>0</v>
      </c>
      <c r="N42" s="370">
        <f t="shared" si="16"/>
        <v>0</v>
      </c>
      <c r="O42" s="370">
        <f t="shared" si="16"/>
        <v>0</v>
      </c>
      <c r="P42" s="370">
        <f t="shared" si="16"/>
        <v>0</v>
      </c>
      <c r="Q42" s="370">
        <f t="shared" si="16"/>
        <v>0</v>
      </c>
      <c r="R42" s="370">
        <f t="shared" si="16"/>
        <v>1798000</v>
      </c>
      <c r="S42" s="374">
        <f t="shared" si="16"/>
        <v>1708100</v>
      </c>
      <c r="T42" s="374">
        <f t="shared" si="16"/>
        <v>0</v>
      </c>
      <c r="U42" s="367"/>
    </row>
    <row r="43" spans="1:21" s="368" customFormat="1">
      <c r="A43" s="373" t="s">
        <v>1006</v>
      </c>
      <c r="B43" s="370">
        <f>SUM(C43:D43)</f>
        <v>438780</v>
      </c>
      <c r="C43" s="371">
        <f>[4]EVERYTHING!$D$51</f>
        <v>416841</v>
      </c>
      <c r="D43" s="371">
        <f>[4]EVERYTHING!$E$51</f>
        <v>21939</v>
      </c>
      <c r="E43" s="371">
        <f>B43-SUM(F43:L43)</f>
        <v>438780</v>
      </c>
      <c r="F43" s="371">
        <v>0</v>
      </c>
      <c r="G43" s="371"/>
      <c r="H43" s="371"/>
      <c r="I43" s="371"/>
      <c r="J43" s="371"/>
      <c r="K43" s="371"/>
      <c r="L43" s="371"/>
      <c r="M43" s="371"/>
      <c r="N43" s="371"/>
      <c r="O43" s="371"/>
      <c r="P43" s="371"/>
      <c r="Q43" s="371"/>
      <c r="R43" s="371">
        <f>SUM(E43:Q43)</f>
        <v>438780</v>
      </c>
      <c r="S43" s="371">
        <f>C43</f>
        <v>416841</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7">SUM(C45+D45)</f>
        <v>1974438.5705368009</v>
      </c>
      <c r="C45" s="371">
        <f>[4]EVERYTHING!$D$53</f>
        <v>1875716.6420099607</v>
      </c>
      <c r="D45" s="371">
        <f>[4]EVERYTHING!$E$53</f>
        <v>98721.928526840173</v>
      </c>
      <c r="E45" s="371">
        <f t="shared" ref="E45:E52" si="18">B45-SUM(F45:L45)</f>
        <v>1974438.5705368009</v>
      </c>
      <c r="F45" s="371"/>
      <c r="G45" s="371"/>
      <c r="H45" s="371"/>
      <c r="I45" s="371"/>
      <c r="J45" s="371"/>
      <c r="K45" s="371"/>
      <c r="L45" s="371"/>
      <c r="M45" s="371"/>
      <c r="N45" s="371"/>
      <c r="O45" s="371"/>
      <c r="P45" s="371"/>
      <c r="Q45" s="371"/>
      <c r="R45" s="371">
        <f t="shared" ref="R45:R52" si="19">SUM(E45:Q45)</f>
        <v>1974438.5705368009</v>
      </c>
      <c r="S45" s="371">
        <f>[4]EVERYTHING!$F$53</f>
        <v>1146271.281228309</v>
      </c>
      <c r="T45" s="371"/>
      <c r="U45" s="367"/>
    </row>
    <row r="46" spans="1:21" s="368" customFormat="1">
      <c r="A46" s="369" t="s">
        <v>1009</v>
      </c>
      <c r="B46" s="370">
        <f t="shared" si="17"/>
        <v>318258.47607157333</v>
      </c>
      <c r="C46" s="371">
        <f>[4]EVERYTHING!$D$55</f>
        <v>302345.55226799467</v>
      </c>
      <c r="D46" s="371">
        <f>[4]EVERYTHING!$E$55</f>
        <v>15912.923803578655</v>
      </c>
      <c r="E46" s="371">
        <f t="shared" si="18"/>
        <v>318258.47607157333</v>
      </c>
      <c r="F46" s="371"/>
      <c r="G46" s="371"/>
      <c r="H46" s="371"/>
      <c r="I46" s="371"/>
      <c r="J46" s="371"/>
      <c r="K46" s="371"/>
      <c r="L46" s="371"/>
      <c r="M46" s="371"/>
      <c r="N46" s="371"/>
      <c r="O46" s="371"/>
      <c r="P46" s="371"/>
      <c r="Q46" s="371"/>
      <c r="R46" s="371">
        <f t="shared" si="19"/>
        <v>318258.47607157333</v>
      </c>
      <c r="S46" s="371">
        <f t="shared" ref="S46:S52" si="20">C46</f>
        <v>302345.55226799467</v>
      </c>
      <c r="T46" s="371"/>
      <c r="U46" s="367"/>
    </row>
    <row r="47" spans="1:21" s="368" customFormat="1" ht="12" customHeight="1">
      <c r="A47" s="369" t="s">
        <v>1010</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f t="shared" si="20"/>
        <v>0</v>
      </c>
      <c r="T47" s="371"/>
      <c r="U47" s="367"/>
    </row>
    <row r="48" spans="1:21" s="368" customFormat="1">
      <c r="A48" s="369" t="s">
        <v>1011</v>
      </c>
      <c r="B48" s="370">
        <f t="shared" si="17"/>
        <v>0</v>
      </c>
      <c r="C48" s="371"/>
      <c r="D48" s="371"/>
      <c r="E48" s="371">
        <f t="shared" si="18"/>
        <v>0</v>
      </c>
      <c r="F48" s="371"/>
      <c r="G48" s="371"/>
      <c r="H48" s="371"/>
      <c r="I48" s="371"/>
      <c r="J48" s="371"/>
      <c r="K48" s="371"/>
      <c r="L48" s="371"/>
      <c r="M48" s="371"/>
      <c r="N48" s="371"/>
      <c r="O48" s="371"/>
      <c r="P48" s="371"/>
      <c r="Q48" s="371"/>
      <c r="R48" s="371">
        <f t="shared" si="19"/>
        <v>0</v>
      </c>
      <c r="S48" s="371">
        <f t="shared" si="20"/>
        <v>0</v>
      </c>
      <c r="T48" s="371"/>
      <c r="U48" s="367"/>
    </row>
    <row r="49" spans="1:21" s="368" customFormat="1">
      <c r="A49" s="369" t="s">
        <v>1014</v>
      </c>
      <c r="B49" s="370">
        <f t="shared" si="17"/>
        <v>65000</v>
      </c>
      <c r="C49" s="371">
        <f>[4]EVERYTHING!$D$59</f>
        <v>61750</v>
      </c>
      <c r="D49" s="371">
        <f>[4]EVERYTHING!$E$59</f>
        <v>3250</v>
      </c>
      <c r="E49" s="371">
        <f t="shared" si="18"/>
        <v>65000</v>
      </c>
      <c r="F49" s="371"/>
      <c r="G49" s="371"/>
      <c r="H49" s="371"/>
      <c r="I49" s="371"/>
      <c r="J49" s="371"/>
      <c r="K49" s="371"/>
      <c r="L49" s="371"/>
      <c r="M49" s="371"/>
      <c r="N49" s="371"/>
      <c r="O49" s="371"/>
      <c r="P49" s="371"/>
      <c r="Q49" s="371"/>
      <c r="R49" s="371">
        <f t="shared" si="19"/>
        <v>65000</v>
      </c>
      <c r="S49" s="371">
        <f t="shared" si="20"/>
        <v>61750</v>
      </c>
      <c r="T49" s="371"/>
      <c r="U49" s="367"/>
    </row>
    <row r="50" spans="1:21" s="368" customFormat="1">
      <c r="A50" s="369" t="s">
        <v>1012</v>
      </c>
      <c r="B50" s="370">
        <f t="shared" si="17"/>
        <v>8000</v>
      </c>
      <c r="C50" s="371">
        <f>[4]EVERYTHING!$D$57</f>
        <v>7600</v>
      </c>
      <c r="D50" s="371">
        <f>[4]EVERYTHING!$E$57</f>
        <v>400</v>
      </c>
      <c r="E50" s="371">
        <f t="shared" si="18"/>
        <v>8000</v>
      </c>
      <c r="F50" s="371"/>
      <c r="G50" s="371"/>
      <c r="H50" s="371"/>
      <c r="I50" s="371"/>
      <c r="J50" s="371"/>
      <c r="K50" s="371"/>
      <c r="L50" s="371"/>
      <c r="M50" s="371"/>
      <c r="N50" s="371"/>
      <c r="O50" s="371"/>
      <c r="P50" s="371"/>
      <c r="Q50" s="371"/>
      <c r="R50" s="371">
        <f t="shared" si="19"/>
        <v>8000</v>
      </c>
      <c r="S50" s="371">
        <f t="shared" si="20"/>
        <v>7600</v>
      </c>
      <c r="T50" s="371"/>
      <c r="U50" s="367"/>
    </row>
    <row r="51" spans="1:21" s="368" customFormat="1">
      <c r="A51" s="369" t="s">
        <v>1013</v>
      </c>
      <c r="B51" s="370">
        <f t="shared" si="17"/>
        <v>746139</v>
      </c>
      <c r="C51" s="371">
        <f>[4]EVERYTHING!$D$58</f>
        <v>708832.04999999993</v>
      </c>
      <c r="D51" s="371">
        <f>[4]EVERYTHING!$E$58</f>
        <v>37306.95000000007</v>
      </c>
      <c r="E51" s="371">
        <f t="shared" si="18"/>
        <v>746139</v>
      </c>
      <c r="F51" s="371"/>
      <c r="G51" s="371"/>
      <c r="H51" s="371"/>
      <c r="I51" s="371"/>
      <c r="J51" s="371"/>
      <c r="K51" s="371"/>
      <c r="L51" s="371"/>
      <c r="M51" s="371"/>
      <c r="N51" s="371"/>
      <c r="O51" s="371"/>
      <c r="P51" s="371"/>
      <c r="Q51" s="371"/>
      <c r="R51" s="371">
        <f t="shared" si="19"/>
        <v>746139</v>
      </c>
      <c r="S51" s="371">
        <f t="shared" si="20"/>
        <v>708832.04999999993</v>
      </c>
      <c r="T51" s="371"/>
      <c r="U51" s="367"/>
    </row>
    <row r="52" spans="1:21" s="368" customFormat="1">
      <c r="A52" s="376" t="s">
        <v>588</v>
      </c>
      <c r="B52" s="370">
        <f t="shared" si="17"/>
        <v>0</v>
      </c>
      <c r="C52" s="371"/>
      <c r="D52" s="371"/>
      <c r="E52" s="371">
        <f t="shared" si="18"/>
        <v>0</v>
      </c>
      <c r="F52" s="371"/>
      <c r="G52" s="371"/>
      <c r="H52" s="371"/>
      <c r="I52" s="371"/>
      <c r="J52" s="371"/>
      <c r="K52" s="371"/>
      <c r="L52" s="371"/>
      <c r="M52" s="371"/>
      <c r="N52" s="371"/>
      <c r="O52" s="371"/>
      <c r="P52" s="371"/>
      <c r="Q52" s="371"/>
      <c r="R52" s="371">
        <f t="shared" si="19"/>
        <v>0</v>
      </c>
      <c r="S52" s="371">
        <f t="shared" si="20"/>
        <v>0</v>
      </c>
      <c r="T52" s="371"/>
      <c r="U52" s="367"/>
    </row>
    <row r="53" spans="1:21" s="378" customFormat="1">
      <c r="A53" s="373" t="s">
        <v>1015</v>
      </c>
      <c r="B53" s="374">
        <f>SUM(C53:D53)</f>
        <v>3111836.046608374</v>
      </c>
      <c r="C53" s="374">
        <f t="shared" ref="C53:T53" si="21">SUM(C45:C52)</f>
        <v>2956244.244277955</v>
      </c>
      <c r="D53" s="374">
        <f t="shared" si="21"/>
        <v>155591.8023304189</v>
      </c>
      <c r="E53" s="374">
        <f t="shared" si="21"/>
        <v>3111836.0466083745</v>
      </c>
      <c r="F53" s="374">
        <f t="shared" si="21"/>
        <v>0</v>
      </c>
      <c r="G53" s="374">
        <f t="shared" si="21"/>
        <v>0</v>
      </c>
      <c r="H53" s="374">
        <f t="shared" si="21"/>
        <v>0</v>
      </c>
      <c r="I53" s="374">
        <f t="shared" si="21"/>
        <v>0</v>
      </c>
      <c r="J53" s="374">
        <f t="shared" si="21"/>
        <v>0</v>
      </c>
      <c r="K53" s="374">
        <f t="shared" si="21"/>
        <v>0</v>
      </c>
      <c r="L53" s="374">
        <f t="shared" si="21"/>
        <v>0</v>
      </c>
      <c r="M53" s="374">
        <f t="shared" si="21"/>
        <v>0</v>
      </c>
      <c r="N53" s="374">
        <f t="shared" si="21"/>
        <v>0</v>
      </c>
      <c r="O53" s="374">
        <f t="shared" si="21"/>
        <v>0</v>
      </c>
      <c r="P53" s="374">
        <f t="shared" si="21"/>
        <v>0</v>
      </c>
      <c r="Q53" s="374">
        <f t="shared" si="21"/>
        <v>0</v>
      </c>
      <c r="R53" s="370">
        <f t="shared" si="21"/>
        <v>3111836.0466083745</v>
      </c>
      <c r="S53" s="374">
        <f t="shared" si="21"/>
        <v>2226798.8834963036</v>
      </c>
      <c r="T53" s="374">
        <f t="shared" si="21"/>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22">SUM(C55+D55)</f>
        <v>58520</v>
      </c>
      <c r="C55" s="371">
        <f>[4]EVERYTHING!$D$62</f>
        <v>58520</v>
      </c>
      <c r="D55" s="371">
        <f>[4]EVERYTHING!$E$62</f>
        <v>0</v>
      </c>
      <c r="E55" s="371">
        <f t="shared" ref="E55:E60" si="23">B55-SUM(F55:L55)</f>
        <v>58520</v>
      </c>
      <c r="F55" s="371"/>
      <c r="G55" s="371"/>
      <c r="H55" s="371"/>
      <c r="I55" s="371"/>
      <c r="J55" s="371"/>
      <c r="K55" s="371"/>
      <c r="L55" s="371"/>
      <c r="M55" s="371"/>
      <c r="N55" s="371"/>
      <c r="O55" s="371"/>
      <c r="P55" s="371"/>
      <c r="Q55" s="371"/>
      <c r="R55" s="371">
        <f t="shared" ref="R55:R60" si="24">SUM(E55:Q55)</f>
        <v>58520</v>
      </c>
      <c r="S55" s="372"/>
      <c r="T55" s="372"/>
      <c r="U55" s="367"/>
    </row>
    <row r="56" spans="1:21" s="368" customFormat="1" ht="12" customHeight="1">
      <c r="A56" s="369" t="s">
        <v>1010</v>
      </c>
      <c r="B56" s="370">
        <f t="shared" si="22"/>
        <v>0</v>
      </c>
      <c r="C56" s="371"/>
      <c r="D56" s="371"/>
      <c r="E56" s="371">
        <f t="shared" si="23"/>
        <v>0</v>
      </c>
      <c r="F56" s="371"/>
      <c r="G56" s="371"/>
      <c r="H56" s="371"/>
      <c r="I56" s="371"/>
      <c r="J56" s="371"/>
      <c r="K56" s="371"/>
      <c r="L56" s="371"/>
      <c r="M56" s="371"/>
      <c r="N56" s="371"/>
      <c r="O56" s="371"/>
      <c r="P56" s="371"/>
      <c r="Q56" s="371"/>
      <c r="R56" s="371">
        <f t="shared" si="24"/>
        <v>0</v>
      </c>
      <c r="S56" s="372"/>
      <c r="T56" s="372"/>
      <c r="U56" s="367"/>
    </row>
    <row r="57" spans="1:21" s="368" customFormat="1">
      <c r="A57" s="369" t="s">
        <v>1014</v>
      </c>
      <c r="B57" s="370">
        <f t="shared" si="22"/>
        <v>20000</v>
      </c>
      <c r="C57" s="371">
        <f>[4]EVERYTHING!$D$64</f>
        <v>20000</v>
      </c>
      <c r="D57" s="371">
        <f>[4]EVERYTHING!$E$64</f>
        <v>0</v>
      </c>
      <c r="E57" s="371">
        <f t="shared" si="23"/>
        <v>20000</v>
      </c>
      <c r="F57" s="371"/>
      <c r="G57" s="371"/>
      <c r="H57" s="371"/>
      <c r="I57" s="371"/>
      <c r="J57" s="371"/>
      <c r="K57" s="371"/>
      <c r="L57" s="371"/>
      <c r="M57" s="371"/>
      <c r="N57" s="371"/>
      <c r="O57" s="371"/>
      <c r="P57" s="371"/>
      <c r="Q57" s="371"/>
      <c r="R57" s="371">
        <f t="shared" si="24"/>
        <v>20000</v>
      </c>
      <c r="S57" s="372"/>
      <c r="T57" s="372"/>
      <c r="U57" s="367"/>
    </row>
    <row r="58" spans="1:21" s="368" customFormat="1">
      <c r="A58" s="369" t="s">
        <v>1012</v>
      </c>
      <c r="B58" s="370">
        <f t="shared" si="22"/>
        <v>0</v>
      </c>
      <c r="C58" s="371"/>
      <c r="D58" s="371"/>
      <c r="E58" s="371">
        <f t="shared" si="23"/>
        <v>0</v>
      </c>
      <c r="F58" s="371"/>
      <c r="G58" s="371"/>
      <c r="H58" s="371"/>
      <c r="I58" s="371"/>
      <c r="J58" s="371"/>
      <c r="K58" s="371"/>
      <c r="L58" s="371"/>
      <c r="M58" s="371"/>
      <c r="N58" s="371"/>
      <c r="O58" s="371"/>
      <c r="P58" s="371"/>
      <c r="Q58" s="371"/>
      <c r="R58" s="371">
        <f t="shared" si="24"/>
        <v>0</v>
      </c>
      <c r="S58" s="372"/>
      <c r="T58" s="372"/>
      <c r="U58" s="367"/>
    </row>
    <row r="59" spans="1:21" s="368" customFormat="1">
      <c r="A59" s="369" t="s">
        <v>1013</v>
      </c>
      <c r="B59" s="370">
        <f t="shared" si="22"/>
        <v>0</v>
      </c>
      <c r="C59" s="371"/>
      <c r="D59" s="371"/>
      <c r="E59" s="371">
        <f t="shared" si="23"/>
        <v>0</v>
      </c>
      <c r="F59" s="371"/>
      <c r="G59" s="371"/>
      <c r="H59" s="371"/>
      <c r="I59" s="371"/>
      <c r="J59" s="371"/>
      <c r="K59" s="371"/>
      <c r="L59" s="371"/>
      <c r="M59" s="371"/>
      <c r="N59" s="371"/>
      <c r="O59" s="371"/>
      <c r="P59" s="371"/>
      <c r="Q59" s="371"/>
      <c r="R59" s="371">
        <f t="shared" si="24"/>
        <v>0</v>
      </c>
      <c r="S59" s="372"/>
      <c r="T59" s="372"/>
      <c r="U59" s="367"/>
    </row>
    <row r="60" spans="1:21" s="368" customFormat="1">
      <c r="A60" s="376" t="s">
        <v>2436</v>
      </c>
      <c r="B60" s="370">
        <f t="shared" si="22"/>
        <v>30000</v>
      </c>
      <c r="C60" s="371">
        <f>[4]EVERYTHING!$D$65</f>
        <v>30000</v>
      </c>
      <c r="D60" s="371">
        <f>[4]EVERYTHING!$E$65</f>
        <v>0</v>
      </c>
      <c r="E60" s="371">
        <f t="shared" si="23"/>
        <v>30000</v>
      </c>
      <c r="F60" s="371"/>
      <c r="G60" s="371"/>
      <c r="H60" s="371"/>
      <c r="I60" s="371"/>
      <c r="J60" s="371"/>
      <c r="K60" s="371"/>
      <c r="L60" s="371"/>
      <c r="M60" s="371"/>
      <c r="N60" s="371"/>
      <c r="O60" s="371"/>
      <c r="P60" s="371"/>
      <c r="Q60" s="371"/>
      <c r="R60" s="371">
        <f t="shared" si="24"/>
        <v>30000</v>
      </c>
      <c r="S60" s="372"/>
      <c r="T60" s="372"/>
      <c r="U60" s="367"/>
    </row>
    <row r="61" spans="1:21" s="368" customFormat="1" ht="13.9" customHeight="1">
      <c r="A61" s="373" t="s">
        <v>545</v>
      </c>
      <c r="B61" s="370">
        <f>SUM(C61:D61)</f>
        <v>108520</v>
      </c>
      <c r="C61" s="370">
        <f t="shared" ref="C61:R61" si="25">SUM(C55:C60)</f>
        <v>108520</v>
      </c>
      <c r="D61" s="370">
        <f t="shared" si="25"/>
        <v>0</v>
      </c>
      <c r="E61" s="370">
        <f t="shared" si="25"/>
        <v>108520</v>
      </c>
      <c r="F61" s="370">
        <f t="shared" si="25"/>
        <v>0</v>
      </c>
      <c r="G61" s="370">
        <f t="shared" si="25"/>
        <v>0</v>
      </c>
      <c r="H61" s="370">
        <f t="shared" si="25"/>
        <v>0</v>
      </c>
      <c r="I61" s="370">
        <f t="shared" si="25"/>
        <v>0</v>
      </c>
      <c r="J61" s="370">
        <f t="shared" si="25"/>
        <v>0</v>
      </c>
      <c r="K61" s="370">
        <f t="shared" si="25"/>
        <v>0</v>
      </c>
      <c r="L61" s="370">
        <f t="shared" si="25"/>
        <v>0</v>
      </c>
      <c r="M61" s="370">
        <f t="shared" si="25"/>
        <v>0</v>
      </c>
      <c r="N61" s="370">
        <f t="shared" si="25"/>
        <v>0</v>
      </c>
      <c r="O61" s="370">
        <f t="shared" si="25"/>
        <v>0</v>
      </c>
      <c r="P61" s="370">
        <f t="shared" si="25"/>
        <v>0</v>
      </c>
      <c r="Q61" s="370">
        <f t="shared" si="25"/>
        <v>0</v>
      </c>
      <c r="R61" s="370">
        <f t="shared" si="25"/>
        <v>108520</v>
      </c>
      <c r="S61" s="372"/>
      <c r="T61" s="372"/>
      <c r="U61" s="367"/>
    </row>
    <row r="62" spans="1:21" s="368" customFormat="1">
      <c r="A62" s="379" t="s">
        <v>546</v>
      </c>
      <c r="B62" s="370">
        <f>SUM(C62:D62)</f>
        <v>42267242.506608374</v>
      </c>
      <c r="C62" s="370">
        <f t="shared" ref="C62:R62" si="26">SUM(C8+C11+C13+C14+C15+C26+C27+C38+C42+C43+C53+C61)</f>
        <v>40172278.981277958</v>
      </c>
      <c r="D62" s="370">
        <f t="shared" si="26"/>
        <v>2094963.5253304183</v>
      </c>
      <c r="E62" s="370">
        <f t="shared" si="26"/>
        <v>19063717.506608374</v>
      </c>
      <c r="F62" s="370">
        <f t="shared" si="26"/>
        <v>5852000</v>
      </c>
      <c r="G62" s="370">
        <f t="shared" si="26"/>
        <v>9000000</v>
      </c>
      <c r="H62" s="370">
        <f t="shared" si="26"/>
        <v>2351425</v>
      </c>
      <c r="I62" s="370">
        <f t="shared" si="26"/>
        <v>6000000</v>
      </c>
      <c r="J62" s="370">
        <f t="shared" si="26"/>
        <v>100</v>
      </c>
      <c r="K62" s="370">
        <f t="shared" si="26"/>
        <v>0</v>
      </c>
      <c r="L62" s="370">
        <f t="shared" si="26"/>
        <v>0</v>
      </c>
      <c r="M62" s="370">
        <f t="shared" si="26"/>
        <v>0</v>
      </c>
      <c r="N62" s="370">
        <f t="shared" si="26"/>
        <v>0</v>
      </c>
      <c r="O62" s="370">
        <f t="shared" si="26"/>
        <v>0</v>
      </c>
      <c r="P62" s="370">
        <f t="shared" si="26"/>
        <v>0</v>
      </c>
      <c r="Q62" s="370">
        <f t="shared" si="26"/>
        <v>0</v>
      </c>
      <c r="R62" s="370">
        <f t="shared" si="26"/>
        <v>42267242.506608374</v>
      </c>
      <c r="S62" s="370">
        <f>SUM(S10+S13+S14+S15+S26+S27+S38+S42+S43+S53)</f>
        <v>32988638.470496304</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60000</v>
      </c>
      <c r="C64" s="371">
        <f>[4]EVERYTHING!$D$69</f>
        <v>57000</v>
      </c>
      <c r="D64" s="371">
        <f>[4]EVERYTHING!$E$69</f>
        <v>3000</v>
      </c>
      <c r="E64" s="371">
        <f t="shared" ref="E64:E68" si="27">B64-SUM(F64:L64)</f>
        <v>60000</v>
      </c>
      <c r="F64" s="371"/>
      <c r="G64" s="371"/>
      <c r="H64" s="371"/>
      <c r="I64" s="371"/>
      <c r="J64" s="371"/>
      <c r="K64" s="371"/>
      <c r="L64" s="371"/>
      <c r="M64" s="371"/>
      <c r="N64" s="371"/>
      <c r="O64" s="371"/>
      <c r="P64" s="371"/>
      <c r="Q64" s="371"/>
      <c r="R64" s="371">
        <f>SUM(E64:Q64)</f>
        <v>60000</v>
      </c>
      <c r="S64" s="371">
        <f t="shared" ref="S64:S68" si="28">C64</f>
        <v>57000</v>
      </c>
      <c r="T64" s="371"/>
      <c r="U64" s="367"/>
    </row>
    <row r="65" spans="1:21" s="368" customFormat="1" ht="24">
      <c r="A65" s="369" t="s">
        <v>2165</v>
      </c>
      <c r="B65" s="370">
        <f>SUM(C65+D65)</f>
        <v>0</v>
      </c>
      <c r="C65" s="371"/>
      <c r="D65" s="371"/>
      <c r="E65" s="371">
        <f t="shared" si="27"/>
        <v>0</v>
      </c>
      <c r="F65" s="371"/>
      <c r="G65" s="371"/>
      <c r="H65" s="371"/>
      <c r="I65" s="371"/>
      <c r="J65" s="371"/>
      <c r="K65" s="371"/>
      <c r="L65" s="371"/>
      <c r="M65" s="371"/>
      <c r="N65" s="371"/>
      <c r="O65" s="371"/>
      <c r="P65" s="371"/>
      <c r="Q65" s="371"/>
      <c r="R65" s="371">
        <f>SUM(E65:Q65)</f>
        <v>0</v>
      </c>
      <c r="S65" s="371">
        <f t="shared" si="28"/>
        <v>0</v>
      </c>
      <c r="T65" s="371"/>
      <c r="U65" s="367"/>
    </row>
    <row r="66" spans="1:21" s="368" customFormat="1" ht="24">
      <c r="A66" s="369" t="s">
        <v>2166</v>
      </c>
      <c r="B66" s="370">
        <f>SUM(C66+D66)</f>
        <v>0</v>
      </c>
      <c r="C66" s="371"/>
      <c r="D66" s="371"/>
      <c r="E66" s="371">
        <f t="shared" si="27"/>
        <v>0</v>
      </c>
      <c r="F66" s="371"/>
      <c r="G66" s="371"/>
      <c r="H66" s="371"/>
      <c r="I66" s="371"/>
      <c r="J66" s="371"/>
      <c r="K66" s="371"/>
      <c r="L66" s="371"/>
      <c r="M66" s="371"/>
      <c r="N66" s="371"/>
      <c r="O66" s="371"/>
      <c r="P66" s="371"/>
      <c r="Q66" s="371"/>
      <c r="R66" s="371">
        <f>SUM(E66:Q66)</f>
        <v>0</v>
      </c>
      <c r="S66" s="371">
        <f t="shared" si="28"/>
        <v>0</v>
      </c>
      <c r="T66" s="371"/>
      <c r="U66" s="367"/>
    </row>
    <row r="67" spans="1:21" s="368" customFormat="1">
      <c r="A67" s="369" t="s">
        <v>2167</v>
      </c>
      <c r="B67" s="370">
        <f>SUM(C67+D67)</f>
        <v>0</v>
      </c>
      <c r="C67" s="371"/>
      <c r="D67" s="371"/>
      <c r="E67" s="371">
        <f t="shared" si="27"/>
        <v>0</v>
      </c>
      <c r="F67" s="371"/>
      <c r="G67" s="371"/>
      <c r="H67" s="371"/>
      <c r="I67" s="371"/>
      <c r="J67" s="371"/>
      <c r="K67" s="371"/>
      <c r="L67" s="371"/>
      <c r="M67" s="371"/>
      <c r="N67" s="371"/>
      <c r="O67" s="371"/>
      <c r="P67" s="371"/>
      <c r="Q67" s="371"/>
      <c r="R67" s="371">
        <f>SUM(E67:Q67)</f>
        <v>0</v>
      </c>
      <c r="S67" s="371">
        <f t="shared" si="28"/>
        <v>0</v>
      </c>
      <c r="T67" s="371"/>
      <c r="U67" s="367"/>
    </row>
    <row r="68" spans="1:21" s="368" customFormat="1">
      <c r="A68" s="376" t="s">
        <v>2437</v>
      </c>
      <c r="B68" s="370">
        <f>SUM(C68+D68)</f>
        <v>105000</v>
      </c>
      <c r="C68" s="371">
        <f>[4]EVERYTHING!$D$70+[4]EVERYTHING!$D$71</f>
        <v>101750</v>
      </c>
      <c r="D68" s="371">
        <f>[4]EVERYTHING!$E$70+[4]EVERYTHING!$E$71</f>
        <v>3250</v>
      </c>
      <c r="E68" s="371">
        <f t="shared" si="27"/>
        <v>105000</v>
      </c>
      <c r="F68" s="371"/>
      <c r="G68" s="371"/>
      <c r="H68" s="371"/>
      <c r="I68" s="371"/>
      <c r="J68" s="371"/>
      <c r="K68" s="371"/>
      <c r="L68" s="371"/>
      <c r="M68" s="371"/>
      <c r="N68" s="371"/>
      <c r="O68" s="371"/>
      <c r="P68" s="371"/>
      <c r="Q68" s="371"/>
      <c r="R68" s="371">
        <f>SUM(E68:Q68)</f>
        <v>105000</v>
      </c>
      <c r="S68" s="371">
        <f t="shared" si="28"/>
        <v>101750</v>
      </c>
      <c r="T68" s="371"/>
      <c r="U68" s="367"/>
    </row>
    <row r="69" spans="1:21" s="368" customFormat="1">
      <c r="A69" s="373" t="s">
        <v>2168</v>
      </c>
      <c r="B69" s="370">
        <f>SUM(C69:D69)</f>
        <v>165000</v>
      </c>
      <c r="C69" s="370">
        <f>SUM(C63:C68)</f>
        <v>158750</v>
      </c>
      <c r="D69" s="370">
        <f>SUM(D63:D68)</f>
        <v>6250</v>
      </c>
      <c r="E69" s="370">
        <f t="shared" ref="E69:T69" si="29">SUM(E64:E68)</f>
        <v>165000</v>
      </c>
      <c r="F69" s="370">
        <f t="shared" si="29"/>
        <v>0</v>
      </c>
      <c r="G69" s="370">
        <f t="shared" si="29"/>
        <v>0</v>
      </c>
      <c r="H69" s="370">
        <f t="shared" si="29"/>
        <v>0</v>
      </c>
      <c r="I69" s="370">
        <f t="shared" si="29"/>
        <v>0</v>
      </c>
      <c r="J69" s="370">
        <f t="shared" si="29"/>
        <v>0</v>
      </c>
      <c r="K69" s="370">
        <f t="shared" si="29"/>
        <v>0</v>
      </c>
      <c r="L69" s="370">
        <f t="shared" si="29"/>
        <v>0</v>
      </c>
      <c r="M69" s="370">
        <f t="shared" si="29"/>
        <v>0</v>
      </c>
      <c r="N69" s="370">
        <f t="shared" si="29"/>
        <v>0</v>
      </c>
      <c r="O69" s="370">
        <f t="shared" si="29"/>
        <v>0</v>
      </c>
      <c r="P69" s="370">
        <f t="shared" si="29"/>
        <v>0</v>
      </c>
      <c r="Q69" s="370">
        <f t="shared" si="29"/>
        <v>0</v>
      </c>
      <c r="R69" s="370">
        <f t="shared" si="29"/>
        <v>165000</v>
      </c>
      <c r="S69" s="374">
        <f t="shared" si="29"/>
        <v>158750</v>
      </c>
      <c r="T69" s="374">
        <f t="shared" si="29"/>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f t="shared" ref="E71:E75" si="30">B71-SUM(F71:L71)</f>
        <v>0</v>
      </c>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f t="shared" si="30"/>
        <v>0</v>
      </c>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f t="shared" si="30"/>
        <v>0</v>
      </c>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492514</v>
      </c>
      <c r="C74" s="371">
        <f>[4]EVERYTHING!$D$74</f>
        <v>492514</v>
      </c>
      <c r="D74" s="371">
        <f>[4]EVERYTHING!$E$74</f>
        <v>0</v>
      </c>
      <c r="E74" s="371">
        <f t="shared" si="30"/>
        <v>492514</v>
      </c>
      <c r="F74" s="371"/>
      <c r="G74" s="371"/>
      <c r="H74" s="371"/>
      <c r="I74" s="371"/>
      <c r="J74" s="371"/>
      <c r="K74" s="371"/>
      <c r="L74" s="371"/>
      <c r="M74" s="371"/>
      <c r="N74" s="371"/>
      <c r="O74" s="371"/>
      <c r="P74" s="371"/>
      <c r="Q74" s="371"/>
      <c r="R74" s="371">
        <f>SUM(E74:Q74)</f>
        <v>492514</v>
      </c>
      <c r="S74" s="372"/>
      <c r="T74" s="372"/>
      <c r="U74" s="367"/>
    </row>
    <row r="75" spans="1:21" s="368" customFormat="1">
      <c r="A75" s="376" t="s">
        <v>588</v>
      </c>
      <c r="B75" s="370">
        <f>SUM(C75+D75)</f>
        <v>0</v>
      </c>
      <c r="C75" s="371"/>
      <c r="D75" s="371"/>
      <c r="E75" s="371">
        <f t="shared" si="30"/>
        <v>0</v>
      </c>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492514</v>
      </c>
      <c r="C76" s="370">
        <f t="shared" ref="C76:Q76" si="31">SUM(C71:C75)</f>
        <v>492514</v>
      </c>
      <c r="D76" s="370">
        <f t="shared" si="31"/>
        <v>0</v>
      </c>
      <c r="E76" s="370">
        <f>SUM(E71:E75)</f>
        <v>492514</v>
      </c>
      <c r="F76" s="370">
        <f>SUM(F71:F75)</f>
        <v>0</v>
      </c>
      <c r="G76" s="370">
        <f>SUM(G71:G75)</f>
        <v>0</v>
      </c>
      <c r="H76" s="370">
        <f t="shared" si="31"/>
        <v>0</v>
      </c>
      <c r="I76" s="370">
        <f t="shared" si="31"/>
        <v>0</v>
      </c>
      <c r="J76" s="370">
        <f t="shared" si="31"/>
        <v>0</v>
      </c>
      <c r="K76" s="370">
        <f t="shared" si="31"/>
        <v>0</v>
      </c>
      <c r="L76" s="370">
        <f t="shared" si="31"/>
        <v>0</v>
      </c>
      <c r="M76" s="370">
        <f t="shared" si="31"/>
        <v>0</v>
      </c>
      <c r="N76" s="370">
        <f t="shared" si="31"/>
        <v>0</v>
      </c>
      <c r="O76" s="370">
        <f t="shared" si="31"/>
        <v>0</v>
      </c>
      <c r="P76" s="370">
        <f t="shared" si="31"/>
        <v>0</v>
      </c>
      <c r="Q76" s="370">
        <f t="shared" si="31"/>
        <v>0</v>
      </c>
      <c r="R76" s="370">
        <f>SUM(R71:R75)</f>
        <v>492514</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1533196.4730000002</v>
      </c>
      <c r="C78" s="371">
        <f>[4]EVERYTHING!$D$80</f>
        <v>1456536.6493500001</v>
      </c>
      <c r="D78" s="371">
        <f>[4]EVERYTHING!$E$80</f>
        <v>76659.823650000151</v>
      </c>
      <c r="E78" s="371">
        <f t="shared" ref="E78:E79" si="32">B78-SUM(F78:L78)</f>
        <v>1533196.4730000002</v>
      </c>
      <c r="F78" s="371"/>
      <c r="G78" s="371"/>
      <c r="H78" s="371"/>
      <c r="I78" s="371"/>
      <c r="J78" s="371"/>
      <c r="K78" s="371"/>
      <c r="L78" s="371"/>
      <c r="M78" s="371"/>
      <c r="N78" s="371"/>
      <c r="O78" s="371"/>
      <c r="P78" s="371"/>
      <c r="Q78" s="371"/>
      <c r="R78" s="371">
        <f>SUM(E78:Q78)</f>
        <v>1533196.4730000002</v>
      </c>
      <c r="S78" s="371">
        <f t="shared" ref="S78:S79" si="33">C78</f>
        <v>1456536.6493500001</v>
      </c>
      <c r="T78" s="371"/>
      <c r="U78" s="367"/>
    </row>
    <row r="79" spans="1:21" s="368" customFormat="1">
      <c r="A79" s="369" t="s">
        <v>593</v>
      </c>
      <c r="B79" s="370">
        <f>SUM(C79+D79)</f>
        <v>500000</v>
      </c>
      <c r="C79" s="371">
        <f>[4]EVERYTHING!$D$91</f>
        <v>475000</v>
      </c>
      <c r="D79" s="371">
        <f>[4]EVERYTHING!$E$91</f>
        <v>25000</v>
      </c>
      <c r="E79" s="371">
        <f t="shared" si="32"/>
        <v>500000</v>
      </c>
      <c r="F79" s="371"/>
      <c r="G79" s="371"/>
      <c r="H79" s="371"/>
      <c r="I79" s="371"/>
      <c r="J79" s="371"/>
      <c r="K79" s="371"/>
      <c r="L79" s="371"/>
      <c r="M79" s="371"/>
      <c r="N79" s="371"/>
      <c r="O79" s="371"/>
      <c r="P79" s="371"/>
      <c r="Q79" s="371"/>
      <c r="R79" s="371">
        <f>SUM(E79:Q79)</f>
        <v>500000</v>
      </c>
      <c r="S79" s="371">
        <f t="shared" si="33"/>
        <v>475000</v>
      </c>
      <c r="T79" s="371"/>
      <c r="U79" s="367"/>
    </row>
    <row r="80" spans="1:21" s="368" customFormat="1">
      <c r="A80" s="373" t="s">
        <v>1907</v>
      </c>
      <c r="B80" s="370">
        <f>SUM(C80:D80)</f>
        <v>2033196.4730000002</v>
      </c>
      <c r="C80" s="1073">
        <f>SUM(C78:C79)</f>
        <v>1931536.6493500001</v>
      </c>
      <c r="D80" s="1073">
        <f t="shared" ref="D80:R80" si="34">SUM(D78:D79)</f>
        <v>101659.82365000015</v>
      </c>
      <c r="E80" s="1073">
        <f t="shared" si="34"/>
        <v>2033196.4730000002</v>
      </c>
      <c r="F80" s="1073">
        <f t="shared" si="34"/>
        <v>0</v>
      </c>
      <c r="G80" s="1073">
        <f t="shared" si="34"/>
        <v>0</v>
      </c>
      <c r="H80" s="1073">
        <f t="shared" si="34"/>
        <v>0</v>
      </c>
      <c r="I80" s="1073">
        <f t="shared" si="34"/>
        <v>0</v>
      </c>
      <c r="J80" s="1073">
        <f t="shared" si="34"/>
        <v>0</v>
      </c>
      <c r="K80" s="1073">
        <f t="shared" si="34"/>
        <v>0</v>
      </c>
      <c r="L80" s="1073">
        <f t="shared" si="34"/>
        <v>0</v>
      </c>
      <c r="M80" s="1073">
        <f t="shared" si="34"/>
        <v>0</v>
      </c>
      <c r="N80" s="1073">
        <f t="shared" si="34"/>
        <v>0</v>
      </c>
      <c r="O80" s="1073">
        <f t="shared" si="34"/>
        <v>0</v>
      </c>
      <c r="P80" s="1073">
        <f t="shared" si="34"/>
        <v>0</v>
      </c>
      <c r="Q80" s="1073">
        <f t="shared" si="34"/>
        <v>0</v>
      </c>
      <c r="R80" s="1073">
        <f t="shared" si="34"/>
        <v>2033196.4730000002</v>
      </c>
      <c r="S80" s="1073">
        <f>SUM(S78:S79)</f>
        <v>1931536.6493500001</v>
      </c>
      <c r="T80" s="1073">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570</v>
      </c>
      <c r="B82" s="370">
        <f>SUM(C82+D82)</f>
        <v>122090</v>
      </c>
      <c r="C82" s="371">
        <f>[4]EVERYTHING!$D$82</f>
        <v>122090</v>
      </c>
      <c r="D82" s="371">
        <f>[4]EVERYTHING!$E$82</f>
        <v>0</v>
      </c>
      <c r="E82" s="371">
        <f t="shared" ref="E82:E92" si="35">B82-SUM(F82:L82)</f>
        <v>122090</v>
      </c>
      <c r="F82" s="371"/>
      <c r="G82" s="371"/>
      <c r="H82" s="371"/>
      <c r="I82" s="371"/>
      <c r="J82" s="371"/>
      <c r="K82" s="371"/>
      <c r="L82" s="371"/>
      <c r="M82" s="371"/>
      <c r="N82" s="371"/>
      <c r="O82" s="371"/>
      <c r="P82" s="371"/>
      <c r="Q82" s="371"/>
      <c r="R82" s="371">
        <f>SUM(E82:Q82)</f>
        <v>122090</v>
      </c>
      <c r="S82" s="372"/>
      <c r="T82" s="372"/>
      <c r="U82" s="367"/>
    </row>
    <row r="83" spans="1:21" s="368" customFormat="1">
      <c r="A83" s="369" t="s">
        <v>571</v>
      </c>
      <c r="B83" s="370">
        <f t="shared" ref="B83:B93" si="36">SUM(C83+D83)</f>
        <v>42116</v>
      </c>
      <c r="C83" s="371">
        <f>[4]EVERYTHING!$D$88</f>
        <v>40010.199999999997</v>
      </c>
      <c r="D83" s="371">
        <f>[4]EVERYTHING!$E$88</f>
        <v>2105.8000000000029</v>
      </c>
      <c r="E83" s="371">
        <f t="shared" si="35"/>
        <v>42116</v>
      </c>
      <c r="F83" s="371"/>
      <c r="G83" s="371"/>
      <c r="H83" s="371"/>
      <c r="I83" s="371"/>
      <c r="J83" s="371"/>
      <c r="K83" s="371"/>
      <c r="L83" s="371"/>
      <c r="M83" s="371"/>
      <c r="N83" s="371"/>
      <c r="O83" s="371"/>
      <c r="P83" s="371"/>
      <c r="Q83" s="371"/>
      <c r="R83" s="371">
        <f t="shared" ref="R83:R93" si="37">SUM(E83:Q83)</f>
        <v>42116</v>
      </c>
      <c r="S83" s="371">
        <f t="shared" ref="S83:S85" si="38">C83</f>
        <v>40010.199999999997</v>
      </c>
      <c r="T83" s="371"/>
      <c r="U83" s="367"/>
    </row>
    <row r="84" spans="1:21" s="368" customFormat="1">
      <c r="A84" s="369" t="s">
        <v>572</v>
      </c>
      <c r="B84" s="370">
        <f t="shared" si="36"/>
        <v>326444</v>
      </c>
      <c r="C84" s="371">
        <f>[4]EVERYTHING!$D$84</f>
        <v>310121.8</v>
      </c>
      <c r="D84" s="371">
        <f>[4]EVERYTHING!$E$84</f>
        <v>16322.200000000012</v>
      </c>
      <c r="E84" s="371">
        <f t="shared" si="35"/>
        <v>326444</v>
      </c>
      <c r="F84" s="371"/>
      <c r="G84" s="371"/>
      <c r="H84" s="371"/>
      <c r="I84" s="371"/>
      <c r="J84" s="371"/>
      <c r="K84" s="371"/>
      <c r="L84" s="371"/>
      <c r="M84" s="371"/>
      <c r="N84" s="371"/>
      <c r="O84" s="371"/>
      <c r="P84" s="371"/>
      <c r="Q84" s="371"/>
      <c r="R84" s="371">
        <f t="shared" si="37"/>
        <v>326444</v>
      </c>
      <c r="S84" s="371">
        <f t="shared" si="38"/>
        <v>310121.8</v>
      </c>
      <c r="T84" s="371"/>
      <c r="U84" s="367"/>
    </row>
    <row r="85" spans="1:21" s="368" customFormat="1">
      <c r="A85" s="369" t="s">
        <v>573</v>
      </c>
      <c r="B85" s="370">
        <f t="shared" si="36"/>
        <v>900000</v>
      </c>
      <c r="C85" s="371">
        <f>[4]EVERYTHING!$D$85</f>
        <v>855000</v>
      </c>
      <c r="D85" s="371">
        <f>[4]EVERYTHING!$E$85</f>
        <v>45000</v>
      </c>
      <c r="E85" s="371">
        <f t="shared" si="35"/>
        <v>900000</v>
      </c>
      <c r="F85" s="371"/>
      <c r="G85" s="371"/>
      <c r="H85" s="371"/>
      <c r="I85" s="371"/>
      <c r="J85" s="371"/>
      <c r="K85" s="371"/>
      <c r="L85" s="371"/>
      <c r="M85" s="371"/>
      <c r="N85" s="371"/>
      <c r="O85" s="371"/>
      <c r="P85" s="371"/>
      <c r="Q85" s="371"/>
      <c r="R85" s="371">
        <f t="shared" si="37"/>
        <v>900000</v>
      </c>
      <c r="S85" s="371">
        <f t="shared" si="38"/>
        <v>855000</v>
      </c>
      <c r="T85" s="371"/>
      <c r="U85" s="367"/>
    </row>
    <row r="86" spans="1:21" s="368" customFormat="1">
      <c r="A86" s="369" t="s">
        <v>574</v>
      </c>
      <c r="B86" s="370">
        <f t="shared" si="36"/>
        <v>0</v>
      </c>
      <c r="C86" s="371"/>
      <c r="D86" s="371"/>
      <c r="E86" s="371">
        <f t="shared" si="35"/>
        <v>0</v>
      </c>
      <c r="F86" s="371"/>
      <c r="G86" s="371"/>
      <c r="H86" s="371"/>
      <c r="I86" s="371"/>
      <c r="J86" s="371"/>
      <c r="K86" s="371"/>
      <c r="L86" s="371"/>
      <c r="M86" s="371"/>
      <c r="N86" s="371"/>
      <c r="O86" s="371"/>
      <c r="P86" s="371"/>
      <c r="Q86" s="371"/>
      <c r="R86" s="371">
        <f t="shared" si="37"/>
        <v>0</v>
      </c>
      <c r="S86" s="371"/>
      <c r="T86" s="371"/>
      <c r="U86" s="367"/>
    </row>
    <row r="87" spans="1:21" s="368" customFormat="1">
      <c r="A87" s="369" t="s">
        <v>575</v>
      </c>
      <c r="B87" s="370">
        <f t="shared" si="36"/>
        <v>120000</v>
      </c>
      <c r="C87" s="371">
        <f>[4]EVERYTHING!$D$87</f>
        <v>120000</v>
      </c>
      <c r="D87" s="371">
        <f>[4]EVERYTHING!$E$87</f>
        <v>0</v>
      </c>
      <c r="E87" s="371">
        <f t="shared" si="35"/>
        <v>120000</v>
      </c>
      <c r="F87" s="371"/>
      <c r="G87" s="371"/>
      <c r="H87" s="371"/>
      <c r="I87" s="371"/>
      <c r="J87" s="371"/>
      <c r="K87" s="371"/>
      <c r="L87" s="371"/>
      <c r="M87" s="371"/>
      <c r="N87" s="371"/>
      <c r="O87" s="371"/>
      <c r="P87" s="371"/>
      <c r="Q87" s="371"/>
      <c r="R87" s="371">
        <f t="shared" si="37"/>
        <v>120000</v>
      </c>
      <c r="S87" s="372"/>
      <c r="T87" s="372"/>
      <c r="U87" s="367"/>
    </row>
    <row r="88" spans="1:21" s="368" customFormat="1">
      <c r="A88" s="369" t="s">
        <v>576</v>
      </c>
      <c r="B88" s="370">
        <f t="shared" si="36"/>
        <v>120000</v>
      </c>
      <c r="C88" s="371">
        <f>[4]EVERYTHING!$D$89</f>
        <v>120000</v>
      </c>
      <c r="D88" s="371">
        <f>[4]EVERYTHING!$E$89</f>
        <v>0</v>
      </c>
      <c r="E88" s="371">
        <f t="shared" si="35"/>
        <v>120000</v>
      </c>
      <c r="F88" s="371"/>
      <c r="G88" s="371"/>
      <c r="H88" s="371"/>
      <c r="I88" s="371"/>
      <c r="J88" s="371"/>
      <c r="K88" s="371"/>
      <c r="L88" s="371"/>
      <c r="M88" s="371"/>
      <c r="N88" s="371"/>
      <c r="O88" s="371"/>
      <c r="P88" s="371"/>
      <c r="Q88" s="371"/>
      <c r="R88" s="371">
        <f t="shared" si="37"/>
        <v>120000</v>
      </c>
      <c r="S88" s="371">
        <f>C88</f>
        <v>120000</v>
      </c>
      <c r="T88" s="371"/>
      <c r="U88" s="367"/>
    </row>
    <row r="89" spans="1:21" s="368" customFormat="1">
      <c r="A89" s="369" t="s">
        <v>577</v>
      </c>
      <c r="B89" s="370">
        <f t="shared" si="36"/>
        <v>10000</v>
      </c>
      <c r="C89" s="371">
        <f>[4]EVERYTHING!$D$86</f>
        <v>10000</v>
      </c>
      <c r="D89" s="371">
        <f>[4]EVERYTHING!$E$86</f>
        <v>0</v>
      </c>
      <c r="E89" s="371">
        <f t="shared" si="35"/>
        <v>10000</v>
      </c>
      <c r="F89" s="371"/>
      <c r="G89" s="371"/>
      <c r="H89" s="371"/>
      <c r="I89" s="371"/>
      <c r="J89" s="371"/>
      <c r="K89" s="371"/>
      <c r="L89" s="371"/>
      <c r="M89" s="371"/>
      <c r="N89" s="371"/>
      <c r="O89" s="371"/>
      <c r="P89" s="371"/>
      <c r="Q89" s="371"/>
      <c r="R89" s="371">
        <f t="shared" si="37"/>
        <v>10000</v>
      </c>
      <c r="S89" s="371"/>
      <c r="T89" s="371"/>
      <c r="U89" s="367"/>
    </row>
    <row r="90" spans="1:21" s="368" customFormat="1">
      <c r="A90" s="380" t="s">
        <v>1422</v>
      </c>
      <c r="B90" s="370">
        <f t="shared" si="36"/>
        <v>0</v>
      </c>
      <c r="C90" s="371"/>
      <c r="D90" s="371"/>
      <c r="E90" s="371">
        <f t="shared" si="35"/>
        <v>0</v>
      </c>
      <c r="F90" s="371"/>
      <c r="G90" s="371"/>
      <c r="H90" s="371"/>
      <c r="I90" s="371"/>
      <c r="J90" s="371"/>
      <c r="K90" s="371"/>
      <c r="L90" s="371"/>
      <c r="M90" s="371"/>
      <c r="N90" s="371"/>
      <c r="O90" s="371"/>
      <c r="P90" s="371"/>
      <c r="Q90" s="371"/>
      <c r="R90" s="371">
        <f t="shared" si="37"/>
        <v>0</v>
      </c>
      <c r="S90" s="371"/>
      <c r="T90" s="371"/>
      <c r="U90" s="367"/>
    </row>
    <row r="91" spans="1:21" s="368" customFormat="1">
      <c r="A91" s="380" t="s">
        <v>1905</v>
      </c>
      <c r="B91" s="370">
        <f t="shared" si="36"/>
        <v>10000</v>
      </c>
      <c r="C91" s="371">
        <f>[4]EVERYTHING!$D$79</f>
        <v>9500</v>
      </c>
      <c r="D91" s="371">
        <f>[4]EVERYTHING!$E$79</f>
        <v>500</v>
      </c>
      <c r="E91" s="371">
        <f t="shared" si="35"/>
        <v>10000</v>
      </c>
      <c r="F91" s="371"/>
      <c r="G91" s="371"/>
      <c r="H91" s="371"/>
      <c r="I91" s="371"/>
      <c r="J91" s="371"/>
      <c r="K91" s="371"/>
      <c r="L91" s="371"/>
      <c r="M91" s="371"/>
      <c r="N91" s="371"/>
      <c r="O91" s="371"/>
      <c r="P91" s="371"/>
      <c r="Q91" s="371"/>
      <c r="R91" s="371">
        <f t="shared" si="37"/>
        <v>10000</v>
      </c>
      <c r="S91" s="371">
        <f t="shared" ref="S91:S93" si="39">C91</f>
        <v>9500</v>
      </c>
      <c r="T91" s="371"/>
      <c r="U91" s="367"/>
    </row>
    <row r="92" spans="1:21" s="368" customFormat="1">
      <c r="A92" s="376" t="s">
        <v>2438</v>
      </c>
      <c r="B92" s="370">
        <f t="shared" si="36"/>
        <v>212581</v>
      </c>
      <c r="C92" s="371">
        <f>[4]EVERYTHING!$D$83</f>
        <v>201951.94999999998</v>
      </c>
      <c r="D92" s="371">
        <f>[4]EVERYTHING!$E$83</f>
        <v>10629.050000000017</v>
      </c>
      <c r="E92" s="371">
        <f t="shared" si="35"/>
        <v>212581</v>
      </c>
      <c r="F92" s="371"/>
      <c r="G92" s="371"/>
      <c r="H92" s="371"/>
      <c r="I92" s="371"/>
      <c r="J92" s="371"/>
      <c r="K92" s="371"/>
      <c r="L92" s="371"/>
      <c r="M92" s="371"/>
      <c r="N92" s="371"/>
      <c r="O92" s="371"/>
      <c r="P92" s="371"/>
      <c r="Q92" s="371"/>
      <c r="R92" s="371">
        <f t="shared" si="37"/>
        <v>212581</v>
      </c>
      <c r="S92" s="371">
        <f t="shared" si="39"/>
        <v>201951.94999999998</v>
      </c>
      <c r="T92" s="371"/>
      <c r="U92" s="367"/>
    </row>
    <row r="93" spans="1:21" s="368" customFormat="1">
      <c r="A93" s="376" t="s">
        <v>588</v>
      </c>
      <c r="B93" s="370">
        <f t="shared" si="36"/>
        <v>0</v>
      </c>
      <c r="C93" s="371"/>
      <c r="D93" s="371"/>
      <c r="E93" s="371"/>
      <c r="F93" s="371"/>
      <c r="G93" s="371"/>
      <c r="H93" s="371"/>
      <c r="I93" s="371"/>
      <c r="J93" s="371"/>
      <c r="K93" s="371"/>
      <c r="L93" s="371"/>
      <c r="M93" s="371"/>
      <c r="N93" s="371"/>
      <c r="O93" s="371"/>
      <c r="P93" s="371"/>
      <c r="Q93" s="371"/>
      <c r="R93" s="371">
        <f t="shared" si="37"/>
        <v>0</v>
      </c>
      <c r="S93" s="371">
        <f t="shared" si="39"/>
        <v>0</v>
      </c>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1863231</v>
      </c>
      <c r="C95" s="370">
        <f t="shared" ref="C95:R95" si="40">SUM(C82:C94)</f>
        <v>1788673.95</v>
      </c>
      <c r="D95" s="370">
        <f t="shared" si="40"/>
        <v>74557.050000000032</v>
      </c>
      <c r="E95" s="370">
        <f t="shared" si="40"/>
        <v>1863231</v>
      </c>
      <c r="F95" s="370">
        <f t="shared" si="40"/>
        <v>0</v>
      </c>
      <c r="G95" s="370">
        <f t="shared" si="40"/>
        <v>0</v>
      </c>
      <c r="H95" s="370">
        <f t="shared" si="40"/>
        <v>0</v>
      </c>
      <c r="I95" s="370">
        <f t="shared" si="40"/>
        <v>0</v>
      </c>
      <c r="J95" s="370">
        <f t="shared" si="40"/>
        <v>0</v>
      </c>
      <c r="K95" s="370">
        <f t="shared" si="40"/>
        <v>0</v>
      </c>
      <c r="L95" s="370">
        <f t="shared" si="40"/>
        <v>0</v>
      </c>
      <c r="M95" s="370">
        <f t="shared" si="40"/>
        <v>0</v>
      </c>
      <c r="N95" s="370">
        <f t="shared" si="40"/>
        <v>0</v>
      </c>
      <c r="O95" s="370">
        <f t="shared" si="40"/>
        <v>0</v>
      </c>
      <c r="P95" s="370">
        <f t="shared" si="40"/>
        <v>0</v>
      </c>
      <c r="Q95" s="370">
        <f t="shared" si="40"/>
        <v>0</v>
      </c>
      <c r="R95" s="370">
        <f t="shared" si="40"/>
        <v>1863231</v>
      </c>
      <c r="S95" s="374">
        <f>SUM(S83:S86,S88:S94)</f>
        <v>1536583.95</v>
      </c>
      <c r="T95" s="370">
        <f>SUM(T83:T86,T88:T94)</f>
        <v>0</v>
      </c>
      <c r="U95" s="367"/>
    </row>
    <row r="96" spans="1:21" s="368" customFormat="1">
      <c r="A96" s="373" t="s">
        <v>579</v>
      </c>
      <c r="B96" s="370">
        <f>SUM(C96:D96)</f>
        <v>46821183.979608379</v>
      </c>
      <c r="C96" s="370">
        <f t="shared" ref="C96:R96" si="41">SUM(C62+C69+C76+C80+C95)</f>
        <v>44543753.580627963</v>
      </c>
      <c r="D96" s="370">
        <f t="shared" si="41"/>
        <v>2277430.3989804182</v>
      </c>
      <c r="E96" s="370">
        <f t="shared" si="41"/>
        <v>23617658.979608376</v>
      </c>
      <c r="F96" s="370">
        <f t="shared" si="41"/>
        <v>5852000</v>
      </c>
      <c r="G96" s="370">
        <f t="shared" si="41"/>
        <v>9000000</v>
      </c>
      <c r="H96" s="370">
        <f t="shared" si="41"/>
        <v>2351425</v>
      </c>
      <c r="I96" s="370">
        <f t="shared" si="41"/>
        <v>6000000</v>
      </c>
      <c r="J96" s="370">
        <f t="shared" si="41"/>
        <v>100</v>
      </c>
      <c r="K96" s="370">
        <f t="shared" si="41"/>
        <v>0</v>
      </c>
      <c r="L96" s="370">
        <f t="shared" si="41"/>
        <v>0</v>
      </c>
      <c r="M96" s="370">
        <f t="shared" si="41"/>
        <v>0</v>
      </c>
      <c r="N96" s="370">
        <f t="shared" si="41"/>
        <v>0</v>
      </c>
      <c r="O96" s="370">
        <f t="shared" si="41"/>
        <v>0</v>
      </c>
      <c r="P96" s="370">
        <f t="shared" si="41"/>
        <v>0</v>
      </c>
      <c r="Q96" s="370">
        <f t="shared" si="41"/>
        <v>0</v>
      </c>
      <c r="R96" s="370">
        <f t="shared" si="41"/>
        <v>46821183.979608372</v>
      </c>
      <c r="S96" s="374">
        <f>SUM(+S62+S69+S80+S95)</f>
        <v>36615509.06984631</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f>[4]EVERYTHING!$C$95</f>
        <v>2200000</v>
      </c>
      <c r="D98" s="371"/>
      <c r="E98" s="371">
        <f>B98-SUM(F98:L98)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42">SUM(C98:C102)</f>
        <v>2200000</v>
      </c>
      <c r="D103" s="370">
        <f t="shared" si="42"/>
        <v>0</v>
      </c>
      <c r="E103" s="370">
        <f t="shared" si="42"/>
        <v>2200000</v>
      </c>
      <c r="F103" s="370">
        <f t="shared" si="42"/>
        <v>0</v>
      </c>
      <c r="G103" s="370">
        <f t="shared" si="42"/>
        <v>0</v>
      </c>
      <c r="H103" s="370">
        <f t="shared" si="42"/>
        <v>0</v>
      </c>
      <c r="I103" s="370">
        <f t="shared" si="42"/>
        <v>0</v>
      </c>
      <c r="J103" s="370">
        <f t="shared" si="42"/>
        <v>0</v>
      </c>
      <c r="K103" s="370">
        <f t="shared" si="42"/>
        <v>0</v>
      </c>
      <c r="L103" s="370">
        <f t="shared" si="42"/>
        <v>0</v>
      </c>
      <c r="M103" s="370">
        <f t="shared" si="42"/>
        <v>0</v>
      </c>
      <c r="N103" s="370">
        <f t="shared" si="42"/>
        <v>0</v>
      </c>
      <c r="O103" s="370">
        <f t="shared" si="42"/>
        <v>0</v>
      </c>
      <c r="P103" s="370">
        <f t="shared" si="42"/>
        <v>0</v>
      </c>
      <c r="Q103" s="370">
        <f t="shared" si="42"/>
        <v>0</v>
      </c>
      <c r="R103" s="370">
        <f t="shared" si="42"/>
        <v>2200000</v>
      </c>
      <c r="S103" s="374">
        <f t="shared" si="42"/>
        <v>2200000</v>
      </c>
      <c r="T103" s="374">
        <f t="shared" si="42"/>
        <v>0</v>
      </c>
      <c r="U103" s="367"/>
    </row>
    <row r="104" spans="1:21" s="368" customFormat="1">
      <c r="A104" s="373" t="s">
        <v>1250</v>
      </c>
      <c r="B104" s="374">
        <f>SUM(C104:D104)</f>
        <v>49021183.979608379</v>
      </c>
      <c r="C104" s="374">
        <f t="shared" ref="C104:R104" si="43">SUM(C96+C103)</f>
        <v>46743753.580627963</v>
      </c>
      <c r="D104" s="374">
        <f t="shared" si="43"/>
        <v>2277430.3989804182</v>
      </c>
      <c r="E104" s="374">
        <f t="shared" si="43"/>
        <v>25817658.979608376</v>
      </c>
      <c r="F104" s="374">
        <f t="shared" si="43"/>
        <v>5852000</v>
      </c>
      <c r="G104" s="374">
        <f t="shared" si="43"/>
        <v>9000000</v>
      </c>
      <c r="H104" s="374">
        <f t="shared" si="43"/>
        <v>2351425</v>
      </c>
      <c r="I104" s="374">
        <f t="shared" si="43"/>
        <v>6000000</v>
      </c>
      <c r="J104" s="374">
        <f t="shared" si="43"/>
        <v>100</v>
      </c>
      <c r="K104" s="374">
        <f t="shared" si="43"/>
        <v>0</v>
      </c>
      <c r="L104" s="374">
        <f t="shared" si="43"/>
        <v>0</v>
      </c>
      <c r="M104" s="374">
        <f t="shared" si="43"/>
        <v>0</v>
      </c>
      <c r="N104" s="374">
        <f t="shared" si="43"/>
        <v>0</v>
      </c>
      <c r="O104" s="374">
        <f t="shared" si="43"/>
        <v>0</v>
      </c>
      <c r="P104" s="374">
        <f t="shared" si="43"/>
        <v>0</v>
      </c>
      <c r="Q104" s="374">
        <f t="shared" si="43"/>
        <v>0</v>
      </c>
      <c r="R104" s="370">
        <f t="shared" si="43"/>
        <v>49021183.979608372</v>
      </c>
      <c r="S104" s="374">
        <f>S96+S103</f>
        <v>38815509.06984631</v>
      </c>
      <c r="T104" s="374">
        <f>T96+T103</f>
        <v>0</v>
      </c>
      <c r="U104" s="367"/>
    </row>
    <row r="105" spans="1:21" s="383" customFormat="1">
      <c r="A105" s="1259"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38815509.06984631</v>
      </c>
      <c r="T106" s="388">
        <f>T104+T105</f>
        <v>0</v>
      </c>
      <c r="U106" s="386"/>
    </row>
    <row r="107" spans="1:21" s="389" customFormat="1">
      <c r="A107" s="387" t="s">
        <v>1194</v>
      </c>
      <c r="B107" s="382"/>
      <c r="C107" s="382"/>
      <c r="D107" s="382"/>
      <c r="E107" s="632">
        <f>Application!AO645</f>
        <v>25817658.979608379</v>
      </c>
      <c r="F107" s="632">
        <f>Application!AO632</f>
        <v>5852000</v>
      </c>
      <c r="G107" s="632">
        <f>Application!AO633</f>
        <v>9000000</v>
      </c>
      <c r="H107" s="632">
        <f>Application!AO634</f>
        <v>2351425</v>
      </c>
      <c r="I107" s="632">
        <f>Application!AO635</f>
        <v>6000000</v>
      </c>
      <c r="J107" s="632">
        <f>Application!AO636</f>
        <v>100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15" t="s">
        <v>1395</v>
      </c>
      <c r="E122" s="2215"/>
      <c r="F122" s="2215"/>
      <c r="U122" s="386"/>
    </row>
    <row r="123" spans="1:21" s="383" customFormat="1">
      <c r="A123" s="383" t="s">
        <v>1396</v>
      </c>
      <c r="B123" s="844"/>
      <c r="D123" s="2218" t="s">
        <v>1423</v>
      </c>
      <c r="E123" s="2219"/>
      <c r="F123" s="2219"/>
      <c r="G123" s="2219"/>
      <c r="H123" s="2219"/>
      <c r="I123" s="2219"/>
      <c r="J123" s="2219"/>
      <c r="K123" s="2219"/>
      <c r="L123" s="2219"/>
      <c r="M123" s="2219"/>
      <c r="N123" s="2219"/>
      <c r="O123" s="2219"/>
      <c r="P123" s="2219"/>
      <c r="Q123" s="2219"/>
      <c r="R123" s="2219"/>
      <c r="S123" s="2219"/>
      <c r="U123" s="386"/>
    </row>
    <row r="124" spans="1:21" s="383" customFormat="1" ht="12.75">
      <c r="A124" s="847" t="s">
        <v>1397</v>
      </c>
      <c r="B124" s="844"/>
      <c r="C124" s="847"/>
      <c r="D124" s="2219"/>
      <c r="E124" s="2219"/>
      <c r="F124" s="2219"/>
      <c r="G124" s="2219"/>
      <c r="H124" s="2219"/>
      <c r="I124" s="2219"/>
      <c r="J124" s="2219"/>
      <c r="K124" s="2219"/>
      <c r="L124" s="2219"/>
      <c r="M124" s="2219"/>
      <c r="N124" s="2219"/>
      <c r="O124" s="2219"/>
      <c r="P124" s="2219"/>
      <c r="Q124" s="2219"/>
      <c r="R124" s="2219"/>
      <c r="S124" s="2219"/>
      <c r="U124" s="386"/>
    </row>
    <row r="125" spans="1:21" s="383" customFormat="1" ht="12.75">
      <c r="A125" s="847" t="s">
        <v>1398</v>
      </c>
      <c r="B125" s="844"/>
      <c r="C125" s="847"/>
      <c r="D125" s="2219"/>
      <c r="E125" s="2219"/>
      <c r="F125" s="2219"/>
      <c r="G125" s="2219"/>
      <c r="H125" s="2219"/>
      <c r="I125" s="2219"/>
      <c r="J125" s="2219"/>
      <c r="K125" s="2219"/>
      <c r="L125" s="2219"/>
      <c r="M125" s="2219"/>
      <c r="N125" s="2219"/>
      <c r="O125" s="2219"/>
      <c r="P125" s="2219"/>
      <c r="Q125" s="2219"/>
      <c r="R125" s="2219"/>
      <c r="S125" s="2219"/>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212"/>
      <c r="E128" s="2212"/>
      <c r="F128" s="2212"/>
      <c r="G128" s="2212"/>
      <c r="H128" s="2212"/>
      <c r="I128" s="847"/>
      <c r="J128" s="2213"/>
      <c r="K128" s="2213"/>
      <c r="L128" s="847"/>
      <c r="M128" s="847"/>
      <c r="N128" s="847"/>
      <c r="O128" s="847"/>
      <c r="P128" s="847"/>
      <c r="Q128" s="847"/>
      <c r="R128" s="847"/>
      <c r="S128" s="847"/>
      <c r="U128" s="386"/>
    </row>
    <row r="129" spans="1:21" s="383" customFormat="1" ht="12.75">
      <c r="A129" s="847" t="s">
        <v>544</v>
      </c>
      <c r="B129" s="844"/>
      <c r="C129" s="847"/>
      <c r="D129" s="2214" t="s">
        <v>1402</v>
      </c>
      <c r="E129" s="2214"/>
      <c r="F129" s="2214"/>
      <c r="G129" s="2214"/>
      <c r="H129" s="2214"/>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1849"/>
      <c r="E131" s="1849"/>
      <c r="F131" s="1849"/>
      <c r="G131" s="1849"/>
      <c r="H131" s="1849"/>
      <c r="I131" s="847"/>
      <c r="J131" s="1849"/>
      <c r="K131" s="1849"/>
      <c r="L131" s="1849"/>
      <c r="M131" s="1849"/>
      <c r="N131" s="847"/>
      <c r="O131" s="847"/>
      <c r="P131" s="847"/>
      <c r="Q131" s="847"/>
      <c r="R131" s="847"/>
      <c r="S131" s="847"/>
      <c r="U131" s="386"/>
    </row>
    <row r="132" spans="1:21" s="383" customFormat="1" ht="12.75">
      <c r="A132" s="849"/>
      <c r="B132" s="847"/>
      <c r="C132" s="847"/>
      <c r="D132" s="2220" t="s">
        <v>1405</v>
      </c>
      <c r="E132" s="2220"/>
      <c r="F132" s="2220"/>
      <c r="G132" s="2220"/>
      <c r="H132" s="2220"/>
      <c r="I132" s="847"/>
      <c r="J132" s="2220" t="s">
        <v>1406</v>
      </c>
      <c r="K132" s="2220"/>
      <c r="L132" s="2220"/>
      <c r="M132" s="222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1"/>
      <c r="B138" s="2222"/>
      <c r="C138" s="2222"/>
      <c r="D138" s="547"/>
      <c r="E138" s="2213"/>
      <c r="F138" s="2213"/>
      <c r="G138" s="847"/>
      <c r="H138" s="847"/>
      <c r="I138" s="847"/>
      <c r="J138" s="847"/>
      <c r="K138" s="847"/>
      <c r="L138" s="847"/>
      <c r="M138" s="847"/>
      <c r="N138" s="847"/>
      <c r="O138" s="847"/>
      <c r="P138" s="847"/>
      <c r="Q138" s="847"/>
      <c r="R138" s="847"/>
      <c r="S138" s="847"/>
    </row>
    <row r="139" spans="1:21" ht="12" customHeight="1">
      <c r="A139" s="2216" t="s">
        <v>1409</v>
      </c>
      <c r="B139" s="2217"/>
      <c r="C139" s="2217"/>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42" stopIfTrue="1">
      <formula>T9&gt;C9</formula>
    </cfRule>
  </conditionalFormatting>
  <conditionalFormatting sqref="T10">
    <cfRule type="expression" dxfId="117" priority="241" stopIfTrue="1">
      <formula>(T10+S10)&gt;C10</formula>
    </cfRule>
  </conditionalFormatting>
  <conditionalFormatting sqref="R8">
    <cfRule type="cellIs" dxfId="116" priority="221" stopIfTrue="1" operator="notEqual">
      <formula>$B8</formula>
    </cfRule>
    <cfRule type="cellIs" priority="224" stopIfTrue="1" operator="notEqual">
      <formula>$B8</formula>
    </cfRule>
  </conditionalFormatting>
  <conditionalFormatting sqref="R45:R52 R56:R60 R82:R94 R98:R102 R4:R7">
    <cfRule type="cellIs" dxfId="115" priority="223" stopIfTrue="1" operator="notEqual">
      <formula>$B4</formula>
    </cfRule>
  </conditionalFormatting>
  <conditionalFormatting sqref="R9:R10">
    <cfRule type="cellIs" dxfId="114" priority="222" stopIfTrue="1" operator="notEqual">
      <formula>$B9</formula>
    </cfRule>
  </conditionalFormatting>
  <conditionalFormatting sqref="R11:R12">
    <cfRule type="cellIs" dxfId="113" priority="219" stopIfTrue="1" operator="notEqual">
      <formula>$B11</formula>
    </cfRule>
    <cfRule type="cellIs" priority="220" stopIfTrue="1" operator="notEqual">
      <formula>$B11</formula>
    </cfRule>
  </conditionalFormatting>
  <conditionalFormatting sqref="R13:R15">
    <cfRule type="cellIs" dxfId="112" priority="218" stopIfTrue="1" operator="notEqual">
      <formula>$B13</formula>
    </cfRule>
  </conditionalFormatting>
  <conditionalFormatting sqref="R26">
    <cfRule type="cellIs" dxfId="111" priority="216" stopIfTrue="1" operator="notEqual">
      <formula>$B26</formula>
    </cfRule>
    <cfRule type="cellIs" priority="217" stopIfTrue="1" operator="notEqual">
      <formula>$B26</formula>
    </cfRule>
  </conditionalFormatting>
  <conditionalFormatting sqref="R17:R25">
    <cfRule type="cellIs" dxfId="110" priority="215" stopIfTrue="1" operator="notEqual">
      <formula>$B17</formula>
    </cfRule>
  </conditionalFormatting>
  <conditionalFormatting sqref="R27">
    <cfRule type="cellIs" dxfId="109" priority="214" stopIfTrue="1" operator="notEqual">
      <formula>$B27</formula>
    </cfRule>
  </conditionalFormatting>
  <conditionalFormatting sqref="R38">
    <cfRule type="cellIs" dxfId="108" priority="212" stopIfTrue="1" operator="notEqual">
      <formula>$B38</formula>
    </cfRule>
    <cfRule type="cellIs" priority="213" stopIfTrue="1" operator="notEqual">
      <formula>$B38</formula>
    </cfRule>
  </conditionalFormatting>
  <conditionalFormatting sqref="R29:R37">
    <cfRule type="cellIs" dxfId="107" priority="211" stopIfTrue="1" operator="notEqual">
      <formula>$B29</formula>
    </cfRule>
  </conditionalFormatting>
  <conditionalFormatting sqref="R42">
    <cfRule type="cellIs" dxfId="106" priority="209" stopIfTrue="1" operator="notEqual">
      <formula>$B42</formula>
    </cfRule>
    <cfRule type="cellIs" priority="210" stopIfTrue="1" operator="notEqual">
      <formula>$B42</formula>
    </cfRule>
  </conditionalFormatting>
  <conditionalFormatting sqref="R40:R41">
    <cfRule type="cellIs" dxfId="105" priority="208" stopIfTrue="1" operator="notEqual">
      <formula>$B40</formula>
    </cfRule>
  </conditionalFormatting>
  <conditionalFormatting sqref="R43">
    <cfRule type="cellIs" dxfId="104" priority="207" stopIfTrue="1" operator="notEqual">
      <formula>$B43</formula>
    </cfRule>
  </conditionalFormatting>
  <conditionalFormatting sqref="R53">
    <cfRule type="cellIs" dxfId="103" priority="204" stopIfTrue="1" operator="notEqual">
      <formula>$B53</formula>
    </cfRule>
    <cfRule type="cellIs" priority="205" stopIfTrue="1" operator="notEqual">
      <formula>$B53</formula>
    </cfRule>
  </conditionalFormatting>
  <conditionalFormatting sqref="R55">
    <cfRule type="cellIs" dxfId="102" priority="202" stopIfTrue="1" operator="notEqual">
      <formula>$B55</formula>
    </cfRule>
  </conditionalFormatting>
  <conditionalFormatting sqref="R61:R62">
    <cfRule type="cellIs" dxfId="101" priority="200" stopIfTrue="1" operator="notEqual">
      <formula>$B61</formula>
    </cfRule>
    <cfRule type="cellIs" priority="201" stopIfTrue="1" operator="notEqual">
      <formula>$B61</formula>
    </cfRule>
  </conditionalFormatting>
  <conditionalFormatting sqref="R64:R68">
    <cfRule type="cellIs" dxfId="100" priority="199" stopIfTrue="1" operator="notEqual">
      <formula>$B64</formula>
    </cfRule>
  </conditionalFormatting>
  <conditionalFormatting sqref="R69">
    <cfRule type="cellIs" dxfId="99" priority="197" stopIfTrue="1" operator="notEqual">
      <formula>$B69</formula>
    </cfRule>
    <cfRule type="cellIs" priority="198" stopIfTrue="1" operator="notEqual">
      <formula>$B69</formula>
    </cfRule>
  </conditionalFormatting>
  <conditionalFormatting sqref="R71:R75">
    <cfRule type="cellIs" dxfId="98" priority="196" stopIfTrue="1" operator="notEqual">
      <formula>$B71</formula>
    </cfRule>
  </conditionalFormatting>
  <conditionalFormatting sqref="R76">
    <cfRule type="cellIs" dxfId="97" priority="194" stopIfTrue="1" operator="notEqual">
      <formula>$B76</formula>
    </cfRule>
    <cfRule type="cellIs" priority="195" stopIfTrue="1" operator="notEqual">
      <formula>$B76</formula>
    </cfRule>
  </conditionalFormatting>
  <conditionalFormatting sqref="R78:R79">
    <cfRule type="cellIs" dxfId="96" priority="193" stopIfTrue="1" operator="notEqual">
      <formula>$B78</formula>
    </cfRule>
  </conditionalFormatting>
  <conditionalFormatting sqref="R95:R96">
    <cfRule type="cellIs" dxfId="95" priority="190" stopIfTrue="1" operator="notEqual">
      <formula>$B95</formula>
    </cfRule>
    <cfRule type="cellIs" priority="191" stopIfTrue="1" operator="notEqual">
      <formula>$B95</formula>
    </cfRule>
  </conditionalFormatting>
  <conditionalFormatting sqref="R103:R104">
    <cfRule type="cellIs" dxfId="94" priority="187" stopIfTrue="1" operator="notEqual">
      <formula>$B103</formula>
    </cfRule>
    <cfRule type="cellIs" priority="188" stopIfTrue="1" operator="notEqual">
      <formula>$B103</formula>
    </cfRule>
  </conditionalFormatting>
  <conditionalFormatting sqref="E104:Q104">
    <cfRule type="cellIs" dxfId="93" priority="186" stopIfTrue="1" operator="notEqual">
      <formula>E$107</formula>
    </cfRule>
  </conditionalFormatting>
  <conditionalFormatting sqref="S10">
    <cfRule type="expression" dxfId="92" priority="122" stopIfTrue="1">
      <formula>(S10+T10)&gt;C10</formula>
    </cfRule>
  </conditionalFormatting>
  <conditionalFormatting sqref="S23:S24">
    <cfRule type="expression" dxfId="91" priority="103" stopIfTrue="1">
      <formula>(S23+T23)&gt;C23</formula>
    </cfRule>
  </conditionalFormatting>
  <conditionalFormatting sqref="T13">
    <cfRule type="expression" dxfId="90" priority="121" stopIfTrue="1">
      <formula>(T13+S13)&gt;C13</formula>
    </cfRule>
  </conditionalFormatting>
  <conditionalFormatting sqref="T14">
    <cfRule type="expression" dxfId="89" priority="120" stopIfTrue="1">
      <formula>(T14+S14)&gt;C14</formula>
    </cfRule>
  </conditionalFormatting>
  <conditionalFormatting sqref="T17">
    <cfRule type="expression" dxfId="88" priority="119" stopIfTrue="1">
      <formula>(T17+S17)&gt;C17</formula>
    </cfRule>
  </conditionalFormatting>
  <conditionalFormatting sqref="T18">
    <cfRule type="expression" dxfId="87" priority="118" stopIfTrue="1">
      <formula>(T18+S18)&gt;C18</formula>
    </cfRule>
  </conditionalFormatting>
  <conditionalFormatting sqref="T19">
    <cfRule type="expression" dxfId="86" priority="117" stopIfTrue="1">
      <formula>(T19+S19)&gt;C19</formula>
    </cfRule>
  </conditionalFormatting>
  <conditionalFormatting sqref="T20">
    <cfRule type="expression" dxfId="85" priority="116" stopIfTrue="1">
      <formula>(T20+S20)&gt;C20</formula>
    </cfRule>
  </conditionalFormatting>
  <conditionalFormatting sqref="T21">
    <cfRule type="expression" dxfId="84" priority="115" stopIfTrue="1">
      <formula>(T21+S21)&gt;C21</formula>
    </cfRule>
  </conditionalFormatting>
  <conditionalFormatting sqref="T22">
    <cfRule type="expression" dxfId="83" priority="114" stopIfTrue="1">
      <formula>(T22+S22)&gt;C22</formula>
    </cfRule>
  </conditionalFormatting>
  <conditionalFormatting sqref="T23:T24">
    <cfRule type="expression" dxfId="82" priority="113" stopIfTrue="1">
      <formula>(T23+S23)&gt;C23</formula>
    </cfRule>
  </conditionalFormatting>
  <conditionalFormatting sqref="T25">
    <cfRule type="expression" dxfId="81" priority="112" stopIfTrue="1">
      <formula>(T25+S25)&gt;C25</formula>
    </cfRule>
  </conditionalFormatting>
  <conditionalFormatting sqref="S13">
    <cfRule type="expression" dxfId="80" priority="111" stopIfTrue="1">
      <formula>(S13+T13)&gt;C13</formula>
    </cfRule>
  </conditionalFormatting>
  <conditionalFormatting sqref="S14">
    <cfRule type="expression" dxfId="79" priority="110" stopIfTrue="1">
      <formula>(S14+T14)&gt;C14</formula>
    </cfRule>
  </conditionalFormatting>
  <conditionalFormatting sqref="S17">
    <cfRule type="expression" dxfId="78" priority="109" stopIfTrue="1">
      <formula>(S17+T17)&gt;C17</formula>
    </cfRule>
  </conditionalFormatting>
  <conditionalFormatting sqref="S18">
    <cfRule type="expression" dxfId="77" priority="108" stopIfTrue="1">
      <formula>(S18+T18)&gt;C18</formula>
    </cfRule>
  </conditionalFormatting>
  <conditionalFormatting sqref="S19">
    <cfRule type="expression" dxfId="76" priority="107" stopIfTrue="1">
      <formula>(S19+T19)&gt;C19</formula>
    </cfRule>
  </conditionalFormatting>
  <conditionalFormatting sqref="S20">
    <cfRule type="expression" dxfId="75" priority="106" stopIfTrue="1">
      <formula>(S20+T20)&gt;C20</formula>
    </cfRule>
  </conditionalFormatting>
  <conditionalFormatting sqref="S21">
    <cfRule type="expression" dxfId="74" priority="105" stopIfTrue="1">
      <formula>(S21+T21)&gt;C21</formula>
    </cfRule>
  </conditionalFormatting>
  <conditionalFormatting sqref="S22">
    <cfRule type="expression" dxfId="73" priority="104" stopIfTrue="1">
      <formula>(S22+T22)&gt;C22</formula>
    </cfRule>
  </conditionalFormatting>
  <conditionalFormatting sqref="S25">
    <cfRule type="expression" dxfId="72" priority="102" stopIfTrue="1">
      <formula>(S25+T25)&gt;C25</formula>
    </cfRule>
  </conditionalFormatting>
  <conditionalFormatting sqref="S27">
    <cfRule type="expression" dxfId="71" priority="101" stopIfTrue="1">
      <formula>(S27+T27)&gt;C27</formula>
    </cfRule>
  </conditionalFormatting>
  <conditionalFormatting sqref="T27">
    <cfRule type="expression" dxfId="70" priority="100" stopIfTrue="1">
      <formula>(T27+S27)&gt;C27</formula>
    </cfRule>
  </conditionalFormatting>
  <conditionalFormatting sqref="T29">
    <cfRule type="expression" dxfId="69" priority="91" stopIfTrue="1">
      <formula>(T29+S29)&gt;C29</formula>
    </cfRule>
  </conditionalFormatting>
  <conditionalFormatting sqref="T30">
    <cfRule type="expression" dxfId="68" priority="90" stopIfTrue="1">
      <formula>(T30+S30)&gt;C30</formula>
    </cfRule>
  </conditionalFormatting>
  <conditionalFormatting sqref="T31">
    <cfRule type="expression" dxfId="67" priority="89" stopIfTrue="1">
      <formula>(T31+S31)&gt;C31</formula>
    </cfRule>
  </conditionalFormatting>
  <conditionalFormatting sqref="T32">
    <cfRule type="expression" dxfId="66" priority="88" stopIfTrue="1">
      <formula>(T32+S32)&gt;C32</formula>
    </cfRule>
  </conditionalFormatting>
  <conditionalFormatting sqref="T33">
    <cfRule type="expression" dxfId="65" priority="87" stopIfTrue="1">
      <formula>(T33+S33)&gt;C33</formula>
    </cfRule>
  </conditionalFormatting>
  <conditionalFormatting sqref="T34">
    <cfRule type="expression" dxfId="64" priority="86" stopIfTrue="1">
      <formula>(T34+S34)&gt;C34</formula>
    </cfRule>
  </conditionalFormatting>
  <conditionalFormatting sqref="T35:T36">
    <cfRule type="expression" dxfId="63" priority="85" stopIfTrue="1">
      <formula>(T35+S35)&gt;C35</formula>
    </cfRule>
  </conditionalFormatting>
  <conditionalFormatting sqref="T37">
    <cfRule type="expression" dxfId="62" priority="84" stopIfTrue="1">
      <formula>(T37+S37)&gt;C37</formula>
    </cfRule>
  </conditionalFormatting>
  <conditionalFormatting sqref="T40">
    <cfRule type="expression" dxfId="61" priority="83" stopIfTrue="1">
      <formula>(T40+S40)&gt;C40</formula>
    </cfRule>
  </conditionalFormatting>
  <conditionalFormatting sqref="T41">
    <cfRule type="expression" dxfId="60" priority="82" stopIfTrue="1">
      <formula>(T41+S41)&gt;C41</formula>
    </cfRule>
  </conditionalFormatting>
  <conditionalFormatting sqref="T43">
    <cfRule type="expression" dxfId="59" priority="78" stopIfTrue="1">
      <formula>(T43+S43)&gt;C43</formula>
    </cfRule>
  </conditionalFormatting>
  <conditionalFormatting sqref="S45">
    <cfRule type="expression" dxfId="58" priority="77" stopIfTrue="1">
      <formula>(S45+T45)&gt;C45</formula>
    </cfRule>
  </conditionalFormatting>
  <conditionalFormatting sqref="T45">
    <cfRule type="expression" dxfId="57" priority="68" stopIfTrue="1">
      <formula>(T45+S45)&gt;C45</formula>
    </cfRule>
  </conditionalFormatting>
  <conditionalFormatting sqref="T46">
    <cfRule type="expression" dxfId="56" priority="67" stopIfTrue="1">
      <formula>(T46+S46)&gt;C46</formula>
    </cfRule>
  </conditionalFormatting>
  <conditionalFormatting sqref="T47">
    <cfRule type="expression" dxfId="55" priority="66" stopIfTrue="1">
      <formula>(T47+S47)&gt;C47</formula>
    </cfRule>
  </conditionalFormatting>
  <conditionalFormatting sqref="T48">
    <cfRule type="expression" dxfId="54" priority="65" stopIfTrue="1">
      <formula>(T48+S48)&gt;C48</formula>
    </cfRule>
  </conditionalFormatting>
  <conditionalFormatting sqref="T49">
    <cfRule type="expression" dxfId="53" priority="64" stopIfTrue="1">
      <formula>(T49+S49)&gt;C49</formula>
    </cfRule>
  </conditionalFormatting>
  <conditionalFormatting sqref="T50">
    <cfRule type="expression" dxfId="52" priority="63" stopIfTrue="1">
      <formula>(T50+S50)&gt;C50</formula>
    </cfRule>
  </conditionalFormatting>
  <conditionalFormatting sqref="T51">
    <cfRule type="expression" dxfId="51" priority="62" stopIfTrue="1">
      <formula>(T51+S51)&gt;C51</formula>
    </cfRule>
  </conditionalFormatting>
  <conditionalFormatting sqref="T52">
    <cfRule type="expression" dxfId="50" priority="60" stopIfTrue="1">
      <formula>(T52+S52)&gt;C52</formula>
    </cfRule>
  </conditionalFormatting>
  <conditionalFormatting sqref="T64:T67">
    <cfRule type="expression" dxfId="49" priority="59" stopIfTrue="1">
      <formula>(T64+S64)&gt;C64</formula>
    </cfRule>
  </conditionalFormatting>
  <conditionalFormatting sqref="T68">
    <cfRule type="expression" dxfId="48" priority="58" stopIfTrue="1">
      <formula>(T68+S68)&gt;C68</formula>
    </cfRule>
  </conditionalFormatting>
  <conditionalFormatting sqref="T78">
    <cfRule type="expression" dxfId="47" priority="55" stopIfTrue="1">
      <formula>(T78+S78)&gt;C78</formula>
    </cfRule>
  </conditionalFormatting>
  <conditionalFormatting sqref="T79">
    <cfRule type="expression" dxfId="46" priority="54" stopIfTrue="1">
      <formula>(T79+S79)&gt;C79</formula>
    </cfRule>
  </conditionalFormatting>
  <conditionalFormatting sqref="S86">
    <cfRule type="expression" dxfId="45" priority="48" stopIfTrue="1">
      <formula>(S86+T86)&gt;C86</formula>
    </cfRule>
  </conditionalFormatting>
  <conditionalFormatting sqref="T83">
    <cfRule type="expression" dxfId="44" priority="47" stopIfTrue="1">
      <formula>(T83+S83)&gt;C83</formula>
    </cfRule>
  </conditionalFormatting>
  <conditionalFormatting sqref="T84">
    <cfRule type="expression" dxfId="43" priority="46" stopIfTrue="1">
      <formula>(T84+S84)&gt;C84</formula>
    </cfRule>
  </conditionalFormatting>
  <conditionalFormatting sqref="T85">
    <cfRule type="expression" dxfId="42" priority="45" stopIfTrue="1">
      <formula>(T85+S85)&gt;C85</formula>
    </cfRule>
  </conditionalFormatting>
  <conditionalFormatting sqref="T86">
    <cfRule type="expression" dxfId="41" priority="44" stopIfTrue="1">
      <formula>(T86+S86)&gt;C86</formula>
    </cfRule>
  </conditionalFormatting>
  <conditionalFormatting sqref="S89">
    <cfRule type="expression" dxfId="40" priority="42" stopIfTrue="1">
      <formula>(S89+T89)&gt;C89</formula>
    </cfRule>
  </conditionalFormatting>
  <conditionalFormatting sqref="S90">
    <cfRule type="expression" dxfId="39" priority="41" stopIfTrue="1">
      <formula>(S90+T90)&gt;C90</formula>
    </cfRule>
  </conditionalFormatting>
  <conditionalFormatting sqref="S94">
    <cfRule type="expression" dxfId="38" priority="35" stopIfTrue="1">
      <formula>(S94+T94)&gt;C94</formula>
    </cfRule>
  </conditionalFormatting>
  <conditionalFormatting sqref="T88">
    <cfRule type="expression" dxfId="37" priority="34" stopIfTrue="1">
      <formula>(T88+S88)&gt;C88</formula>
    </cfRule>
  </conditionalFormatting>
  <conditionalFormatting sqref="T89">
    <cfRule type="expression" dxfId="36" priority="33" stopIfTrue="1">
      <formula>(T89+S89)&gt;C89</formula>
    </cfRule>
  </conditionalFormatting>
  <conditionalFormatting sqref="T90">
    <cfRule type="expression" dxfId="35" priority="32" stopIfTrue="1">
      <formula>(T90+S90)&gt;C90</formula>
    </cfRule>
  </conditionalFormatting>
  <conditionalFormatting sqref="T91">
    <cfRule type="expression" dxfId="34" priority="31" stopIfTrue="1">
      <formula>(T91+S91)&gt;C91</formula>
    </cfRule>
  </conditionalFormatting>
  <conditionalFormatting sqref="T92">
    <cfRule type="expression" dxfId="33" priority="30" stopIfTrue="1">
      <formula>(T92+S92)&gt;C92</formula>
    </cfRule>
  </conditionalFormatting>
  <conditionalFormatting sqref="T93">
    <cfRule type="expression" dxfId="32" priority="29" stopIfTrue="1">
      <formula>(T93+S93)&gt;C93</formula>
    </cfRule>
  </conditionalFormatting>
  <conditionalFormatting sqref="T94">
    <cfRule type="expression" dxfId="31" priority="26" stopIfTrue="1">
      <formula>(T94+S94)&gt;C94</formula>
    </cfRule>
  </conditionalFormatting>
  <conditionalFormatting sqref="S98">
    <cfRule type="expression" dxfId="30" priority="21" stopIfTrue="1">
      <formula>(S98+T98)&gt;C98</formula>
    </cfRule>
  </conditionalFormatting>
  <conditionalFormatting sqref="S99">
    <cfRule type="expression" dxfId="29" priority="20"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2" stopIfTrue="1">
      <formula>(T100+S100)&gt;C100</formula>
    </cfRule>
  </conditionalFormatting>
  <conditionalFormatting sqref="T101">
    <cfRule type="expression" dxfId="22" priority="11" stopIfTrue="1">
      <formula>(T101+S101)&gt;C101</formula>
    </cfRule>
  </conditionalFormatting>
  <conditionalFormatting sqref="T102">
    <cfRule type="expression" dxfId="21" priority="10" stopIfTrue="1">
      <formula>(T102+S102)&gt;C102</formula>
    </cfRule>
  </conditionalFormatting>
  <conditionalFormatting sqref="S29:S37">
    <cfRule type="expression" dxfId="20" priority="9" stopIfTrue="1">
      <formula>(S29+T29)&gt;C29</formula>
    </cfRule>
  </conditionalFormatting>
  <conditionalFormatting sqref="S40:S41">
    <cfRule type="expression" dxfId="19" priority="8" stopIfTrue="1">
      <formula>(S40+T40)&gt;C40</formula>
    </cfRule>
  </conditionalFormatting>
  <conditionalFormatting sqref="S43">
    <cfRule type="expression" dxfId="18" priority="7" stopIfTrue="1">
      <formula>(S43+T43)&gt;C43</formula>
    </cfRule>
  </conditionalFormatting>
  <conditionalFormatting sqref="S46:S52">
    <cfRule type="expression" dxfId="17" priority="6" stopIfTrue="1">
      <formula>(S46+T46)&gt;C46</formula>
    </cfRule>
  </conditionalFormatting>
  <conditionalFormatting sqref="S64:S68">
    <cfRule type="expression" dxfId="16" priority="5" stopIfTrue="1">
      <formula>(S64+T64)&gt;C64</formula>
    </cfRule>
  </conditionalFormatting>
  <conditionalFormatting sqref="S78:S79">
    <cfRule type="expression" dxfId="15" priority="4" stopIfTrue="1">
      <formula>(S78+T78)&gt;C78</formula>
    </cfRule>
  </conditionalFormatting>
  <conditionalFormatting sqref="S83:S85">
    <cfRule type="expression" dxfId="14" priority="3" stopIfTrue="1">
      <formula>(S83+T83)&gt;C83</formula>
    </cfRule>
  </conditionalFormatting>
  <conditionalFormatting sqref="S88">
    <cfRule type="expression" dxfId="13" priority="2" stopIfTrue="1">
      <formula>(S88+T88)&gt;C88</formula>
    </cfRule>
  </conditionalFormatting>
  <conditionalFormatting sqref="S91:S93">
    <cfRule type="expression" dxfId="12" priority="1" stopIfTrue="1">
      <formula>(S91+T91)&gt;C91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Q55" sqref="AQ5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2" t="s">
        <v>1911</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5" t="s">
        <v>2002</v>
      </c>
      <c r="AA6" s="2"/>
    </row>
    <row r="7" spans="1:40" ht="13.7"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DDA/QCT
Building(s)</v>
      </c>
      <c r="U7" s="2242"/>
      <c r="V7" s="2242"/>
      <c r="W7" s="2242"/>
      <c r="X7" s="2242"/>
      <c r="Y7" s="2242" t="str">
        <f>IF(T25=100%," ",'Sources and Basis Breakdown'!G2)</f>
        <v>70% PVC for New Const/
Rehabilitation
NON-DDA/
NON-QCT Building(s)</v>
      </c>
      <c r="Z7" s="2242"/>
      <c r="AA7" s="2242"/>
      <c r="AB7" s="2242"/>
      <c r="AC7" s="2242"/>
      <c r="AD7" s="2242" t="str">
        <f>IF(T25=100%,'Sources and Basis Breakdown'!J2,'Sources and Basis Breakdown'!I2)</f>
        <v>30% PVC for Acquisition
DDA/QCT Building(s)</v>
      </c>
      <c r="AE7" s="2242"/>
      <c r="AF7" s="2242"/>
      <c r="AG7" s="2242"/>
      <c r="AH7" s="2242"/>
      <c r="AI7" s="2242" t="str">
        <f>IF(T25=100%," ",'Sources and Basis Breakdown'!J2)</f>
        <v>30% PVC for Acquisition
NON-DDA/
NON-QCT Building(s)</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562</v>
      </c>
      <c r="C11" s="2240"/>
      <c r="D11" s="2240"/>
      <c r="E11" s="2240"/>
      <c r="F11" s="2240"/>
      <c r="G11" s="2240"/>
      <c r="H11" s="2240"/>
      <c r="I11" s="2240"/>
      <c r="J11" s="2240"/>
      <c r="K11" s="2240"/>
      <c r="L11" s="2240"/>
      <c r="M11" s="2240"/>
      <c r="N11" s="2240"/>
      <c r="O11" s="2240"/>
      <c r="P11" s="2240"/>
      <c r="Q11" s="2240"/>
      <c r="R11" s="2240"/>
      <c r="S11" s="2241"/>
      <c r="T11" s="2279">
        <f>IF('Sources and Basis Breakdown'!F105=0,'Sources and Basis Breakdown'!E105,'Sources and Basis Breakdown'!F105)</f>
        <v>38815509.06984631</v>
      </c>
      <c r="U11" s="2267"/>
      <c r="V11" s="2267"/>
      <c r="W11" s="2267"/>
      <c r="X11" s="2267"/>
      <c r="Y11" s="2266">
        <f>IF(Y7=" ",0,IF('Sources and Basis Breakdown'!G105+'Sources and Basis Breakdown'!F105='Sources and Basis Breakdown'!E105,'Sources and Basis Breakdown'!G105,0))</f>
        <v>0</v>
      </c>
      <c r="Z11" s="2267"/>
      <c r="AA11" s="2267"/>
      <c r="AB11" s="2267"/>
      <c r="AC11" s="2267"/>
      <c r="AD11" s="2267">
        <f>IF('Sources and Basis Breakdown'!I105=0,'Sources and Basis Breakdown'!H105,'Sources and Basis Breakdown'!I105)</f>
        <v>0</v>
      </c>
      <c r="AE11" s="2267"/>
      <c r="AF11" s="2267"/>
      <c r="AG11" s="2267"/>
      <c r="AH11" s="2267"/>
      <c r="AI11" s="2267">
        <f>IF(AI7=" ",0,IF('Sources and Basis Breakdown'!I105+'Sources and Basis Breakdown'!J105='Sources and Basis Breakdown'!H105,'Sources and Basis Breakdown'!J105,0))</f>
        <v>0</v>
      </c>
      <c r="AJ11" s="2267"/>
      <c r="AK11" s="2267"/>
      <c r="AL11" s="2267"/>
      <c r="AM11" s="2267"/>
    </row>
    <row r="12" spans="1:40" ht="12.75">
      <c r="B12" s="2272" t="s">
        <v>492</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1875</v>
      </c>
      <c r="D13" s="2276"/>
      <c r="E13" s="2276"/>
      <c r="F13" s="2276"/>
      <c r="G13" s="2276"/>
      <c r="H13" s="2276"/>
      <c r="I13" s="2276"/>
      <c r="J13" s="2276"/>
      <c r="K13" s="2276"/>
      <c r="L13" s="2276"/>
      <c r="M13" s="2276"/>
      <c r="N13" s="2276"/>
      <c r="O13" s="2276"/>
      <c r="P13" s="2276"/>
      <c r="Q13" s="2276"/>
      <c r="R13" s="2276"/>
      <c r="S13" s="2277"/>
      <c r="T13" s="2268"/>
      <c r="U13" s="2265"/>
      <c r="V13" s="2265"/>
      <c r="W13" s="2265"/>
      <c r="X13" s="2265"/>
      <c r="Y13" s="2268"/>
      <c r="Z13" s="2265"/>
      <c r="AA13" s="2265"/>
      <c r="AB13" s="2265"/>
      <c r="AC13" s="2265"/>
      <c r="AD13" s="2265"/>
      <c r="AE13" s="2265"/>
      <c r="AF13" s="2265"/>
      <c r="AG13" s="2265"/>
      <c r="AH13" s="2265"/>
      <c r="AI13" s="2265"/>
      <c r="AJ13" s="2265"/>
      <c r="AK13" s="2265"/>
      <c r="AL13" s="2265"/>
      <c r="AM13" s="2265"/>
    </row>
    <row r="14" spans="1:40" ht="12.75">
      <c r="B14" s="11"/>
      <c r="C14" s="2276" t="s">
        <v>832</v>
      </c>
      <c r="D14" s="2276"/>
      <c r="E14" s="2276"/>
      <c r="F14" s="2276"/>
      <c r="G14" s="2276"/>
      <c r="H14" s="2276"/>
      <c r="I14" s="2276"/>
      <c r="J14" s="2276"/>
      <c r="K14" s="2276"/>
      <c r="L14" s="2276"/>
      <c r="M14" s="2276"/>
      <c r="N14" s="2276"/>
      <c r="O14" s="2276"/>
      <c r="P14" s="2276"/>
      <c r="Q14" s="2276"/>
      <c r="R14" s="2276"/>
      <c r="S14" s="2277"/>
      <c r="T14" s="1732"/>
      <c r="U14" s="1735"/>
      <c r="V14" s="1735"/>
      <c r="W14" s="1735"/>
      <c r="X14" s="1735"/>
      <c r="Y14" s="1732"/>
      <c r="Z14" s="1735"/>
      <c r="AA14" s="1735"/>
      <c r="AB14" s="1735"/>
      <c r="AC14" s="1735"/>
      <c r="AD14" s="1735"/>
      <c r="AE14" s="1735"/>
      <c r="AF14" s="1735"/>
      <c r="AG14" s="1735"/>
      <c r="AH14" s="1735"/>
      <c r="AI14" s="1735"/>
      <c r="AJ14" s="1735"/>
      <c r="AK14" s="1735"/>
      <c r="AL14" s="1735"/>
      <c r="AM14" s="1735"/>
    </row>
    <row r="15" spans="1:40" ht="12.75">
      <c r="B15" s="11"/>
      <c r="C15" s="2276" t="s">
        <v>833</v>
      </c>
      <c r="D15" s="2276"/>
      <c r="E15" s="2276"/>
      <c r="F15" s="2276"/>
      <c r="G15" s="2276"/>
      <c r="H15" s="2276"/>
      <c r="I15" s="2276"/>
      <c r="J15" s="2276"/>
      <c r="K15" s="2276"/>
      <c r="L15" s="2276"/>
      <c r="M15" s="2276"/>
      <c r="N15" s="2276"/>
      <c r="O15" s="2276"/>
      <c r="P15" s="2276"/>
      <c r="Q15" s="2276"/>
      <c r="R15" s="2276"/>
      <c r="S15" s="2277"/>
      <c r="T15" s="1732"/>
      <c r="U15" s="1735"/>
      <c r="V15" s="1735"/>
      <c r="W15" s="1735"/>
      <c r="X15" s="1735"/>
      <c r="Y15" s="1732"/>
      <c r="Z15" s="1735"/>
      <c r="AA15" s="1735"/>
      <c r="AB15" s="1735"/>
      <c r="AC15" s="1735"/>
      <c r="AD15" s="1735"/>
      <c r="AE15" s="1735"/>
      <c r="AF15" s="1735"/>
      <c r="AG15" s="1735"/>
      <c r="AH15" s="1735"/>
      <c r="AI15" s="1735"/>
      <c r="AJ15" s="1735"/>
      <c r="AK15" s="1735"/>
      <c r="AL15" s="1735"/>
      <c r="AM15" s="1735"/>
    </row>
    <row r="16" spans="1:40" ht="12.75">
      <c r="B16" s="11"/>
      <c r="C16" s="2275" t="s">
        <v>1095</v>
      </c>
      <c r="D16" s="2275"/>
      <c r="E16" s="2275"/>
      <c r="F16" s="2275"/>
      <c r="G16" s="2275"/>
      <c r="H16" s="2275"/>
      <c r="I16" s="2275"/>
      <c r="J16" s="2275"/>
      <c r="K16" s="2275"/>
      <c r="L16" s="2275"/>
      <c r="M16" s="2275"/>
      <c r="N16" s="2275"/>
      <c r="O16" s="2275"/>
      <c r="P16" s="2275"/>
      <c r="Q16" s="2275"/>
      <c r="R16" s="2275"/>
      <c r="S16" s="2278"/>
      <c r="T16" s="1732"/>
      <c r="U16" s="1735"/>
      <c r="V16" s="1735"/>
      <c r="W16" s="1735"/>
      <c r="X16" s="1735"/>
      <c r="Y16" s="1732"/>
      <c r="Z16" s="1735"/>
      <c r="AA16" s="1735"/>
      <c r="AB16" s="1735"/>
      <c r="AC16" s="1735"/>
      <c r="AD16" s="1735"/>
      <c r="AE16" s="1735"/>
      <c r="AF16" s="1735"/>
      <c r="AG16" s="1735"/>
      <c r="AH16" s="1735"/>
      <c r="AI16" s="1735"/>
      <c r="AJ16" s="1735"/>
      <c r="AK16" s="1735"/>
      <c r="AL16" s="1735"/>
      <c r="AM16" s="1735"/>
    </row>
    <row r="17" spans="1:39" ht="12.75">
      <c r="B17" s="11"/>
      <c r="C17" s="2276" t="s">
        <v>834</v>
      </c>
      <c r="D17" s="2276"/>
      <c r="E17" s="2276"/>
      <c r="F17" s="2276"/>
      <c r="G17" s="2276"/>
      <c r="H17" s="2276"/>
      <c r="I17" s="2276"/>
      <c r="J17" s="2276"/>
      <c r="K17" s="2276"/>
      <c r="L17" s="2276"/>
      <c r="M17" s="2276"/>
      <c r="N17" s="2276"/>
      <c r="O17" s="2276"/>
      <c r="P17" s="2276"/>
      <c r="Q17" s="2276"/>
      <c r="R17" s="2276"/>
      <c r="S17" s="2277"/>
      <c r="T17" s="1732"/>
      <c r="U17" s="1735"/>
      <c r="V17" s="1735"/>
      <c r="W17" s="1735"/>
      <c r="X17" s="1735"/>
      <c r="Y17" s="1732"/>
      <c r="Z17" s="1735"/>
      <c r="AA17" s="1735"/>
      <c r="AB17" s="1735"/>
      <c r="AC17" s="1735"/>
      <c r="AD17" s="1735"/>
      <c r="AE17" s="1735"/>
      <c r="AF17" s="1735"/>
      <c r="AG17" s="1735"/>
      <c r="AH17" s="1735"/>
      <c r="AI17" s="1735"/>
      <c r="AJ17" s="1735"/>
      <c r="AK17" s="1735"/>
      <c r="AL17" s="1735"/>
      <c r="AM17" s="1735"/>
    </row>
    <row r="18" spans="1:39" ht="12.75">
      <c r="B18" s="903"/>
      <c r="C18" s="1965" t="s">
        <v>1316</v>
      </c>
      <c r="D18" s="1965"/>
      <c r="E18" s="1965"/>
      <c r="F18" s="1965"/>
      <c r="G18" s="1965"/>
      <c r="H18" s="1965"/>
      <c r="I18" s="1965"/>
      <c r="J18" s="1965"/>
      <c r="K18" s="1965"/>
      <c r="L18" s="1965"/>
      <c r="M18" s="1965"/>
      <c r="N18" s="1965"/>
      <c r="O18" s="1965"/>
      <c r="P18" s="1965"/>
      <c r="Q18" s="1965"/>
      <c r="R18" s="1965"/>
      <c r="S18" s="1966"/>
      <c r="T18" s="1730"/>
      <c r="U18" s="1731"/>
      <c r="V18" s="1731"/>
      <c r="W18" s="1731"/>
      <c r="X18" s="1732"/>
      <c r="Y18" s="1732"/>
      <c r="Z18" s="1735"/>
      <c r="AA18" s="1735"/>
      <c r="AB18" s="1735"/>
      <c r="AC18" s="1735"/>
      <c r="AD18" s="1735"/>
      <c r="AE18" s="1735"/>
      <c r="AF18" s="1735"/>
      <c r="AG18" s="1735"/>
      <c r="AH18" s="1735"/>
      <c r="AI18" s="1735"/>
      <c r="AJ18" s="1735"/>
      <c r="AK18" s="1735"/>
      <c r="AL18" s="1735"/>
      <c r="AM18" s="1735"/>
    </row>
    <row r="19" spans="1:39" ht="12.75">
      <c r="B19" s="745"/>
      <c r="C19" s="1965" t="s">
        <v>1316</v>
      </c>
      <c r="D19" s="1965"/>
      <c r="E19" s="1965"/>
      <c r="F19" s="1965"/>
      <c r="G19" s="1965"/>
      <c r="H19" s="1965"/>
      <c r="I19" s="1965"/>
      <c r="J19" s="1965"/>
      <c r="K19" s="1965"/>
      <c r="L19" s="1965"/>
      <c r="M19" s="1965"/>
      <c r="N19" s="1965"/>
      <c r="O19" s="1965"/>
      <c r="P19" s="1965"/>
      <c r="Q19" s="1965"/>
      <c r="R19" s="1965"/>
      <c r="S19" s="1966"/>
      <c r="T19" s="1732"/>
      <c r="U19" s="1735"/>
      <c r="V19" s="1735"/>
      <c r="W19" s="1735"/>
      <c r="X19" s="1735"/>
      <c r="Y19" s="1732"/>
      <c r="Z19" s="1735"/>
      <c r="AA19" s="1735"/>
      <c r="AB19" s="1735"/>
      <c r="AC19" s="1735"/>
      <c r="AD19" s="1735"/>
      <c r="AE19" s="1735"/>
      <c r="AF19" s="1735"/>
      <c r="AG19" s="1735"/>
      <c r="AH19" s="1735"/>
      <c r="AI19" s="1735"/>
      <c r="AJ19" s="1735"/>
      <c r="AK19" s="1735"/>
      <c r="AL19" s="1735"/>
      <c r="AM19" s="1735"/>
    </row>
    <row r="20" spans="1:39" ht="12.75">
      <c r="B20" s="2239" t="s">
        <v>835</v>
      </c>
      <c r="C20" s="2240"/>
      <c r="D20" s="2240"/>
      <c r="E20" s="2240"/>
      <c r="F20" s="2240"/>
      <c r="G20" s="2240"/>
      <c r="H20" s="2240"/>
      <c r="I20" s="2240"/>
      <c r="J20" s="2240"/>
      <c r="K20" s="2240"/>
      <c r="L20" s="2240"/>
      <c r="M20" s="2240"/>
      <c r="N20" s="2240"/>
      <c r="O20" s="2240"/>
      <c r="P20" s="2240"/>
      <c r="Q20" s="2240"/>
      <c r="R20" s="2240"/>
      <c r="S20" s="2241"/>
      <c r="T20" s="2234">
        <f>SUM(T13:X19)</f>
        <v>0</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1874</v>
      </c>
      <c r="C21" s="2240"/>
      <c r="D21" s="2240"/>
      <c r="E21" s="2240"/>
      <c r="F21" s="2240"/>
      <c r="G21" s="2240"/>
      <c r="H21" s="2240"/>
      <c r="I21" s="2240"/>
      <c r="J21" s="2240"/>
      <c r="K21" s="2240"/>
      <c r="L21" s="2240"/>
      <c r="M21" s="2240"/>
      <c r="N21" s="2240"/>
      <c r="O21" s="2240"/>
      <c r="P21" s="2240"/>
      <c r="Q21" s="2240"/>
      <c r="R21" s="2240"/>
      <c r="S21" s="2241"/>
      <c r="T21" s="1732">
        <f>[4]EVERYTHING!$J$122</f>
        <v>17447988</v>
      </c>
      <c r="U21" s="1735"/>
      <c r="V21" s="1735"/>
      <c r="W21" s="1735"/>
      <c r="X21" s="1735"/>
      <c r="Y21" s="1732"/>
      <c r="Z21" s="1735"/>
      <c r="AA21" s="1735"/>
      <c r="AB21" s="1735"/>
      <c r="AC21" s="1735"/>
      <c r="AD21" s="1735"/>
      <c r="AE21" s="1735"/>
      <c r="AF21" s="1735"/>
      <c r="AG21" s="1735"/>
      <c r="AH21" s="1735"/>
      <c r="AI21" s="1730"/>
      <c r="AJ21" s="1731"/>
      <c r="AK21" s="1731"/>
      <c r="AL21" s="1731"/>
      <c r="AM21" s="1732"/>
    </row>
    <row r="22" spans="1:39" ht="12.75">
      <c r="B22" s="2239" t="s">
        <v>836</v>
      </c>
      <c r="C22" s="2240"/>
      <c r="D22" s="2240"/>
      <c r="E22" s="2240"/>
      <c r="F22" s="2240"/>
      <c r="G22" s="2240"/>
      <c r="H22" s="2240"/>
      <c r="I22" s="2240"/>
      <c r="J22" s="2240"/>
      <c r="K22" s="2240"/>
      <c r="L22" s="2240"/>
      <c r="M22" s="2240"/>
      <c r="N22" s="2240"/>
      <c r="O22" s="2240"/>
      <c r="P22" s="2240"/>
      <c r="Q22" s="2240"/>
      <c r="R22" s="2240"/>
      <c r="S22" s="2241"/>
      <c r="T22" s="2280">
        <f>(T20+T21)*-1</f>
        <v>-17447988</v>
      </c>
      <c r="U22" s="2281"/>
      <c r="V22" s="2281"/>
      <c r="W22" s="2281"/>
      <c r="X22" s="2281"/>
      <c r="Y22" s="2280">
        <f>(Y20+Y21)*-1</f>
        <v>0</v>
      </c>
      <c r="Z22" s="2281"/>
      <c r="AA22" s="2281"/>
      <c r="AB22" s="2281"/>
      <c r="AC22" s="2281"/>
      <c r="AD22" s="2280">
        <f>(AD20+AD21)*-1</f>
        <v>0</v>
      </c>
      <c r="AE22" s="2281"/>
      <c r="AF22" s="2281"/>
      <c r="AG22" s="2281"/>
      <c r="AH22" s="2281"/>
      <c r="AI22" s="2291">
        <f>(AI20+AI21)*-1</f>
        <v>0</v>
      </c>
      <c r="AJ22" s="2292"/>
      <c r="AK22" s="2292"/>
      <c r="AL22" s="2292"/>
      <c r="AM22" s="2280"/>
    </row>
    <row r="23" spans="1:39" ht="12.75">
      <c r="A23" s="2"/>
      <c r="B23" s="2299" t="s">
        <v>2103</v>
      </c>
      <c r="C23" s="2300"/>
      <c r="D23" s="2300"/>
      <c r="E23" s="2300"/>
      <c r="F23" s="2300"/>
      <c r="G23" s="2300"/>
      <c r="H23" s="2300"/>
      <c r="I23" s="2300"/>
      <c r="J23" s="2300"/>
      <c r="K23" s="2300"/>
      <c r="L23" s="2300"/>
      <c r="M23" s="2300"/>
      <c r="N23" s="2300"/>
      <c r="O23" s="2300"/>
      <c r="P23" s="2300"/>
      <c r="Q23" s="2300"/>
      <c r="R23" s="2300"/>
      <c r="S23" s="2301"/>
      <c r="T23" s="2234">
        <f>T11+T22</f>
        <v>21367521.06984631</v>
      </c>
      <c r="U23" s="2235"/>
      <c r="V23" s="2235"/>
      <c r="W23" s="2235"/>
      <c r="X23" s="2235"/>
      <c r="Y23" s="2234">
        <f>Y11+Y22</f>
        <v>0</v>
      </c>
      <c r="Z23" s="2235"/>
      <c r="AA23" s="2235"/>
      <c r="AB23" s="2235"/>
      <c r="AC23" s="2235"/>
      <c r="AD23" s="2234">
        <f>IF(AD11=AD21,0,AD11)</f>
        <v>0</v>
      </c>
      <c r="AE23" s="2235"/>
      <c r="AF23" s="2235"/>
      <c r="AG23" s="2235"/>
      <c r="AH23" s="2235"/>
      <c r="AI23" s="2234">
        <f>IF(AI11=AI21,0,AI11)</f>
        <v>0</v>
      </c>
      <c r="AJ23" s="2235"/>
      <c r="AK23" s="2235"/>
      <c r="AL23" s="2235"/>
      <c r="AM23" s="2235"/>
    </row>
    <row r="24" spans="1:39" ht="12.75">
      <c r="B24" s="2239" t="s">
        <v>1317</v>
      </c>
      <c r="C24" s="2240"/>
      <c r="D24" s="2240"/>
      <c r="E24" s="2240"/>
      <c r="F24" s="2240"/>
      <c r="G24" s="2240"/>
      <c r="H24" s="2240"/>
      <c r="I24" s="2240"/>
      <c r="J24" s="2240"/>
      <c r="K24" s="2240"/>
      <c r="L24" s="2240"/>
      <c r="M24" s="2240"/>
      <c r="N24" s="2240"/>
      <c r="O24" s="2240"/>
      <c r="P24" s="2240"/>
      <c r="Q24" s="2240"/>
      <c r="R24" s="2240"/>
      <c r="S24" s="2241"/>
      <c r="T24" s="2302">
        <f>Application!AJ1002</f>
        <v>31197884.399999999</v>
      </c>
      <c r="U24" s="2303"/>
      <c r="V24" s="2303"/>
      <c r="W24" s="2303"/>
      <c r="X24" s="2303"/>
      <c r="Y24" s="2303"/>
      <c r="Z24" s="2303"/>
      <c r="AA24" s="2303"/>
      <c r="AB24" s="2303"/>
      <c r="AC24" s="2303"/>
      <c r="AD24" s="2303"/>
      <c r="AE24" s="2303"/>
      <c r="AF24" s="2303"/>
      <c r="AG24" s="2303"/>
      <c r="AH24" s="2303"/>
      <c r="AI24" s="2303"/>
      <c r="AJ24" s="2303"/>
      <c r="AK24" s="2303"/>
      <c r="AL24" s="2303"/>
      <c r="AM24" s="2234"/>
    </row>
    <row r="25" spans="1:39" ht="12.75">
      <c r="B25" s="2293" t="s">
        <v>2105</v>
      </c>
      <c r="C25" s="2294"/>
      <c r="D25" s="2294"/>
      <c r="E25" s="2294"/>
      <c r="F25" s="2294"/>
      <c r="G25" s="2294"/>
      <c r="H25" s="2294"/>
      <c r="I25" s="2294"/>
      <c r="J25" s="2294"/>
      <c r="K25" s="2294"/>
      <c r="L25" s="2294"/>
      <c r="M25" s="2294"/>
      <c r="N25" s="2294"/>
      <c r="O25" s="2294"/>
      <c r="P25" s="2294"/>
      <c r="Q25" s="2294"/>
      <c r="R25" s="2294"/>
      <c r="S25" s="2295"/>
      <c r="T25" s="2282">
        <f>IF(OR(AND(Application!T193="no",Application!T194="no",Application!T196="no",Application!Y211="no"),Application!T195="yes"),1,1.3)</f>
        <v>1.3</v>
      </c>
      <c r="U25" s="2283"/>
      <c r="V25" s="2283"/>
      <c r="W25" s="2283"/>
      <c r="X25" s="2283"/>
      <c r="Y25" s="2286">
        <v>1</v>
      </c>
      <c r="Z25" s="2287"/>
      <c r="AA25" s="2287"/>
      <c r="AB25" s="2287"/>
      <c r="AC25" s="2288"/>
      <c r="AD25" s="2286">
        <v>1</v>
      </c>
      <c r="AE25" s="2287"/>
      <c r="AF25" s="2287"/>
      <c r="AG25" s="2287"/>
      <c r="AH25" s="2288"/>
      <c r="AI25" s="2286">
        <v>1</v>
      </c>
      <c r="AJ25" s="2287"/>
      <c r="AK25" s="2287"/>
      <c r="AL25" s="2287"/>
      <c r="AM25" s="2288"/>
    </row>
    <row r="26" spans="1:39" ht="12.75">
      <c r="B26" s="2239" t="s">
        <v>838</v>
      </c>
      <c r="C26" s="2240"/>
      <c r="D26" s="2240"/>
      <c r="E26" s="2240"/>
      <c r="F26" s="2240"/>
      <c r="G26" s="2240"/>
      <c r="H26" s="2240"/>
      <c r="I26" s="2240"/>
      <c r="J26" s="2240"/>
      <c r="K26" s="2240"/>
      <c r="L26" s="2240"/>
      <c r="M26" s="2240"/>
      <c r="N26" s="2240"/>
      <c r="O26" s="2240"/>
      <c r="P26" s="2240"/>
      <c r="Q26" s="2240"/>
      <c r="R26" s="2240"/>
      <c r="S26" s="2241"/>
      <c r="T26" s="2289">
        <f>T23*T25</f>
        <v>27777777.390800204</v>
      </c>
      <c r="U26" s="2290"/>
      <c r="V26" s="2290"/>
      <c r="W26" s="2290"/>
      <c r="X26" s="2290"/>
      <c r="Y26" s="2289">
        <f>Y23*Y25</f>
        <v>0</v>
      </c>
      <c r="Z26" s="2290"/>
      <c r="AA26" s="2290"/>
      <c r="AB26" s="2290"/>
      <c r="AC26" s="2290"/>
      <c r="AD26" s="2289">
        <f>AD23*AD25</f>
        <v>0</v>
      </c>
      <c r="AE26" s="2290"/>
      <c r="AF26" s="2290"/>
      <c r="AG26" s="2290"/>
      <c r="AH26" s="2290"/>
      <c r="AI26" s="2289">
        <f>AI23*AI25</f>
        <v>0</v>
      </c>
      <c r="AJ26" s="2290"/>
      <c r="AK26" s="2290"/>
      <c r="AL26" s="2290"/>
      <c r="AM26" s="2290"/>
    </row>
    <row r="27" spans="1:39" ht="12.75">
      <c r="A27" s="7"/>
      <c r="B27" s="2296" t="s">
        <v>956</v>
      </c>
      <c r="C27" s="2297"/>
      <c r="D27" s="2297"/>
      <c r="E27" s="2297"/>
      <c r="F27" s="2297"/>
      <c r="G27" s="2297"/>
      <c r="H27" s="2297"/>
      <c r="I27" s="2297"/>
      <c r="J27" s="2297"/>
      <c r="K27" s="2297"/>
      <c r="L27" s="2297"/>
      <c r="M27" s="2297"/>
      <c r="N27" s="2297"/>
      <c r="O27" s="2297"/>
      <c r="P27" s="2297"/>
      <c r="Q27" s="2297"/>
      <c r="R27" s="2297"/>
      <c r="S27" s="2298"/>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916</v>
      </c>
      <c r="C28" s="2240"/>
      <c r="D28" s="2240"/>
      <c r="E28" s="2240"/>
      <c r="F28" s="2240"/>
      <c r="G28" s="2240"/>
      <c r="H28" s="2240"/>
      <c r="I28" s="2240"/>
      <c r="J28" s="2240"/>
      <c r="K28" s="2240"/>
      <c r="L28" s="2240"/>
      <c r="M28" s="2240"/>
      <c r="N28" s="2240"/>
      <c r="O28" s="2240"/>
      <c r="P28" s="2240"/>
      <c r="Q28" s="2240"/>
      <c r="R28" s="2240"/>
      <c r="S28" s="2241"/>
      <c r="T28" s="1794">
        <f>IF(ISERROR((T26*T27)),0,(T26*T27))</f>
        <v>27777777.390800204</v>
      </c>
      <c r="U28" s="2256"/>
      <c r="V28" s="2256"/>
      <c r="W28" s="2256"/>
      <c r="X28" s="2256"/>
      <c r="Y28" s="1794">
        <f>IF(ISERROR((Y26*Y27)),0,(Y26*Y27))</f>
        <v>0</v>
      </c>
      <c r="Z28" s="2256"/>
      <c r="AA28" s="2256"/>
      <c r="AB28" s="2256"/>
      <c r="AC28" s="2256"/>
      <c r="AD28" s="1794">
        <f>IF(ISERROR((AD26*AD27)),0,(AD26*AD27))</f>
        <v>0</v>
      </c>
      <c r="AE28" s="2256"/>
      <c r="AF28" s="2256"/>
      <c r="AG28" s="2256"/>
      <c r="AH28" s="2256"/>
      <c r="AI28" s="1794">
        <f>IF(ISERROR((AI26*AI27)),0,(AI26*AI27))</f>
        <v>0</v>
      </c>
      <c r="AJ28" s="2256"/>
      <c r="AK28" s="2256"/>
      <c r="AL28" s="2256"/>
      <c r="AM28" s="2256"/>
    </row>
    <row r="29" spans="1:39" ht="12.75">
      <c r="B29" s="2239" t="s">
        <v>684</v>
      </c>
      <c r="C29" s="2240"/>
      <c r="D29" s="2240"/>
      <c r="E29" s="2240"/>
      <c r="F29" s="2240"/>
      <c r="G29" s="2240"/>
      <c r="H29" s="2240"/>
      <c r="I29" s="2240"/>
      <c r="J29" s="2240"/>
      <c r="K29" s="2240"/>
      <c r="L29" s="2240"/>
      <c r="M29" s="2240"/>
      <c r="N29" s="2240"/>
      <c r="O29" s="2240"/>
      <c r="P29" s="2240"/>
      <c r="Q29" s="2240"/>
      <c r="R29" s="2240"/>
      <c r="S29" s="2241"/>
      <c r="T29" s="2302">
        <f>T28+Y28+AD28+AI28</f>
        <v>27777777.390800204</v>
      </c>
      <c r="U29" s="2303"/>
      <c r="V29" s="2303"/>
      <c r="W29" s="2303"/>
      <c r="X29" s="2303"/>
      <c r="Y29" s="2303"/>
      <c r="Z29" s="2303"/>
      <c r="AA29" s="2303"/>
      <c r="AB29" s="2303"/>
      <c r="AC29" s="2303"/>
      <c r="AD29" s="2303"/>
      <c r="AE29" s="2303"/>
      <c r="AF29" s="2303"/>
      <c r="AG29" s="2303"/>
      <c r="AH29" s="2303"/>
      <c r="AI29" s="2303"/>
      <c r="AJ29" s="2303"/>
      <c r="AK29" s="2303"/>
      <c r="AL29" s="2303"/>
      <c r="AM29" s="2234"/>
    </row>
    <row r="30" spans="1:39" ht="12.75" customHeight="1">
      <c r="B30" s="2261" t="s">
        <v>2104</v>
      </c>
      <c r="C30" s="2261"/>
      <c r="D30" s="2261"/>
      <c r="E30" s="2261"/>
      <c r="F30" s="2261"/>
      <c r="G30" s="2261"/>
      <c r="H30" s="2261"/>
      <c r="I30" s="2261"/>
      <c r="J30" s="2261"/>
      <c r="K30" s="2261"/>
      <c r="L30" s="226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row>
    <row r="31" spans="1:39" ht="12.75">
      <c r="B31" s="2223" t="s">
        <v>2108</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24" t="s">
        <v>46</v>
      </c>
      <c r="AE35" s="2224"/>
      <c r="AF35" s="2224"/>
      <c r="AG35" s="2224"/>
      <c r="AH35" s="22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4" ht="12.75" customHeight="1">
      <c r="A38" s="6"/>
      <c r="B38" s="2239" t="s">
        <v>916</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27777777.390800204</v>
      </c>
      <c r="Z38" s="2235"/>
      <c r="AA38" s="2235"/>
      <c r="AB38" s="2235"/>
      <c r="AC38" s="2235"/>
      <c r="AD38" s="2235">
        <f>IF(T24&gt;=(T23+Y23+AD23+AI23),AD28+AI28,0)</f>
        <v>0</v>
      </c>
      <c r="AE38" s="2235"/>
      <c r="AF38" s="2235"/>
      <c r="AG38" s="2235"/>
      <c r="AH38" s="2235"/>
    </row>
    <row r="39" spans="1:44" ht="12.75">
      <c r="B39" s="2239" t="s">
        <v>1987</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v>0.04</v>
      </c>
      <c r="AE39" s="2233"/>
      <c r="AF39" s="2233"/>
      <c r="AG39" s="2233"/>
      <c r="AH39" s="2233"/>
    </row>
    <row r="40" spans="1:44"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2500000</v>
      </c>
      <c r="Z40" s="2235"/>
      <c r="AA40" s="2235"/>
      <c r="AB40" s="2235"/>
      <c r="AC40" s="2235"/>
      <c r="AD40" s="2234">
        <f>ROUND(AD38*AD39,0)</f>
        <v>0</v>
      </c>
      <c r="AE40" s="2235"/>
      <c r="AF40" s="2235"/>
      <c r="AG40" s="2235"/>
      <c r="AH40" s="2235"/>
    </row>
    <row r="41" spans="1:44" ht="12.75">
      <c r="B41" s="2239" t="s">
        <v>678</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IF(Application!Y211="No",'Basis &amp; Credits'!AR42,AR43)</f>
        <v>2500000</v>
      </c>
      <c r="Z41" s="2237"/>
      <c r="AA41" s="2237"/>
      <c r="AB41" s="2237"/>
      <c r="AC41" s="2237"/>
      <c r="AD41" s="2237"/>
      <c r="AE41" s="2237"/>
      <c r="AF41" s="2237"/>
      <c r="AG41" s="2237"/>
      <c r="AH41" s="2238"/>
    </row>
    <row r="42" spans="1:44" ht="12.75" customHeight="1">
      <c r="A42" s="6"/>
      <c r="B42" s="2255" t="s">
        <v>1988</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30">
        <f>'Sources and Uses Budget'!B104-(MAX(IF('Sources and Uses Budget'!B15="",0,'Sources and Uses Budget'!B15),IF(Application!AG387="",0,Application!AG387)))</f>
        <v>49021183.979608379</v>
      </c>
      <c r="AC46" s="2231"/>
      <c r="AD46" s="2231"/>
      <c r="AE46" s="2231"/>
      <c r="AF46" s="2232"/>
    </row>
    <row r="47" spans="1:44" ht="12.75" customHeight="1">
      <c r="D47" s="6" t="s">
        <v>910</v>
      </c>
      <c r="AB47" s="2230">
        <f>Application!AO644-MAX(IF('Sources and Uses Budget'!B15="",0,'Sources and Uses Budget'!B15),IF(Application!AG387="",0,Application!AG387))</f>
        <v>23203525</v>
      </c>
      <c r="AC47" s="2231"/>
      <c r="AD47" s="2231"/>
      <c r="AE47" s="2231"/>
      <c r="AF47" s="2232"/>
    </row>
    <row r="48" spans="1:44" ht="12.75">
      <c r="D48" s="6" t="s">
        <v>418</v>
      </c>
      <c r="AB48" s="2230">
        <f>AB46-AB47</f>
        <v>25817658.979608379</v>
      </c>
      <c r="AC48" s="2231"/>
      <c r="AD48" s="2231"/>
      <c r="AE48" s="2231"/>
      <c r="AF48" s="2232"/>
    </row>
    <row r="49" spans="1:40" ht="12.75">
      <c r="D49" s="6" t="s">
        <v>949</v>
      </c>
      <c r="X49" s="2"/>
      <c r="Y49" s="2"/>
      <c r="Z49" s="2"/>
      <c r="AA49" s="409"/>
      <c r="AB49" s="2249">
        <f>[4]EVERYTHING!$I$120</f>
        <v>0.90103999999999995</v>
      </c>
      <c r="AC49" s="2250"/>
      <c r="AD49" s="2250"/>
      <c r="AE49" s="2250"/>
      <c r="AF49" s="2251"/>
    </row>
    <row r="50" spans="1:40" s="497" customFormat="1" ht="15" customHeight="1">
      <c r="A50" s="2"/>
      <c r="B50" s="2"/>
      <c r="C50" s="2"/>
      <c r="D50" s="272"/>
      <c r="E50" s="2260" t="s">
        <v>2162</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55"/>
      <c r="AB50" s="755"/>
      <c r="AC50" s="755"/>
      <c r="AD50" s="755"/>
      <c r="AE50" s="755"/>
      <c r="AF50" s="755"/>
      <c r="AG50" s="2"/>
      <c r="AH50" s="2"/>
      <c r="AI50" s="2"/>
      <c r="AJ50" s="2"/>
      <c r="AK50" s="2"/>
      <c r="AL50" s="2"/>
      <c r="AM50" s="2"/>
      <c r="AN50" s="2"/>
    </row>
    <row r="51" spans="1:40" s="497"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0">
        <f>ROUND(IF(ISERROR((AB48/AB49)),0,(AB48/AB49)),0)</f>
        <v>28653177</v>
      </c>
      <c r="AC53" s="2231"/>
      <c r="AD53" s="2231"/>
      <c r="AE53" s="2231"/>
      <c r="AF53" s="2232"/>
    </row>
    <row r="54" spans="1:40" ht="12.75" customHeight="1">
      <c r="D54" s="6" t="s">
        <v>617</v>
      </c>
      <c r="AB54" s="2230">
        <f>(AB53/10)</f>
        <v>2865317.7</v>
      </c>
      <c r="AC54" s="2231"/>
      <c r="AD54" s="2231"/>
      <c r="AE54" s="2231"/>
      <c r="AF54" s="2232"/>
    </row>
    <row r="55" spans="1:40" ht="12.75">
      <c r="D55" s="6" t="s">
        <v>377</v>
      </c>
      <c r="AB55" s="2257">
        <f>(IF((Y41&lt;AB54),Y41,AB54))</f>
        <v>2500000</v>
      </c>
      <c r="AC55" s="2258"/>
      <c r="AD55" s="2258"/>
      <c r="AE55" s="2258"/>
      <c r="AF55" s="2259"/>
    </row>
    <row r="56" spans="1:40" ht="12.75">
      <c r="D56" s="6" t="s">
        <v>117</v>
      </c>
      <c r="AB56" s="2230">
        <f>ROUND((10*AB55*AB49),0)</f>
        <v>22526000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8">
        <f>AB48-AB56</f>
        <v>3291658.9796083793</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I59" s="1071"/>
      <c r="N59" s="23"/>
      <c r="AB59" s="425"/>
      <c r="AC59" s="425"/>
      <c r="AD59" s="425"/>
      <c r="AE59" s="425"/>
      <c r="AF59" s="425"/>
    </row>
    <row r="60" spans="1:40" ht="12.75" customHeight="1" thickBot="1">
      <c r="A60" s="2225" t="s">
        <v>1915</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29" t="s">
        <v>329</v>
      </c>
      <c r="Z62" s="2229"/>
      <c r="AA62" s="2229"/>
      <c r="AB62" s="2229"/>
      <c r="AC62" s="2229"/>
      <c r="AD62" s="2229" t="s">
        <v>46</v>
      </c>
      <c r="AE62" s="2229"/>
      <c r="AF62" s="2229"/>
      <c r="AG62" s="2229"/>
      <c r="AH62" s="2229"/>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56">
        <f>IF(AND(Application!T193="No",Application!T194="No"),T28,IF(OR(AND(T25=1.3,Application!T196="Yes",Application!D214="Special Needs"),T25=1),(T23*T27)+Y28,Y28))</f>
        <v>21367521.06984631</v>
      </c>
      <c r="Z63" s="2252"/>
      <c r="AA63" s="2252"/>
      <c r="AB63" s="2252"/>
      <c r="AC63" s="2252"/>
      <c r="AD63" s="2157">
        <f>IF(AND(T25=1.3,Application!D214="At-Risk"),AI28,IF(Application!D214&lt;&gt;"At-Risk",0,AD28))</f>
        <v>0</v>
      </c>
      <c r="AE63" s="2252"/>
      <c r="AF63" s="2252"/>
      <c r="AG63" s="2252"/>
      <c r="AH63" s="2252"/>
    </row>
    <row r="64" spans="1:40" ht="15" customHeight="1">
      <c r="C64" s="6"/>
      <c r="E64" s="2226" t="s">
        <v>1393</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48">
        <f>IF(Application!W198="Yes",95%, 30%)</f>
        <v>0.3</v>
      </c>
      <c r="Z66" s="2248"/>
      <c r="AA66" s="2248"/>
      <c r="AB66" s="2248"/>
      <c r="AC66" s="2248"/>
      <c r="AD66" s="2248">
        <f>IF(Application!W198="Yes",95%, 13%)</f>
        <v>0.13</v>
      </c>
      <c r="AE66" s="2248"/>
      <c r="AF66" s="2248"/>
      <c r="AG66" s="2248"/>
      <c r="AH66" s="2248"/>
    </row>
    <row r="67" spans="1:40" ht="12.75">
      <c r="C67" s="6"/>
      <c r="D67" s="6" t="s">
        <v>1023</v>
      </c>
      <c r="Y67" s="2157">
        <f>ROUND(Y63*Y66,0)</f>
        <v>6410256</v>
      </c>
      <c r="Z67" s="2252"/>
      <c r="AA67" s="2252"/>
      <c r="AB67" s="2252"/>
      <c r="AC67" s="2252"/>
      <c r="AD67" s="2157" t="str">
        <f>IF(OR(Application!D211="At-Risk",Application!D211="At-Risk/Located in Rural Census Tract",Application!D214="At-Risk"),ROUND(AD63*AD66,0),"$0")</f>
        <v>$0</v>
      </c>
      <c r="AE67" s="2253"/>
      <c r="AF67" s="2253"/>
      <c r="AG67" s="2253"/>
      <c r="AH67" s="2253"/>
    </row>
    <row r="68" spans="1:40" ht="12.75" customHeight="1">
      <c r="C68" s="6"/>
      <c r="E68" s="1306" t="s">
        <v>2109</v>
      </c>
      <c r="F68" s="1308"/>
      <c r="G68" s="1305"/>
      <c r="H68" s="1305"/>
      <c r="I68" s="1305"/>
      <c r="J68" s="1305"/>
      <c r="K68" s="1305"/>
      <c r="L68" s="1305"/>
      <c r="M68" s="1305"/>
      <c r="N68" s="1305"/>
      <c r="O68" s="1305"/>
      <c r="P68" s="1305"/>
      <c r="Q68" s="1305"/>
      <c r="R68" s="1305"/>
      <c r="S68" s="1305"/>
      <c r="T68" s="1305"/>
      <c r="U68" s="1305"/>
      <c r="V68" s="1305"/>
      <c r="W68" s="1305"/>
      <c r="X68" s="1305"/>
      <c r="Y68" s="1305"/>
      <c r="Z68" s="1305"/>
      <c r="AA68" s="1305"/>
      <c r="AB68" s="1305"/>
      <c r="AC68" s="1305"/>
      <c r="AD68" s="1305"/>
      <c r="AE68" s="1305"/>
      <c r="AF68" s="1305"/>
      <c r="AG68" s="1305"/>
      <c r="AH68" s="1305"/>
    </row>
    <row r="69" spans="1:40" ht="12.75">
      <c r="A69" s="6" t="s">
        <v>133</v>
      </c>
      <c r="C69" s="6" t="s">
        <v>281</v>
      </c>
      <c r="E69" s="1305"/>
      <c r="F69" s="1305"/>
      <c r="G69" s="1305"/>
      <c r="H69" s="1305"/>
      <c r="I69" s="1305"/>
      <c r="J69" s="1305"/>
      <c r="K69" s="1305"/>
      <c r="L69" s="1305"/>
      <c r="M69" s="1305"/>
      <c r="N69" s="1305"/>
      <c r="O69" s="1305"/>
      <c r="P69" s="1305"/>
      <c r="Q69" s="1305"/>
      <c r="R69" s="1305"/>
      <c r="S69" s="1305"/>
      <c r="T69" s="1305"/>
      <c r="U69" s="1305"/>
      <c r="V69" s="1305"/>
      <c r="W69" s="1305"/>
      <c r="X69" s="1305"/>
      <c r="Y69" s="1305"/>
      <c r="Z69" s="1305"/>
      <c r="AA69" s="1305"/>
      <c r="AB69" s="1305"/>
      <c r="AC69" s="1305"/>
      <c r="AD69" s="1305"/>
      <c r="AE69" s="1305"/>
      <c r="AF69" s="1305"/>
      <c r="AG69" s="1305"/>
      <c r="AH69" s="1305"/>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9">
        <v>0.8</v>
      </c>
      <c r="AC70" s="2250"/>
      <c r="AD70" s="2250"/>
      <c r="AE70" s="2250"/>
      <c r="AF70" s="2251"/>
      <c r="AG70" s="2"/>
      <c r="AH70" s="2"/>
      <c r="AI70" s="2"/>
      <c r="AJ70" s="2"/>
      <c r="AK70" s="2"/>
      <c r="AL70" s="2"/>
      <c r="AM70" s="2"/>
      <c r="AN70" s="2"/>
    </row>
    <row r="71" spans="1:40" ht="12.75" customHeight="1">
      <c r="A71" s="330"/>
      <c r="B71" s="2"/>
      <c r="C71" s="330"/>
      <c r="D71" s="330"/>
      <c r="E71" s="2254" t="s">
        <v>1910</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D72" s="1062"/>
      <c r="AE72" s="1062"/>
      <c r="AF72" s="1062"/>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47">
        <f>ROUND(IF(ISERROR((AB58/AB70)),0,(AB58/AB70)),0)</f>
        <v>4114574</v>
      </c>
      <c r="AC75" s="2247"/>
      <c r="AD75" s="2247"/>
      <c r="AE75" s="2247"/>
      <c r="AF75" s="2247"/>
    </row>
    <row r="76" spans="1:40" ht="12.75" customHeight="1">
      <c r="C76" s="6"/>
      <c r="D76" s="6" t="s">
        <v>115</v>
      </c>
      <c r="AB76" s="2244">
        <f>IF((Y67+AD67&lt;AB75),Y67+AD67,AB75)</f>
        <v>4114574</v>
      </c>
      <c r="AC76" s="2245"/>
      <c r="AD76" s="2245"/>
      <c r="AE76" s="2245"/>
      <c r="AF76" s="2246"/>
    </row>
    <row r="77" spans="1:40" ht="12.75" customHeight="1">
      <c r="C77" s="6"/>
      <c r="D77" s="6" t="s">
        <v>1024</v>
      </c>
      <c r="AB77" s="2243">
        <f>AB76*AB70</f>
        <v>3291659.2</v>
      </c>
      <c r="AC77" s="2243"/>
      <c r="AD77" s="2243"/>
      <c r="AE77" s="2243"/>
      <c r="AF77" s="2243"/>
    </row>
    <row r="78" spans="1:40" ht="12.75" customHeight="1">
      <c r="C78" s="6"/>
      <c r="D78" s="6"/>
      <c r="AB78" s="908"/>
      <c r="AC78" s="908"/>
      <c r="AD78" s="908"/>
      <c r="AE78" s="908"/>
      <c r="AF78" s="908"/>
    </row>
    <row r="79" spans="1:40" ht="12.75" customHeight="1">
      <c r="A79" s="1"/>
      <c r="B79" s="1"/>
      <c r="C79" s="1"/>
      <c r="D79" s="6" t="s">
        <v>116</v>
      </c>
      <c r="AB79" s="2228">
        <f>AB48-(AB56+AB77)</f>
        <v>-0.22039161995053291</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5"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5" workbookViewId="0">
      <selection activeCell="F97" sqref="F97"/>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4" t="s">
        <v>1995</v>
      </c>
      <c r="B1" s="2305"/>
      <c r="C1" s="2305"/>
      <c r="D1" s="2305"/>
      <c r="E1" s="2305"/>
      <c r="F1" s="2305"/>
      <c r="G1" s="2305"/>
      <c r="H1" s="2305"/>
      <c r="I1" s="2305"/>
      <c r="J1" s="2306"/>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5700000</v>
      </c>
      <c r="C4" s="894">
        <f>B4</f>
        <v>5700000</v>
      </c>
      <c r="D4" s="894"/>
      <c r="E4" s="895"/>
      <c r="F4" s="895"/>
      <c r="G4" s="895"/>
      <c r="H4" s="895"/>
      <c r="I4" s="895"/>
      <c r="J4" s="895"/>
      <c r="K4" s="888"/>
    </row>
    <row r="5" spans="1:11" s="383" customFormat="1" ht="13.5">
      <c r="A5" s="464" t="s">
        <v>74</v>
      </c>
      <c r="B5" s="893">
        <f>'Sources and Uses Budget'!C5</f>
        <v>0</v>
      </c>
      <c r="C5" s="894">
        <f t="shared" ref="C5:C7" si="0">B5</f>
        <v>0</v>
      </c>
      <c r="D5" s="894"/>
      <c r="E5" s="895"/>
      <c r="F5" s="895"/>
      <c r="G5" s="895"/>
      <c r="H5" s="895"/>
      <c r="I5" s="895"/>
      <c r="J5" s="895"/>
      <c r="K5" s="888"/>
    </row>
    <row r="6" spans="1:11" s="383" customFormat="1">
      <c r="A6" s="369" t="s">
        <v>380</v>
      </c>
      <c r="B6" s="893">
        <f>'Sources and Uses Budget'!C6</f>
        <v>95000</v>
      </c>
      <c r="C6" s="894">
        <f t="shared" si="0"/>
        <v>95000</v>
      </c>
      <c r="D6" s="894"/>
      <c r="E6" s="895"/>
      <c r="F6" s="895"/>
      <c r="G6" s="895"/>
      <c r="H6" s="895"/>
      <c r="I6" s="895"/>
      <c r="J6" s="895"/>
      <c r="K6" s="888"/>
    </row>
    <row r="7" spans="1:11" s="383" customFormat="1">
      <c r="A7" s="369" t="s">
        <v>308</v>
      </c>
      <c r="B7" s="893">
        <f>'Sources and Uses Budget'!C7</f>
        <v>0</v>
      </c>
      <c r="C7" s="894">
        <f t="shared" si="0"/>
        <v>0</v>
      </c>
      <c r="D7" s="894"/>
      <c r="E7" s="895"/>
      <c r="F7" s="895"/>
      <c r="G7" s="895"/>
      <c r="H7" s="895"/>
      <c r="I7" s="895"/>
      <c r="J7" s="895"/>
      <c r="K7" s="888"/>
    </row>
    <row r="8" spans="1:11" s="383" customFormat="1" ht="13.5">
      <c r="A8" s="465" t="s">
        <v>765</v>
      </c>
      <c r="B8" s="893">
        <f>'Sources and Uses Budget'!C8</f>
        <v>5795000</v>
      </c>
      <c r="C8" s="893">
        <f>SUM(C4:C7)</f>
        <v>5795000</v>
      </c>
      <c r="D8" s="893">
        <f>SUM(D4:D7)</f>
        <v>0</v>
      </c>
      <c r="E8" s="895"/>
      <c r="F8" s="895"/>
      <c r="G8" s="895"/>
      <c r="H8" s="895"/>
      <c r="I8" s="895"/>
      <c r="J8" s="895"/>
      <c r="K8" s="888"/>
    </row>
    <row r="9" spans="1:11" s="383" customFormat="1">
      <c r="A9" s="369" t="s">
        <v>1884</v>
      </c>
      <c r="B9" s="893">
        <f>'Sources and Uses Budget'!C9</f>
        <v>0</v>
      </c>
      <c r="C9" s="894">
        <f t="shared" ref="C9:C10" si="1">B9</f>
        <v>0</v>
      </c>
      <c r="D9" s="894"/>
      <c r="E9" s="895"/>
      <c r="F9" s="895"/>
      <c r="G9" s="895"/>
      <c r="H9" s="893">
        <f>'Sources and Uses Budget'!T9</f>
        <v>0</v>
      </c>
      <c r="I9" s="894"/>
      <c r="J9" s="894"/>
      <c r="K9" s="888"/>
    </row>
    <row r="10" spans="1:11" s="383" customFormat="1" ht="13.5">
      <c r="A10" s="464" t="s">
        <v>75</v>
      </c>
      <c r="B10" s="893">
        <f>'Sources and Uses Budget'!C10</f>
        <v>476691</v>
      </c>
      <c r="C10" s="894">
        <f t="shared" si="1"/>
        <v>476691</v>
      </c>
      <c r="D10" s="894"/>
      <c r="E10" s="893">
        <f>'Sources and Uses Budget'!S10</f>
        <v>476691</v>
      </c>
      <c r="F10" s="894">
        <f>E10</f>
        <v>476691</v>
      </c>
      <c r="G10" s="894"/>
      <c r="H10" s="893">
        <f>'Sources and Uses Budget'!T10</f>
        <v>0</v>
      </c>
      <c r="I10" s="894"/>
      <c r="J10" s="894"/>
      <c r="K10" s="888"/>
    </row>
    <row r="11" spans="1:11" s="383" customFormat="1">
      <c r="A11" s="373" t="s">
        <v>642</v>
      </c>
      <c r="B11" s="893">
        <f>'Sources and Uses Budget'!C11</f>
        <v>476691</v>
      </c>
      <c r="C11" s="893">
        <f>SUM(C9:C10)</f>
        <v>476691</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6271691</v>
      </c>
      <c r="C12" s="893">
        <f>SUM(C8+C11)</f>
        <v>6271691</v>
      </c>
      <c r="D12" s="893">
        <f>SUM(D8+D11)</f>
        <v>0</v>
      </c>
      <c r="E12" s="895"/>
      <c r="F12" s="895"/>
      <c r="G12" s="895"/>
      <c r="H12" s="895"/>
      <c r="I12" s="895"/>
      <c r="J12" s="895"/>
      <c r="K12" s="888"/>
    </row>
    <row r="13" spans="1:11" s="383" customFormat="1">
      <c r="A13" s="699" t="s">
        <v>1197</v>
      </c>
      <c r="B13" s="893">
        <f>'Sources and Uses Budget'!C13</f>
        <v>43868.15</v>
      </c>
      <c r="C13" s="894">
        <f>B13</f>
        <v>43868.15</v>
      </c>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1527058.5</v>
      </c>
      <c r="C28" s="894">
        <f t="shared" ref="C28:C36" si="2">B28</f>
        <v>1527058.5</v>
      </c>
      <c r="D28" s="894"/>
      <c r="E28" s="893">
        <f>'Sources and Uses Budget'!S29</f>
        <v>1020251.5</v>
      </c>
      <c r="F28" s="894">
        <f t="shared" ref="F28:F36" si="3">E28</f>
        <v>1020251.5</v>
      </c>
      <c r="G28" s="894"/>
      <c r="H28" s="893">
        <f>'Sources and Uses Budget'!T29</f>
        <v>0</v>
      </c>
      <c r="I28" s="894"/>
      <c r="J28" s="894"/>
      <c r="K28" s="888"/>
    </row>
    <row r="29" spans="1:11" s="383" customFormat="1">
      <c r="A29" s="369" t="s">
        <v>993</v>
      </c>
      <c r="B29" s="893">
        <f>'Sources and Uses Budget'!C30</f>
        <v>23521946.287</v>
      </c>
      <c r="C29" s="894">
        <f t="shared" si="2"/>
        <v>23521946.287</v>
      </c>
      <c r="D29" s="894"/>
      <c r="E29" s="893">
        <f>'Sources and Uses Budget'!S30</f>
        <v>23521946.287</v>
      </c>
      <c r="F29" s="894">
        <f t="shared" si="3"/>
        <v>23521946.287</v>
      </c>
      <c r="G29" s="894"/>
      <c r="H29" s="893">
        <f>'Sources and Uses Budget'!T30</f>
        <v>0</v>
      </c>
      <c r="I29" s="894"/>
      <c r="J29" s="894"/>
      <c r="K29" s="888"/>
    </row>
    <row r="30" spans="1:11" s="383" customFormat="1">
      <c r="A30" s="369" t="s">
        <v>994</v>
      </c>
      <c r="B30" s="893">
        <f>'Sources and Uses Budget'!C31</f>
        <v>1988682.5</v>
      </c>
      <c r="C30" s="894">
        <f t="shared" si="2"/>
        <v>1988682.5</v>
      </c>
      <c r="D30" s="894"/>
      <c r="E30" s="893">
        <f>'Sources and Uses Budget'!S31</f>
        <v>1988682.5</v>
      </c>
      <c r="F30" s="894">
        <f t="shared" si="3"/>
        <v>1988682.5</v>
      </c>
      <c r="G30" s="894"/>
      <c r="H30" s="893">
        <f>'Sources and Uses Budget'!T31</f>
        <v>0</v>
      </c>
      <c r="I30" s="894"/>
      <c r="J30" s="894"/>
      <c r="K30" s="888"/>
    </row>
    <row r="31" spans="1:11" s="383" customFormat="1">
      <c r="A31" s="369" t="s">
        <v>995</v>
      </c>
      <c r="B31" s="893">
        <f>'Sources and Uses Budget'!C32</f>
        <v>349044.06</v>
      </c>
      <c r="C31" s="894">
        <f t="shared" si="2"/>
        <v>349044.06</v>
      </c>
      <c r="D31" s="894"/>
      <c r="E31" s="893">
        <f>'Sources and Uses Budget'!S32</f>
        <v>349044.06</v>
      </c>
      <c r="F31" s="894">
        <f t="shared" si="3"/>
        <v>349044.06</v>
      </c>
      <c r="G31" s="894"/>
      <c r="H31" s="893">
        <f>'Sources and Uses Budget'!T32</f>
        <v>0</v>
      </c>
      <c r="I31" s="894"/>
      <c r="J31" s="894"/>
      <c r="K31" s="888"/>
    </row>
    <row r="32" spans="1:11" s="383" customFormat="1">
      <c r="A32" s="369" t="s">
        <v>996</v>
      </c>
      <c r="B32" s="893">
        <f>'Sources and Uses Budget'!C33</f>
        <v>814436.1399999999</v>
      </c>
      <c r="C32" s="894">
        <f t="shared" si="2"/>
        <v>814436.1399999999</v>
      </c>
      <c r="D32" s="894"/>
      <c r="E32" s="893">
        <f>'Sources and Uses Budget'!S33</f>
        <v>814436.1399999999</v>
      </c>
      <c r="F32" s="894">
        <f t="shared" si="3"/>
        <v>814436.1399999999</v>
      </c>
      <c r="G32" s="894"/>
      <c r="H32" s="893">
        <f>'Sources and Uses Budget'!T33</f>
        <v>0</v>
      </c>
      <c r="I32" s="894"/>
      <c r="J32" s="894"/>
      <c r="K32" s="888"/>
    </row>
    <row r="33" spans="1:11" s="383" customFormat="1">
      <c r="A33" s="369" t="s">
        <v>997</v>
      </c>
      <c r="B33" s="893">
        <f>'Sources and Uses Budget'!C34</f>
        <v>0</v>
      </c>
      <c r="C33" s="894">
        <f t="shared" si="2"/>
        <v>0</v>
      </c>
      <c r="D33" s="894"/>
      <c r="E33" s="893">
        <f>'Sources and Uses Budget'!S34</f>
        <v>0</v>
      </c>
      <c r="F33" s="894">
        <f t="shared" si="3"/>
        <v>0</v>
      </c>
      <c r="G33" s="894"/>
      <c r="H33" s="893">
        <f>'Sources and Uses Budget'!T34</f>
        <v>0</v>
      </c>
      <c r="I33" s="894"/>
      <c r="J33" s="894"/>
      <c r="K33" s="888"/>
    </row>
    <row r="34" spans="1:11" s="383" customFormat="1">
      <c r="A34" s="369" t="s">
        <v>998</v>
      </c>
      <c r="B34" s="893">
        <f>'Sources and Uses Budget'!C35</f>
        <v>206395.09999999998</v>
      </c>
      <c r="C34" s="894">
        <f t="shared" si="2"/>
        <v>206395.09999999998</v>
      </c>
      <c r="D34" s="894"/>
      <c r="E34" s="893">
        <f>'Sources and Uses Budget'!S35</f>
        <v>206395.09999999998</v>
      </c>
      <c r="F34" s="894">
        <f t="shared" si="3"/>
        <v>206395.09999999998</v>
      </c>
      <c r="G34" s="894"/>
      <c r="H34" s="893">
        <f>'Sources and Uses Budget'!T35</f>
        <v>0</v>
      </c>
      <c r="I34" s="894"/>
      <c r="J34" s="894"/>
      <c r="K34" s="888"/>
    </row>
    <row r="35" spans="1:11" s="1454" customFormat="1">
      <c r="A35" s="700" t="str">
        <f>'Sources and Uses Budget'!$A36</f>
        <v>Third-party Construction Management</v>
      </c>
      <c r="B35" s="893">
        <f>'Sources and Uses Budget'!C36</f>
        <v>0</v>
      </c>
      <c r="C35" s="894">
        <f t="shared" si="2"/>
        <v>0</v>
      </c>
      <c r="D35" s="894"/>
      <c r="E35" s="893">
        <f>'Sources and Uses Budget'!S36</f>
        <v>0</v>
      </c>
      <c r="F35" s="894">
        <f t="shared" si="3"/>
        <v>0</v>
      </c>
      <c r="G35" s="894"/>
      <c r="H35" s="893">
        <f>'Sources and Uses Budget'!T36</f>
        <v>0</v>
      </c>
      <c r="I35" s="894"/>
      <c r="J35" s="894"/>
      <c r="K35" s="888"/>
    </row>
    <row r="36" spans="1:11" s="383" customFormat="1">
      <c r="A36" s="700" t="str">
        <f>'Sources and Uses Budget'!$A37</f>
        <v>Other: (Solar)</v>
      </c>
      <c r="B36" s="893">
        <f>'Sources and Uses Budget'!C37</f>
        <v>259452</v>
      </c>
      <c r="C36" s="894">
        <f t="shared" si="2"/>
        <v>259452</v>
      </c>
      <c r="D36" s="894"/>
      <c r="E36" s="893">
        <f>'Sources and Uses Budget'!S37</f>
        <v>259452</v>
      </c>
      <c r="F36" s="894">
        <f t="shared" si="3"/>
        <v>259452</v>
      </c>
      <c r="G36" s="894"/>
      <c r="H36" s="893">
        <f>'Sources and Uses Budget'!T37</f>
        <v>0</v>
      </c>
      <c r="I36" s="894"/>
      <c r="J36" s="894"/>
      <c r="K36" s="888"/>
    </row>
    <row r="37" spans="1:11" s="383" customFormat="1">
      <c r="A37" s="886" t="s">
        <v>1001</v>
      </c>
      <c r="B37" s="893">
        <f>'Sources and Uses Budget'!C38</f>
        <v>28667014.587000001</v>
      </c>
      <c r="C37" s="893">
        <f>SUM(C28:C36)</f>
        <v>28667014.587000001</v>
      </c>
      <c r="D37" s="893">
        <f>SUM(D28:D36)</f>
        <v>0</v>
      </c>
      <c r="E37" s="893">
        <f>'Sources and Uses Budget'!S38</f>
        <v>28160207.587000001</v>
      </c>
      <c r="F37" s="896">
        <f>SUM(F28:F36)</f>
        <v>28160207.587000001</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1366480</v>
      </c>
      <c r="C39" s="894">
        <f t="shared" ref="C39:C40" si="4">B39</f>
        <v>1366480</v>
      </c>
      <c r="D39" s="894"/>
      <c r="E39" s="893">
        <f>'Sources and Uses Budget'!S40</f>
        <v>1366480</v>
      </c>
      <c r="F39" s="894">
        <f t="shared" ref="F39:F40" si="5">E39</f>
        <v>1366480</v>
      </c>
      <c r="G39" s="894"/>
      <c r="H39" s="893">
        <f>'Sources and Uses Budget'!T40</f>
        <v>0</v>
      </c>
      <c r="I39" s="894"/>
      <c r="J39" s="894"/>
      <c r="K39" s="888"/>
    </row>
    <row r="40" spans="1:11" s="383" customFormat="1">
      <c r="A40" s="369" t="s">
        <v>1004</v>
      </c>
      <c r="B40" s="893">
        <f>'Sources and Uses Budget'!C41</f>
        <v>341620</v>
      </c>
      <c r="C40" s="894">
        <f t="shared" si="4"/>
        <v>341620</v>
      </c>
      <c r="D40" s="894"/>
      <c r="E40" s="893">
        <f>'Sources and Uses Budget'!S41</f>
        <v>341620</v>
      </c>
      <c r="F40" s="894">
        <f t="shared" si="5"/>
        <v>341620</v>
      </c>
      <c r="G40" s="894"/>
      <c r="H40" s="893">
        <f>'Sources and Uses Budget'!T41</f>
        <v>0</v>
      </c>
      <c r="I40" s="894"/>
      <c r="J40" s="894"/>
      <c r="K40" s="888"/>
    </row>
    <row r="41" spans="1:11" s="383" customFormat="1">
      <c r="A41" s="373" t="s">
        <v>1005</v>
      </c>
      <c r="B41" s="893">
        <f>'Sources and Uses Budget'!C42</f>
        <v>1708100</v>
      </c>
      <c r="C41" s="893">
        <f>SUM(C38:C40)</f>
        <v>1708100</v>
      </c>
      <c r="D41" s="893">
        <f>SUM(D38:D40)</f>
        <v>0</v>
      </c>
      <c r="E41" s="893">
        <f>'Sources and Uses Budget'!S42</f>
        <v>1708100</v>
      </c>
      <c r="F41" s="896">
        <f>SUM(F39:F40)</f>
        <v>1708100</v>
      </c>
      <c r="G41" s="896">
        <f>SUM(G39:G40)</f>
        <v>0</v>
      </c>
      <c r="H41" s="893">
        <f>'Sources and Uses Budget'!T42</f>
        <v>0</v>
      </c>
      <c r="I41" s="896">
        <f>SUM(I39:I40)</f>
        <v>0</v>
      </c>
      <c r="J41" s="896">
        <f>SUM(J39:J40)</f>
        <v>0</v>
      </c>
      <c r="K41" s="888"/>
    </row>
    <row r="42" spans="1:11" s="383" customFormat="1">
      <c r="A42" s="373" t="s">
        <v>1006</v>
      </c>
      <c r="B42" s="893">
        <f>'Sources and Uses Budget'!C43</f>
        <v>416841</v>
      </c>
      <c r="C42" s="894">
        <f>B42</f>
        <v>416841</v>
      </c>
      <c r="D42" s="894"/>
      <c r="E42" s="893">
        <f>'Sources and Uses Budget'!S43</f>
        <v>416841</v>
      </c>
      <c r="F42" s="894">
        <f>E42</f>
        <v>416841</v>
      </c>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1875716.6420099607</v>
      </c>
      <c r="C44" s="894">
        <f t="shared" ref="C44:C51" si="6">B44</f>
        <v>1875716.6420099607</v>
      </c>
      <c r="D44" s="894"/>
      <c r="E44" s="893">
        <f>'Sources and Uses Budget'!S45</f>
        <v>1146271.281228309</v>
      </c>
      <c r="F44" s="894">
        <f t="shared" ref="F44:F50" si="7">E44</f>
        <v>1146271.281228309</v>
      </c>
      <c r="G44" s="894"/>
      <c r="H44" s="893">
        <f>'Sources and Uses Budget'!T45</f>
        <v>0</v>
      </c>
      <c r="I44" s="894"/>
      <c r="J44" s="894"/>
      <c r="K44" s="888"/>
    </row>
    <row r="45" spans="1:11" s="383" customFormat="1">
      <c r="A45" s="369" t="s">
        <v>1009</v>
      </c>
      <c r="B45" s="893">
        <f>'Sources and Uses Budget'!C46</f>
        <v>302345.55226799467</v>
      </c>
      <c r="C45" s="894">
        <f t="shared" si="6"/>
        <v>302345.55226799467</v>
      </c>
      <c r="D45" s="894"/>
      <c r="E45" s="893">
        <f>'Sources and Uses Budget'!S46</f>
        <v>302345.55226799467</v>
      </c>
      <c r="F45" s="894">
        <f t="shared" si="7"/>
        <v>302345.55226799467</v>
      </c>
      <c r="G45" s="894"/>
      <c r="H45" s="893">
        <f>'Sources and Uses Budget'!T46</f>
        <v>0</v>
      </c>
      <c r="I45" s="894"/>
      <c r="J45" s="894"/>
      <c r="K45" s="888"/>
    </row>
    <row r="46" spans="1:11" s="383" customFormat="1" ht="12" customHeight="1">
      <c r="A46" s="369" t="s">
        <v>1010</v>
      </c>
      <c r="B46" s="893">
        <f>'Sources and Uses Budget'!C47</f>
        <v>0</v>
      </c>
      <c r="C46" s="894">
        <f t="shared" si="6"/>
        <v>0</v>
      </c>
      <c r="D46" s="894"/>
      <c r="E46" s="893">
        <f>'Sources and Uses Budget'!S47</f>
        <v>0</v>
      </c>
      <c r="F46" s="894">
        <f t="shared" si="7"/>
        <v>0</v>
      </c>
      <c r="G46" s="894"/>
      <c r="H46" s="893">
        <f>'Sources and Uses Budget'!T47</f>
        <v>0</v>
      </c>
      <c r="I46" s="894"/>
      <c r="J46" s="894"/>
      <c r="K46" s="888"/>
    </row>
    <row r="47" spans="1:11" s="383" customFormat="1">
      <c r="A47" s="369" t="s">
        <v>1011</v>
      </c>
      <c r="B47" s="893">
        <f>'Sources and Uses Budget'!C48</f>
        <v>0</v>
      </c>
      <c r="C47" s="894">
        <f t="shared" si="6"/>
        <v>0</v>
      </c>
      <c r="D47" s="894"/>
      <c r="E47" s="893">
        <f>'Sources and Uses Budget'!S48</f>
        <v>0</v>
      </c>
      <c r="F47" s="894">
        <f t="shared" si="7"/>
        <v>0</v>
      </c>
      <c r="G47" s="894"/>
      <c r="H47" s="893">
        <f>'Sources and Uses Budget'!T48</f>
        <v>0</v>
      </c>
      <c r="I47" s="894"/>
      <c r="J47" s="894"/>
      <c r="K47" s="888"/>
    </row>
    <row r="48" spans="1:11" s="383" customFormat="1">
      <c r="A48" s="369" t="s">
        <v>1014</v>
      </c>
      <c r="B48" s="893">
        <f>'Sources and Uses Budget'!C49</f>
        <v>61750</v>
      </c>
      <c r="C48" s="894">
        <f t="shared" si="6"/>
        <v>61750</v>
      </c>
      <c r="D48" s="894"/>
      <c r="E48" s="893">
        <f>'Sources and Uses Budget'!S49</f>
        <v>61750</v>
      </c>
      <c r="F48" s="894">
        <f t="shared" si="7"/>
        <v>61750</v>
      </c>
      <c r="G48" s="894"/>
      <c r="H48" s="893">
        <f>'Sources and Uses Budget'!T49</f>
        <v>0</v>
      </c>
      <c r="I48" s="894"/>
      <c r="J48" s="894"/>
      <c r="K48" s="888"/>
    </row>
    <row r="49" spans="1:11" s="383" customFormat="1">
      <c r="A49" s="369" t="s">
        <v>1012</v>
      </c>
      <c r="B49" s="893">
        <f>'Sources and Uses Budget'!C50</f>
        <v>7600</v>
      </c>
      <c r="C49" s="894">
        <f t="shared" si="6"/>
        <v>7600</v>
      </c>
      <c r="D49" s="894"/>
      <c r="E49" s="893">
        <f>'Sources and Uses Budget'!S50</f>
        <v>7600</v>
      </c>
      <c r="F49" s="894">
        <f t="shared" si="7"/>
        <v>7600</v>
      </c>
      <c r="G49" s="894"/>
      <c r="H49" s="893">
        <f>'Sources and Uses Budget'!T50</f>
        <v>0</v>
      </c>
      <c r="I49" s="894"/>
      <c r="J49" s="894"/>
      <c r="K49" s="888"/>
    </row>
    <row r="50" spans="1:11" s="383" customFormat="1">
      <c r="A50" s="369" t="s">
        <v>1013</v>
      </c>
      <c r="B50" s="893">
        <f>'Sources and Uses Budget'!C51</f>
        <v>708832.04999999993</v>
      </c>
      <c r="C50" s="894">
        <f t="shared" si="6"/>
        <v>708832.04999999993</v>
      </c>
      <c r="D50" s="894"/>
      <c r="E50" s="893">
        <f>'Sources and Uses Budget'!S51</f>
        <v>708832.04999999993</v>
      </c>
      <c r="F50" s="894">
        <f t="shared" si="7"/>
        <v>708832.04999999993</v>
      </c>
      <c r="G50" s="894"/>
      <c r="H50" s="893">
        <f>'Sources and Uses Budget'!T51</f>
        <v>0</v>
      </c>
      <c r="I50" s="894"/>
      <c r="J50" s="894"/>
      <c r="K50" s="888"/>
    </row>
    <row r="51" spans="1:11" s="383" customFormat="1">
      <c r="A51" s="700" t="str">
        <f>'Sources and Uses Budget'!$A52</f>
        <v>Other: (Specify)</v>
      </c>
      <c r="B51" s="893">
        <f>'Sources and Uses Budget'!C52</f>
        <v>0</v>
      </c>
      <c r="C51" s="894">
        <f t="shared" si="6"/>
        <v>0</v>
      </c>
      <c r="D51" s="894"/>
      <c r="E51" s="893">
        <f>'Sources and Uses Budget'!S52</f>
        <v>0</v>
      </c>
      <c r="F51" s="894"/>
      <c r="G51" s="894"/>
      <c r="H51" s="893">
        <f>'Sources and Uses Budget'!T52</f>
        <v>0</v>
      </c>
      <c r="I51" s="894"/>
      <c r="J51" s="894"/>
      <c r="K51" s="888"/>
    </row>
    <row r="52" spans="1:11" s="885" customFormat="1">
      <c r="A52" s="373" t="s">
        <v>1015</v>
      </c>
      <c r="B52" s="893">
        <f>'Sources and Uses Budget'!C53</f>
        <v>2956244.244277955</v>
      </c>
      <c r="C52" s="896">
        <f>SUM(C44:C51)</f>
        <v>2956244.244277955</v>
      </c>
      <c r="D52" s="896">
        <f>SUM(D44:D51)</f>
        <v>0</v>
      </c>
      <c r="E52" s="893">
        <f>'Sources and Uses Budget'!S53</f>
        <v>2226798.8834963036</v>
      </c>
      <c r="F52" s="896">
        <f>SUM(F44:F51)</f>
        <v>2226798.8834963036</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58520</v>
      </c>
      <c r="C54" s="894">
        <f t="shared" ref="C54:C59" si="8">B54</f>
        <v>58520</v>
      </c>
      <c r="D54" s="894"/>
      <c r="E54" s="895"/>
      <c r="F54" s="895"/>
      <c r="G54" s="895"/>
      <c r="H54" s="895"/>
      <c r="I54" s="895"/>
      <c r="J54" s="895"/>
      <c r="K54" s="888"/>
    </row>
    <row r="55" spans="1:11" s="383" customFormat="1" ht="12" customHeight="1">
      <c r="A55" s="369" t="s">
        <v>1010</v>
      </c>
      <c r="B55" s="893">
        <f>'Sources and Uses Budget'!C56</f>
        <v>0</v>
      </c>
      <c r="C55" s="894">
        <f t="shared" si="8"/>
        <v>0</v>
      </c>
      <c r="D55" s="894"/>
      <c r="E55" s="895"/>
      <c r="F55" s="895"/>
      <c r="G55" s="895"/>
      <c r="H55" s="895"/>
      <c r="I55" s="895"/>
      <c r="J55" s="895"/>
      <c r="K55" s="888"/>
    </row>
    <row r="56" spans="1:11" s="383" customFormat="1">
      <c r="A56" s="369" t="s">
        <v>1014</v>
      </c>
      <c r="B56" s="893">
        <f>'Sources and Uses Budget'!C57</f>
        <v>20000</v>
      </c>
      <c r="C56" s="894">
        <f t="shared" si="8"/>
        <v>20000</v>
      </c>
      <c r="D56" s="894"/>
      <c r="E56" s="895"/>
      <c r="F56" s="895"/>
      <c r="G56" s="895"/>
      <c r="H56" s="895"/>
      <c r="I56" s="895"/>
      <c r="J56" s="895"/>
      <c r="K56" s="888"/>
    </row>
    <row r="57" spans="1:11" s="383" customFormat="1">
      <c r="A57" s="369" t="s">
        <v>1012</v>
      </c>
      <c r="B57" s="893">
        <f>'Sources and Uses Budget'!C58</f>
        <v>0</v>
      </c>
      <c r="C57" s="894">
        <f t="shared" si="8"/>
        <v>0</v>
      </c>
      <c r="D57" s="894"/>
      <c r="E57" s="895"/>
      <c r="F57" s="895"/>
      <c r="G57" s="895"/>
      <c r="H57" s="895"/>
      <c r="I57" s="895"/>
      <c r="J57" s="895"/>
      <c r="K57" s="888"/>
    </row>
    <row r="58" spans="1:11" s="383" customFormat="1">
      <c r="A58" s="369" t="s">
        <v>1013</v>
      </c>
      <c r="B58" s="893">
        <f>'Sources and Uses Budget'!C59</f>
        <v>0</v>
      </c>
      <c r="C58" s="894">
        <f t="shared" si="8"/>
        <v>0</v>
      </c>
      <c r="D58" s="894"/>
      <c r="E58" s="895"/>
      <c r="F58" s="895"/>
      <c r="G58" s="895"/>
      <c r="H58" s="895"/>
      <c r="I58" s="895"/>
      <c r="J58" s="895"/>
      <c r="K58" s="888"/>
    </row>
    <row r="59" spans="1:11" s="383" customFormat="1">
      <c r="A59" s="700" t="str">
        <f>'Sources and Uses Budget'!$A60</f>
        <v>Other: (Per Legal)</v>
      </c>
      <c r="B59" s="893">
        <f>'Sources and Uses Budget'!C60</f>
        <v>30000</v>
      </c>
      <c r="C59" s="894">
        <f t="shared" si="8"/>
        <v>30000</v>
      </c>
      <c r="D59" s="894"/>
      <c r="E59" s="895"/>
      <c r="F59" s="895"/>
      <c r="G59" s="895"/>
      <c r="H59" s="895"/>
      <c r="I59" s="895"/>
      <c r="J59" s="895"/>
      <c r="K59" s="888"/>
    </row>
    <row r="60" spans="1:11" s="383" customFormat="1" ht="13.9" customHeight="1">
      <c r="A60" s="373" t="s">
        <v>545</v>
      </c>
      <c r="B60" s="893">
        <f>'Sources and Uses Budget'!C61</f>
        <v>108520</v>
      </c>
      <c r="C60" s="893">
        <f>SUM(C54:C59)</f>
        <v>108520</v>
      </c>
      <c r="D60" s="893">
        <f>SUM(D54:D59)</f>
        <v>0</v>
      </c>
      <c r="E60" s="895"/>
      <c r="F60" s="895"/>
      <c r="G60" s="895"/>
      <c r="H60" s="895"/>
      <c r="I60" s="895"/>
      <c r="J60" s="895"/>
      <c r="K60" s="888"/>
    </row>
    <row r="61" spans="1:11" s="383" customFormat="1">
      <c r="A61" s="379" t="s">
        <v>546</v>
      </c>
      <c r="B61" s="893">
        <f>'Sources and Uses Budget'!C62</f>
        <v>40172278.981277958</v>
      </c>
      <c r="C61" s="893">
        <f>SUM(C8+C11+C13+C14+C15+C25+C26+C37+C41+C42+C52+C60)</f>
        <v>40172278.981277958</v>
      </c>
      <c r="D61" s="893">
        <f>SUM(D8+D11+D13+D14+D15+D25+D26+D37+D41+D42+D52+D60)</f>
        <v>0</v>
      </c>
      <c r="E61" s="893">
        <f>'Sources and Uses Budget'!S62</f>
        <v>32988638.470496304</v>
      </c>
      <c r="F61" s="893">
        <f>SUM(F10+F13+F14+F15+F25+F26+F37+F41+F42+F52)</f>
        <v>32988638.470496304</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310</v>
      </c>
      <c r="B63" s="893">
        <f>'Sources and Uses Budget'!C64</f>
        <v>57000</v>
      </c>
      <c r="C63" s="894">
        <f t="shared" ref="C63:C67" si="9">B63</f>
        <v>57000</v>
      </c>
      <c r="D63" s="894"/>
      <c r="E63" s="893">
        <f>'Sources and Uses Budget'!S64</f>
        <v>57000</v>
      </c>
      <c r="F63" s="894">
        <f>E63</f>
        <v>57000</v>
      </c>
      <c r="G63" s="894"/>
      <c r="H63" s="893">
        <f>'Sources and Uses Budget'!T64</f>
        <v>0</v>
      </c>
      <c r="I63" s="894"/>
      <c r="J63" s="894"/>
      <c r="K63" s="888"/>
    </row>
    <row r="64" spans="1:11" s="1333" customFormat="1" ht="24">
      <c r="A64" s="369" t="s">
        <v>2165</v>
      </c>
      <c r="B64" s="893">
        <f>'Sources and Uses Budget'!C65</f>
        <v>0</v>
      </c>
      <c r="C64" s="894">
        <f t="shared" si="9"/>
        <v>0</v>
      </c>
      <c r="D64" s="894"/>
      <c r="E64" s="893">
        <f>'Sources and Uses Budget'!S65</f>
        <v>0</v>
      </c>
      <c r="F64" s="894"/>
      <c r="G64" s="894"/>
      <c r="H64" s="893">
        <f>'Sources and Uses Budget'!T65</f>
        <v>0</v>
      </c>
      <c r="I64" s="894"/>
      <c r="J64" s="894"/>
      <c r="K64" s="888"/>
    </row>
    <row r="65" spans="1:11" s="1333" customFormat="1" ht="24">
      <c r="A65" s="369" t="s">
        <v>2166</v>
      </c>
      <c r="B65" s="893">
        <f>'Sources and Uses Budget'!C66</f>
        <v>0</v>
      </c>
      <c r="C65" s="894">
        <f t="shared" si="9"/>
        <v>0</v>
      </c>
      <c r="D65" s="894"/>
      <c r="E65" s="893">
        <f>'Sources and Uses Budget'!S66</f>
        <v>0</v>
      </c>
      <c r="F65" s="894"/>
      <c r="G65" s="894"/>
      <c r="H65" s="893">
        <f>'Sources and Uses Budget'!T66</f>
        <v>0</v>
      </c>
      <c r="I65" s="894"/>
      <c r="J65" s="894"/>
      <c r="K65" s="888"/>
    </row>
    <row r="66" spans="1:11" s="1333" customFormat="1">
      <c r="A66" s="369" t="s">
        <v>2167</v>
      </c>
      <c r="B66" s="893">
        <f>'Sources and Uses Budget'!C67</f>
        <v>0</v>
      </c>
      <c r="C66" s="894">
        <f t="shared" si="9"/>
        <v>0</v>
      </c>
      <c r="D66" s="894"/>
      <c r="E66" s="893">
        <f>'Sources and Uses Budget'!S67</f>
        <v>0</v>
      </c>
      <c r="F66" s="894"/>
      <c r="G66" s="894"/>
      <c r="H66" s="893">
        <f>'Sources and Uses Budget'!T67</f>
        <v>0</v>
      </c>
      <c r="I66" s="894"/>
      <c r="J66" s="894"/>
      <c r="K66" s="888"/>
    </row>
    <row r="67" spans="1:11" s="383" customFormat="1">
      <c r="A67" s="700" t="str">
        <f>'Sources and Uses Budget'!$A68</f>
        <v>Other: (Owner)</v>
      </c>
      <c r="B67" s="893">
        <f>'Sources and Uses Budget'!C68</f>
        <v>101750</v>
      </c>
      <c r="C67" s="894">
        <f t="shared" si="9"/>
        <v>101750</v>
      </c>
      <c r="D67" s="894"/>
      <c r="E67" s="893">
        <f>'Sources and Uses Budget'!S68</f>
        <v>101750</v>
      </c>
      <c r="F67" s="894">
        <f>E67</f>
        <v>101750</v>
      </c>
      <c r="G67" s="894"/>
      <c r="H67" s="893">
        <f>'Sources and Uses Budget'!T68</f>
        <v>0</v>
      </c>
      <c r="I67" s="894"/>
      <c r="J67" s="894"/>
      <c r="K67" s="888"/>
    </row>
    <row r="68" spans="1:11" s="383" customFormat="1">
      <c r="A68" s="373" t="s">
        <v>2168</v>
      </c>
      <c r="B68" s="893">
        <f>'Sources and Uses Budget'!C69</f>
        <v>158750</v>
      </c>
      <c r="C68" s="893">
        <f>SUM(C62:C67)</f>
        <v>158750</v>
      </c>
      <c r="D68" s="893">
        <f>SUM(D62:D67)</f>
        <v>0</v>
      </c>
      <c r="E68" s="893">
        <f>'Sources and Uses Budget'!S69</f>
        <v>158750</v>
      </c>
      <c r="F68" s="896">
        <f>SUM(F63:F67)</f>
        <v>158750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314</v>
      </c>
      <c r="B73" s="893">
        <f>'Sources and Uses Budget'!C74</f>
        <v>492514</v>
      </c>
      <c r="C73" s="894">
        <f>B73</f>
        <v>492514</v>
      </c>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492514</v>
      </c>
      <c r="C75" s="893">
        <f>SUM(C70:C74)</f>
        <v>492514</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1456536.6493500001</v>
      </c>
      <c r="C77" s="894">
        <f t="shared" ref="C77:C78" si="10">B77</f>
        <v>1456536.6493500001</v>
      </c>
      <c r="D77" s="894"/>
      <c r="E77" s="893">
        <f>'Sources and Uses Budget'!S78</f>
        <v>1456536.6493500001</v>
      </c>
      <c r="F77" s="894">
        <f t="shared" ref="F77:F78" si="11">E77</f>
        <v>1456536.6493500001</v>
      </c>
      <c r="G77" s="894"/>
      <c r="H77" s="893">
        <f>'Sources and Uses Budget'!T78</f>
        <v>0</v>
      </c>
      <c r="I77" s="894"/>
      <c r="J77" s="894"/>
      <c r="K77" s="888"/>
    </row>
    <row r="78" spans="1:11" s="1066" customFormat="1">
      <c r="A78" s="369" t="s">
        <v>593</v>
      </c>
      <c r="B78" s="893">
        <f>'Sources and Uses Budget'!C79</f>
        <v>475000</v>
      </c>
      <c r="C78" s="894">
        <f t="shared" si="10"/>
        <v>475000</v>
      </c>
      <c r="D78" s="894"/>
      <c r="E78" s="893">
        <f>'Sources and Uses Budget'!S79</f>
        <v>475000</v>
      </c>
      <c r="F78" s="894">
        <f t="shared" si="11"/>
        <v>475000</v>
      </c>
      <c r="G78" s="894"/>
      <c r="H78" s="893">
        <f>'Sources and Uses Budget'!T79</f>
        <v>0</v>
      </c>
      <c r="I78" s="894"/>
      <c r="J78" s="894"/>
      <c r="K78" s="888"/>
    </row>
    <row r="79" spans="1:11" s="383" customFormat="1">
      <c r="A79" s="373" t="s">
        <v>1907</v>
      </c>
      <c r="B79" s="893">
        <f>'Sources and Uses Budget'!C80</f>
        <v>1931536.6493500001</v>
      </c>
      <c r="C79" s="1074">
        <f>SUM(C77:C78)</f>
        <v>1931536.6493500001</v>
      </c>
      <c r="D79" s="1074">
        <f>SUM(D77:D78)</f>
        <v>0</v>
      </c>
      <c r="E79" s="893">
        <f>'Sources and Uses Budget'!S80</f>
        <v>1931536.6493500001</v>
      </c>
      <c r="F79" s="1074">
        <f>SUM(F77:F78)</f>
        <v>1931536.6493500001</v>
      </c>
      <c r="G79" s="1074">
        <f>SUM(G77:G78)</f>
        <v>0</v>
      </c>
      <c r="H79" s="893">
        <f>'Sources and Uses Budget'!T80</f>
        <v>0</v>
      </c>
      <c r="I79" s="1074">
        <f>SUM(I77:I78)</f>
        <v>0</v>
      </c>
      <c r="J79" s="1074">
        <f>SUM(J77:J78)</f>
        <v>0</v>
      </c>
      <c r="K79" s="888"/>
    </row>
    <row r="80" spans="1:11" s="383" customFormat="1">
      <c r="A80" s="365" t="s">
        <v>569</v>
      </c>
      <c r="B80" s="892"/>
      <c r="C80" s="892"/>
      <c r="D80" s="892"/>
      <c r="E80" s="892"/>
      <c r="F80" s="892"/>
      <c r="G80" s="892"/>
      <c r="H80" s="892"/>
      <c r="I80" s="892"/>
      <c r="J80" s="892"/>
      <c r="K80" s="888"/>
    </row>
    <row r="81" spans="1:11" s="383" customFormat="1" ht="13.9" customHeight="1">
      <c r="A81" s="369" t="s">
        <v>570</v>
      </c>
      <c r="B81" s="893">
        <f>'Sources and Uses Budget'!C82</f>
        <v>122090</v>
      </c>
      <c r="C81" s="894">
        <f t="shared" ref="C81:C91" si="12">B81</f>
        <v>122090</v>
      </c>
      <c r="D81" s="894"/>
      <c r="E81" s="895"/>
      <c r="F81" s="895"/>
      <c r="G81" s="895"/>
      <c r="H81" s="895"/>
      <c r="I81" s="895"/>
      <c r="J81" s="895"/>
      <c r="K81" s="888"/>
    </row>
    <row r="82" spans="1:11" s="383" customFormat="1">
      <c r="A82" s="369" t="s">
        <v>571</v>
      </c>
      <c r="B82" s="893">
        <f>'Sources and Uses Budget'!C83</f>
        <v>40010.199999999997</v>
      </c>
      <c r="C82" s="894">
        <f t="shared" si="12"/>
        <v>40010.199999999997</v>
      </c>
      <c r="D82" s="894"/>
      <c r="E82" s="893">
        <f>'Sources and Uses Budget'!S83</f>
        <v>40010.199999999997</v>
      </c>
      <c r="F82" s="894">
        <f t="shared" ref="F82:F84" si="13">E82</f>
        <v>40010.199999999997</v>
      </c>
      <c r="G82" s="894"/>
      <c r="H82" s="893">
        <f>'Sources and Uses Budget'!T83</f>
        <v>0</v>
      </c>
      <c r="I82" s="894"/>
      <c r="J82" s="894"/>
      <c r="K82" s="888"/>
    </row>
    <row r="83" spans="1:11" s="383" customFormat="1">
      <c r="A83" s="369" t="s">
        <v>572</v>
      </c>
      <c r="B83" s="893">
        <f>'Sources and Uses Budget'!C84</f>
        <v>310121.8</v>
      </c>
      <c r="C83" s="894">
        <f t="shared" si="12"/>
        <v>310121.8</v>
      </c>
      <c r="D83" s="894"/>
      <c r="E83" s="893">
        <f>'Sources and Uses Budget'!S84</f>
        <v>310121.8</v>
      </c>
      <c r="F83" s="894">
        <f t="shared" si="13"/>
        <v>310121.8</v>
      </c>
      <c r="G83" s="894"/>
      <c r="H83" s="893">
        <f>'Sources and Uses Budget'!T84</f>
        <v>0</v>
      </c>
      <c r="I83" s="894"/>
      <c r="J83" s="894"/>
      <c r="K83" s="888"/>
    </row>
    <row r="84" spans="1:11" s="383" customFormat="1">
      <c r="A84" s="369" t="s">
        <v>573</v>
      </c>
      <c r="B84" s="893">
        <f>'Sources and Uses Budget'!C85</f>
        <v>855000</v>
      </c>
      <c r="C84" s="894">
        <f t="shared" si="12"/>
        <v>855000</v>
      </c>
      <c r="D84" s="894"/>
      <c r="E84" s="893">
        <f>'Sources and Uses Budget'!S85</f>
        <v>855000</v>
      </c>
      <c r="F84" s="894">
        <f t="shared" si="13"/>
        <v>855000</v>
      </c>
      <c r="G84" s="894"/>
      <c r="H84" s="893">
        <f>'Sources and Uses Budget'!T85</f>
        <v>0</v>
      </c>
      <c r="I84" s="894"/>
      <c r="J84" s="894"/>
      <c r="K84" s="888"/>
    </row>
    <row r="85" spans="1:11" s="383" customFormat="1">
      <c r="A85" s="369" t="s">
        <v>574</v>
      </c>
      <c r="B85" s="893">
        <f>'Sources and Uses Budget'!C86</f>
        <v>0</v>
      </c>
      <c r="C85" s="894">
        <f t="shared" si="12"/>
        <v>0</v>
      </c>
      <c r="D85" s="894"/>
      <c r="E85" s="893">
        <f>'Sources and Uses Budget'!S86</f>
        <v>0</v>
      </c>
      <c r="F85" s="894"/>
      <c r="G85" s="894"/>
      <c r="H85" s="893">
        <f>'Sources and Uses Budget'!T86</f>
        <v>0</v>
      </c>
      <c r="I85" s="894"/>
      <c r="J85" s="894"/>
      <c r="K85" s="888"/>
    </row>
    <row r="86" spans="1:11" s="383" customFormat="1">
      <c r="A86" s="369" t="s">
        <v>575</v>
      </c>
      <c r="B86" s="893">
        <f>'Sources and Uses Budget'!C87</f>
        <v>120000</v>
      </c>
      <c r="C86" s="894">
        <f t="shared" si="12"/>
        <v>120000</v>
      </c>
      <c r="D86" s="894"/>
      <c r="E86" s="895"/>
      <c r="F86" s="895"/>
      <c r="G86" s="895"/>
      <c r="H86" s="895"/>
      <c r="I86" s="895"/>
      <c r="J86" s="895"/>
      <c r="K86" s="888"/>
    </row>
    <row r="87" spans="1:11" s="383" customFormat="1">
      <c r="A87" s="369" t="s">
        <v>576</v>
      </c>
      <c r="B87" s="893">
        <f>'Sources and Uses Budget'!C88</f>
        <v>120000</v>
      </c>
      <c r="C87" s="894">
        <f t="shared" si="12"/>
        <v>120000</v>
      </c>
      <c r="D87" s="894"/>
      <c r="E87" s="893">
        <f>'Sources and Uses Budget'!S88</f>
        <v>120000</v>
      </c>
      <c r="F87" s="894">
        <f t="shared" ref="F87:F91" si="14">E87</f>
        <v>120000</v>
      </c>
      <c r="G87" s="894"/>
      <c r="H87" s="893">
        <f>'Sources and Uses Budget'!T88</f>
        <v>0</v>
      </c>
      <c r="I87" s="894"/>
      <c r="J87" s="894"/>
      <c r="K87" s="888"/>
    </row>
    <row r="88" spans="1:11" s="383" customFormat="1">
      <c r="A88" s="369" t="s">
        <v>577</v>
      </c>
      <c r="B88" s="893">
        <f>'Sources and Uses Budget'!C89</f>
        <v>10000</v>
      </c>
      <c r="C88" s="894">
        <f t="shared" si="12"/>
        <v>10000</v>
      </c>
      <c r="D88" s="894"/>
      <c r="E88" s="893">
        <f>'Sources and Uses Budget'!S89</f>
        <v>0</v>
      </c>
      <c r="F88" s="894">
        <f t="shared" si="14"/>
        <v>0</v>
      </c>
      <c r="G88" s="894"/>
      <c r="H88" s="893">
        <f>'Sources and Uses Budget'!T89</f>
        <v>0</v>
      </c>
      <c r="I88" s="894"/>
      <c r="J88" s="894"/>
      <c r="K88" s="888"/>
    </row>
    <row r="89" spans="1:11" s="383" customFormat="1">
      <c r="A89" s="700" t="s">
        <v>1422</v>
      </c>
      <c r="B89" s="893">
        <f>'Sources and Uses Budget'!C90</f>
        <v>0</v>
      </c>
      <c r="C89" s="894">
        <f t="shared" si="12"/>
        <v>0</v>
      </c>
      <c r="D89" s="894"/>
      <c r="E89" s="893">
        <f>'Sources and Uses Budget'!S90</f>
        <v>0</v>
      </c>
      <c r="F89" s="894">
        <f t="shared" si="14"/>
        <v>0</v>
      </c>
      <c r="G89" s="894"/>
      <c r="H89" s="893">
        <f>'Sources and Uses Budget'!T90</f>
        <v>0</v>
      </c>
      <c r="I89" s="894"/>
      <c r="J89" s="894"/>
      <c r="K89" s="888"/>
    </row>
    <row r="90" spans="1:11" s="383" customFormat="1">
      <c r="A90" s="700" t="s">
        <v>1905</v>
      </c>
      <c r="B90" s="893">
        <f>'Sources and Uses Budget'!C91</f>
        <v>9500</v>
      </c>
      <c r="C90" s="894">
        <f t="shared" si="12"/>
        <v>9500</v>
      </c>
      <c r="D90" s="894"/>
      <c r="E90" s="893">
        <f>'Sources and Uses Budget'!S91</f>
        <v>9500</v>
      </c>
      <c r="F90" s="894">
        <f t="shared" si="14"/>
        <v>9500</v>
      </c>
      <c r="G90" s="894"/>
      <c r="H90" s="893">
        <f>'Sources and Uses Budget'!T91</f>
        <v>0</v>
      </c>
      <c r="I90" s="894"/>
      <c r="J90" s="894"/>
      <c r="K90" s="888"/>
    </row>
    <row r="91" spans="1:11" s="383" customFormat="1">
      <c r="A91" s="700" t="str">
        <f>'Sources and Uses Budget'!$A92</f>
        <v>Other: (Construction Management)</v>
      </c>
      <c r="B91" s="893">
        <f>'Sources and Uses Budget'!C92</f>
        <v>201951.94999999998</v>
      </c>
      <c r="C91" s="894">
        <f t="shared" si="12"/>
        <v>201951.94999999998</v>
      </c>
      <c r="D91" s="894"/>
      <c r="E91" s="893">
        <f>'Sources and Uses Budget'!S92</f>
        <v>201951.94999999998</v>
      </c>
      <c r="F91" s="894">
        <f t="shared" si="14"/>
        <v>201951.94999999998</v>
      </c>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1788673.95</v>
      </c>
      <c r="C94" s="893">
        <f>SUM(C81:C93)</f>
        <v>1788673.95</v>
      </c>
      <c r="D94" s="893">
        <f>SUM(D81:D93)</f>
        <v>0</v>
      </c>
      <c r="E94" s="893">
        <f>'Sources and Uses Budget'!S95</f>
        <v>1536583.95</v>
      </c>
      <c r="F94" s="896">
        <f>SUM(F82:F85,F87:F93)</f>
        <v>1536583.95</v>
      </c>
      <c r="G94" s="896">
        <f>SUM(G82:G85,G87:G93)</f>
        <v>0</v>
      </c>
      <c r="H94" s="893">
        <f>'Sources and Uses Budget'!T95</f>
        <v>0</v>
      </c>
      <c r="I94" s="893">
        <f>SUM(I82:I85,I87:I93)</f>
        <v>0</v>
      </c>
      <c r="J94" s="893">
        <f>SUM(J82:J85,J87:J93)</f>
        <v>0</v>
      </c>
      <c r="K94" s="888"/>
    </row>
    <row r="95" spans="1:11" s="383" customFormat="1">
      <c r="A95" s="373" t="s">
        <v>1476</v>
      </c>
      <c r="B95" s="893">
        <f>'Sources and Uses Budget'!C96</f>
        <v>44543753.580627963</v>
      </c>
      <c r="C95" s="893">
        <f>SUM(C61+C68+C75+C79+C94)</f>
        <v>44543753.580627963</v>
      </c>
      <c r="D95" s="893">
        <f>SUM(D61+D68+D75+D79+D94)</f>
        <v>0</v>
      </c>
      <c r="E95" s="893">
        <f>'Sources and Uses Budget'!S96</f>
        <v>36615509.06984631</v>
      </c>
      <c r="F95" s="896">
        <f>SUM(+F61+F68+F79+F94)</f>
        <v>36615509.06984631</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f>B97</f>
        <v>2200000</v>
      </c>
      <c r="D97" s="894"/>
      <c r="E97" s="893">
        <f>'Sources and Uses Budget'!S98</f>
        <v>2200000</v>
      </c>
      <c r="F97" s="894">
        <f>E97</f>
        <v>2200000</v>
      </c>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1477</v>
      </c>
      <c r="B103" s="893">
        <f>'Sources and Uses Budget'!C104</f>
        <v>46743753.580627963</v>
      </c>
      <c r="C103" s="896">
        <f>SUM(C95+C102)</f>
        <v>46743753.580627963</v>
      </c>
      <c r="D103" s="896">
        <f>SUM(D95+D102)</f>
        <v>0</v>
      </c>
      <c r="E103" s="893">
        <f>'Sources and Uses Budget'!S104</f>
        <v>38815509.06984631</v>
      </c>
      <c r="F103" s="896">
        <f>F95+F102</f>
        <v>38815509.06984631</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38815509.06984631</v>
      </c>
      <c r="F105" s="899">
        <f>F103+F104</f>
        <v>38815509.06984631</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7" zoomScale="115" zoomScaleNormal="115" workbookViewId="0">
      <selection activeCell="B20" sqref="B20:AK3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2"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77" t="s">
        <v>919</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row>
    <row r="2" spans="1:42" s="8" customFormat="1" ht="12.75" customHeight="1"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08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4"/>
    </row>
    <row r="4" spans="1:42" s="63" customFormat="1" ht="12.75" customHeight="1">
      <c r="A4" s="142" t="s">
        <v>1589</v>
      </c>
      <c r="AE4" s="2485" t="s">
        <v>404</v>
      </c>
      <c r="AF4" s="2485"/>
      <c r="AG4" s="2485"/>
      <c r="AH4" s="2485"/>
      <c r="AI4" s="2485"/>
      <c r="AJ4" s="2485"/>
      <c r="AK4" s="2485"/>
      <c r="AL4" s="1252"/>
      <c r="AM4" s="48"/>
      <c r="AN4" s="1084"/>
    </row>
    <row r="5" spans="1:42" s="63" customFormat="1" ht="12.95" customHeight="1">
      <c r="A5" s="142"/>
      <c r="AE5" s="33"/>
      <c r="AF5" s="33"/>
      <c r="AG5" s="33"/>
      <c r="AH5" s="33"/>
      <c r="AI5" s="33"/>
      <c r="AJ5" s="33"/>
      <c r="AK5" s="33"/>
      <c r="AL5" s="1252"/>
      <c r="AM5" s="48"/>
      <c r="AN5" s="1084"/>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5" t="s">
        <v>928</v>
      </c>
      <c r="AG6" s="2335"/>
      <c r="AH6" s="2335"/>
      <c r="AI6" s="2335"/>
      <c r="AJ6" s="2335"/>
      <c r="AK6" s="2335"/>
      <c r="AL6" s="2335"/>
      <c r="AM6" s="48"/>
      <c r="AN6" s="1083"/>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1"/>
      <c r="AM7" s="48"/>
      <c r="AN7" s="1083"/>
    </row>
    <row r="8" spans="1:42" s="8" customFormat="1" ht="15" customHeight="1">
      <c r="A8" s="142"/>
      <c r="B8" s="2313" t="s">
        <v>2501</v>
      </c>
      <c r="C8" s="2313"/>
      <c r="D8" s="2313"/>
      <c r="E8" s="2313"/>
      <c r="F8" s="2313"/>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63"/>
      <c r="AE8" s="179"/>
      <c r="AF8" s="179"/>
      <c r="AG8" s="179"/>
      <c r="AH8" s="179"/>
      <c r="AI8" s="179"/>
      <c r="AJ8" s="179"/>
      <c r="AK8" s="179"/>
      <c r="AL8" s="1251"/>
      <c r="AM8" s="48"/>
      <c r="AN8" s="1083"/>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1"/>
      <c r="AM9" s="48"/>
      <c r="AN9" s="1085"/>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3"/>
      <c r="AO10" s="720" t="s">
        <v>1343</v>
      </c>
      <c r="AP10" s="722">
        <v>5</v>
      </c>
    </row>
    <row r="11" spans="1:42" s="8" customFormat="1" ht="12.75" customHeight="1">
      <c r="A11" s="142"/>
      <c r="B11" s="2313" t="s">
        <v>1344</v>
      </c>
      <c r="C11" s="2313"/>
      <c r="D11" s="2313"/>
      <c r="E11" s="2313"/>
      <c r="F11" s="2313"/>
      <c r="G11" s="2313"/>
      <c r="H11" s="2313"/>
      <c r="I11" s="2313"/>
      <c r="J11" s="2313"/>
      <c r="K11" s="2313"/>
      <c r="L11" s="2313"/>
      <c r="M11" s="2313"/>
      <c r="N11" s="2313"/>
      <c r="O11" s="2313"/>
      <c r="P11" s="2313"/>
      <c r="Q11" s="2313"/>
      <c r="R11" s="2313"/>
      <c r="S11" s="2313"/>
      <c r="T11" s="2313"/>
      <c r="U11" s="2313"/>
      <c r="V11" s="2313"/>
      <c r="W11" s="2313"/>
      <c r="X11" s="2313"/>
      <c r="Y11" s="2313"/>
      <c r="Z11" s="2313"/>
      <c r="AA11" s="2313"/>
      <c r="AB11" s="2313"/>
      <c r="AC11" s="2313"/>
      <c r="AD11" s="2313"/>
      <c r="AE11" s="2313"/>
      <c r="AF11" s="2313"/>
      <c r="AG11" s="2313"/>
      <c r="AH11" s="2313"/>
      <c r="AI11" s="2313"/>
      <c r="AM11" s="48"/>
      <c r="AN11" s="1083"/>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3"/>
      <c r="AO12" s="720"/>
      <c r="AP12" s="722"/>
    </row>
    <row r="13" spans="1:42" s="8" customFormat="1" ht="12.75" customHeight="1">
      <c r="A13" s="519"/>
      <c r="B13" s="205" t="s">
        <v>1345</v>
      </c>
      <c r="AB13" s="2488" t="s">
        <v>118</v>
      </c>
      <c r="AC13" s="2488"/>
      <c r="AD13" s="410"/>
      <c r="AE13" s="136"/>
      <c r="AF13" s="136"/>
      <c r="AG13" s="136"/>
      <c r="AH13" s="136"/>
      <c r="AI13" s="136"/>
      <c r="AJ13" s="136"/>
      <c r="AK13" s="136"/>
      <c r="AL13" s="136"/>
      <c r="AM13" s="48"/>
      <c r="AN13" s="1083"/>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3"/>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3"/>
      <c r="AO15" s="720" t="s">
        <v>1346</v>
      </c>
      <c r="AP15" s="722">
        <v>5</v>
      </c>
    </row>
    <row r="16" spans="1:42" s="8" customFormat="1" ht="12.75" customHeight="1">
      <c r="A16" s="142"/>
      <c r="B16" s="2313" t="s">
        <v>1347</v>
      </c>
      <c r="C16" s="2313"/>
      <c r="D16" s="2313"/>
      <c r="E16" s="2313"/>
      <c r="F16" s="2313"/>
      <c r="G16" s="2313"/>
      <c r="H16" s="2313"/>
      <c r="I16" s="2313"/>
      <c r="J16" s="2313"/>
      <c r="K16" s="2313"/>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c r="AH16" s="2313"/>
      <c r="AI16" s="2313"/>
      <c r="AJ16" s="2313"/>
      <c r="AK16" s="757"/>
      <c r="AL16" s="757"/>
      <c r="AM16" s="757"/>
      <c r="AN16" s="1083"/>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3"/>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3"/>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3"/>
    </row>
    <row r="20" spans="1:42" s="8" customFormat="1" ht="12.75" customHeight="1">
      <c r="B20" s="2353" t="s">
        <v>1787</v>
      </c>
      <c r="C20" s="2353"/>
      <c r="D20" s="2353"/>
      <c r="E20" s="2353"/>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1253"/>
      <c r="AM20" s="38"/>
      <c r="AN20" s="1083"/>
    </row>
    <row r="21" spans="1:42" s="8" customFormat="1" ht="12.75" customHeight="1">
      <c r="A21" s="38"/>
      <c r="B21" s="2353"/>
      <c r="C21" s="2353"/>
      <c r="D21" s="2353"/>
      <c r="E21" s="2353"/>
      <c r="F21" s="2353"/>
      <c r="G21" s="2353"/>
      <c r="H21" s="2353"/>
      <c r="I21" s="2353"/>
      <c r="J21" s="2353"/>
      <c r="K21" s="2353"/>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1253"/>
      <c r="AM21" s="38"/>
      <c r="AN21" s="1083"/>
      <c r="AP21" s="517"/>
    </row>
    <row r="22" spans="1:42" s="8" customFormat="1" ht="12.75" customHeight="1">
      <c r="A22" s="38"/>
      <c r="B22" s="2353"/>
      <c r="C22" s="2353"/>
      <c r="D22" s="2353"/>
      <c r="E22" s="2353"/>
      <c r="F22" s="2353"/>
      <c r="G22" s="2353"/>
      <c r="H22" s="2353"/>
      <c r="I22" s="2353"/>
      <c r="J22" s="2353"/>
      <c r="K22" s="2353"/>
      <c r="L22" s="2353"/>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1253"/>
      <c r="AM22" s="38"/>
      <c r="AN22" s="1083"/>
    </row>
    <row r="23" spans="1:42" s="46" customFormat="1" ht="12.75" customHeight="1">
      <c r="A23" s="38"/>
      <c r="B23" s="2353"/>
      <c r="C23" s="2353"/>
      <c r="D23" s="2353"/>
      <c r="E23" s="2353"/>
      <c r="F23" s="2353"/>
      <c r="G23" s="2353"/>
      <c r="H23" s="2353"/>
      <c r="I23" s="2353"/>
      <c r="J23" s="2353"/>
      <c r="K23" s="2353"/>
      <c r="L23" s="2353"/>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1253"/>
      <c r="AM23" s="38"/>
      <c r="AN23" s="439"/>
    </row>
    <row r="24" spans="1:42" s="46" customFormat="1" ht="12.75" customHeight="1">
      <c r="A24" s="38"/>
      <c r="B24" s="2353"/>
      <c r="C24" s="2353"/>
      <c r="D24" s="2353"/>
      <c r="E24" s="2353"/>
      <c r="F24" s="2353"/>
      <c r="G24" s="2353"/>
      <c r="H24" s="2353"/>
      <c r="I24" s="2353"/>
      <c r="J24" s="2353"/>
      <c r="K24" s="2353"/>
      <c r="L24" s="2353"/>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1253"/>
      <c r="AM24" s="38"/>
      <c r="AN24" s="1086"/>
      <c r="AO24" s="155"/>
    </row>
    <row r="25" spans="1:42" s="46" customFormat="1" ht="12.75" customHeight="1">
      <c r="A25" s="38"/>
      <c r="B25" s="2353"/>
      <c r="C25" s="2353"/>
      <c r="D25" s="2353"/>
      <c r="E25" s="2353"/>
      <c r="F25" s="2353"/>
      <c r="G25" s="2353"/>
      <c r="H25" s="2353"/>
      <c r="I25" s="2353"/>
      <c r="J25" s="2353"/>
      <c r="K25" s="2353"/>
      <c r="L25" s="2353"/>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1253"/>
      <c r="AM25" s="38"/>
      <c r="AN25" s="1086"/>
    </row>
    <row r="26" spans="1:42" s="137" customFormat="1" ht="12.75" customHeight="1">
      <c r="A26" s="38"/>
      <c r="B26" s="2353"/>
      <c r="C26" s="2353"/>
      <c r="D26" s="2353"/>
      <c r="E26" s="2353"/>
      <c r="F26" s="2353"/>
      <c r="G26" s="2353"/>
      <c r="H26" s="2353"/>
      <c r="I26" s="2353"/>
      <c r="J26" s="2353"/>
      <c r="K26" s="2353"/>
      <c r="L26" s="2353"/>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1253"/>
      <c r="AM26" s="38"/>
      <c r="AN26" s="1087"/>
    </row>
    <row r="27" spans="1:42" s="46" customFormat="1" ht="12.75" customHeight="1">
      <c r="A27" s="38"/>
      <c r="B27" s="2353"/>
      <c r="C27" s="2353"/>
      <c r="D27" s="2353"/>
      <c r="E27" s="2353"/>
      <c r="F27" s="2353"/>
      <c r="G27" s="2353"/>
      <c r="H27" s="2353"/>
      <c r="I27" s="2353"/>
      <c r="J27" s="2353"/>
      <c r="K27" s="2353"/>
      <c r="L27" s="2353"/>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1253"/>
      <c r="AM27" s="38"/>
      <c r="AN27" s="1088"/>
    </row>
    <row r="28" spans="1:42" s="46" customFormat="1" ht="12.75" customHeight="1">
      <c r="A28" s="38"/>
      <c r="B28" s="2353"/>
      <c r="C28" s="2353"/>
      <c r="D28" s="2353"/>
      <c r="E28" s="2353"/>
      <c r="F28" s="2353"/>
      <c r="G28" s="2353"/>
      <c r="H28" s="2353"/>
      <c r="I28" s="2353"/>
      <c r="J28" s="2353"/>
      <c r="K28" s="2353"/>
      <c r="L28" s="2353"/>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1253"/>
      <c r="AM28" s="38"/>
      <c r="AN28" s="1088"/>
    </row>
    <row r="29" spans="1:42" s="46" customFormat="1" ht="31.7" customHeight="1">
      <c r="A29" s="38"/>
      <c r="B29" s="2353"/>
      <c r="C29" s="2353"/>
      <c r="D29" s="2353"/>
      <c r="E29" s="2353"/>
      <c r="F29" s="2353"/>
      <c r="G29" s="2353"/>
      <c r="H29" s="2353"/>
      <c r="I29" s="2353"/>
      <c r="J29" s="2353"/>
      <c r="K29" s="2353"/>
      <c r="L29" s="2353"/>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1253"/>
      <c r="AM29" s="38"/>
      <c r="AN29" s="1088"/>
      <c r="AO29" s="724" t="s">
        <v>85</v>
      </c>
      <c r="AP29" s="578"/>
    </row>
    <row r="30" spans="1:42" s="46" customFormat="1" ht="12.75" customHeight="1">
      <c r="A30" s="8"/>
      <c r="B30" s="2354"/>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5"/>
      <c r="AM30" s="74"/>
      <c r="AN30" s="1088"/>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6">
        <f>IF((AND(AND(OR(Application!D211="Nonprofit (qualified nonprofit organization)",Application!D211="Nonprofit (homeless assistance)",Application!D211="Special Needs/SRO"),Application!D214="Special Needs"),$AB$13="N/A")),VLOOKUP($B$16,$AO$14:$AP$16,2,FALSE),VLOOKUP($B$11,$AO$9:$AP$11,2,FALSE))</f>
        <v>7</v>
      </c>
      <c r="AK31" s="2486"/>
      <c r="AL31" s="1256"/>
      <c r="AM31" s="136"/>
      <c r="AN31" s="1088"/>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8"/>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5" t="s">
        <v>65</v>
      </c>
      <c r="AG33" s="2335"/>
      <c r="AH33" s="2335"/>
      <c r="AI33" s="2335"/>
      <c r="AJ33" s="2335"/>
      <c r="AK33" s="2335"/>
      <c r="AL33" s="2335"/>
      <c r="AM33" s="151"/>
      <c r="AN33" s="1088"/>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8"/>
      <c r="AO34" s="723"/>
      <c r="AP34" s="723"/>
    </row>
    <row r="35" spans="1:43" s="46" customFormat="1" ht="12.75" customHeight="1">
      <c r="A35" s="8"/>
      <c r="C35" s="2313" t="s">
        <v>1348</v>
      </c>
      <c r="D35" s="2313"/>
      <c r="E35" s="2313"/>
      <c r="F35" s="2313"/>
      <c r="G35" s="2313"/>
      <c r="H35" s="2313"/>
      <c r="I35" s="2313"/>
      <c r="J35" s="2313"/>
      <c r="K35" s="2313"/>
      <c r="L35" s="2313"/>
      <c r="M35" s="2313"/>
      <c r="N35" s="2313"/>
      <c r="O35" s="2313"/>
      <c r="P35" s="2313"/>
      <c r="Q35" s="2313"/>
      <c r="R35" s="2313"/>
      <c r="S35" s="2313"/>
      <c r="T35" s="2313"/>
      <c r="U35" s="2313"/>
      <c r="V35" s="2313"/>
      <c r="W35" s="2313"/>
      <c r="X35" s="2313"/>
      <c r="Y35" s="2313"/>
      <c r="Z35" s="2313"/>
      <c r="AA35" s="2313"/>
      <c r="AB35" s="2313"/>
      <c r="AC35" s="2313"/>
      <c r="AD35" s="2313"/>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8" t="s">
        <v>118</v>
      </c>
      <c r="AD37" s="2488"/>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13" t="s">
        <v>1381</v>
      </c>
      <c r="D40" s="2313"/>
      <c r="E40" s="2313"/>
      <c r="F40" s="2313"/>
      <c r="G40" s="2313"/>
      <c r="H40" s="2313"/>
      <c r="I40" s="2313"/>
      <c r="J40" s="2313"/>
      <c r="K40" s="2313"/>
      <c r="L40" s="2313"/>
      <c r="M40" s="2313"/>
      <c r="N40" s="2313"/>
      <c r="O40" s="2313"/>
      <c r="P40" s="2313"/>
      <c r="Q40" s="2313"/>
      <c r="R40" s="2313"/>
      <c r="S40" s="2313"/>
      <c r="T40" s="2313"/>
      <c r="U40" s="2313"/>
      <c r="V40" s="2313"/>
      <c r="W40" s="2313"/>
      <c r="X40" s="2313"/>
      <c r="Y40" s="2313"/>
      <c r="Z40" s="2313"/>
      <c r="AA40" s="2313"/>
      <c r="AB40" s="2313"/>
      <c r="AC40" s="2313"/>
      <c r="AD40" s="2313"/>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3" t="s">
        <v>2359</v>
      </c>
      <c r="D45" s="2313"/>
      <c r="E45" s="2313"/>
      <c r="F45" s="2313"/>
      <c r="G45" s="2313"/>
      <c r="H45" s="2313"/>
      <c r="I45" s="2313"/>
      <c r="J45" s="2313"/>
      <c r="K45" s="2313"/>
      <c r="L45" s="2313"/>
      <c r="M45" s="2313"/>
      <c r="N45" s="2313"/>
      <c r="O45" s="2313"/>
      <c r="P45" s="2313"/>
      <c r="Q45" s="2313"/>
      <c r="R45" s="2313"/>
      <c r="S45" s="2313"/>
      <c r="T45" s="2313"/>
      <c r="U45" s="2313"/>
      <c r="V45" s="2313"/>
      <c r="W45" s="2313"/>
      <c r="X45" s="2313"/>
      <c r="Y45" s="2313"/>
      <c r="Z45" s="2313"/>
      <c r="AA45" s="2313"/>
      <c r="AB45" s="2313"/>
      <c r="AC45" s="2313"/>
      <c r="AD45" s="2313"/>
      <c r="AM45" s="151"/>
      <c r="AN45" s="1087"/>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96">
        <f>IF((AND(AND(OR(Application!D211="Nonprofit (qualified nonprofit organization)",Application!D211="Nonprofit (homeless assistance)",Application!D211="Special Needs/SRO"),Application!D214="Special Needs"),$AC$37="N/A")),VLOOKUP($C$40,$AO$35:$AP$37,2,FALSE),VLOOKUP($C$35,$AO$29:$AP$32,2,FALSE))</f>
        <v>3</v>
      </c>
      <c r="AK47" s="2396"/>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5" t="s">
        <v>1603</v>
      </c>
      <c r="C49" s="2345"/>
      <c r="D49" s="2345"/>
      <c r="E49" s="2345"/>
      <c r="F49" s="2345"/>
      <c r="G49" s="2345"/>
      <c r="H49" s="2345"/>
      <c r="I49" s="2345"/>
      <c r="J49" s="2345"/>
      <c r="K49" s="2345"/>
      <c r="L49" s="2345"/>
      <c r="M49" s="2345"/>
      <c r="N49" s="2345"/>
      <c r="O49" s="2345"/>
      <c r="P49" s="2345"/>
      <c r="Q49" s="2345"/>
      <c r="R49" s="2345"/>
      <c r="S49" s="2345"/>
      <c r="T49" s="2345"/>
      <c r="U49" s="2345"/>
      <c r="V49" s="2345"/>
      <c r="W49" s="2345"/>
      <c r="X49" s="2345"/>
      <c r="Y49" s="2345"/>
      <c r="Z49" s="2345"/>
      <c r="AA49" s="2345"/>
      <c r="AB49" s="2345"/>
      <c r="AC49" s="2345"/>
      <c r="AD49" s="2345"/>
      <c r="AE49" s="2345"/>
      <c r="AF49" s="2345"/>
      <c r="AG49" s="2345"/>
      <c r="AH49" s="2345"/>
      <c r="AI49" s="2345"/>
      <c r="AJ49" s="2345"/>
      <c r="AK49" s="2345"/>
      <c r="AL49" s="1250"/>
      <c r="AM49" s="163"/>
      <c r="AN49" s="439"/>
      <c r="AP49" s="46" t="s">
        <v>620</v>
      </c>
      <c r="AQ49" s="46">
        <v>10</v>
      </c>
    </row>
    <row r="50" spans="1:43" s="46" customFormat="1" ht="12.75" customHeight="1">
      <c r="A50" s="164"/>
      <c r="B50" s="2345"/>
      <c r="C50" s="2345"/>
      <c r="D50" s="2345"/>
      <c r="E50" s="2345"/>
      <c r="F50" s="2345"/>
      <c r="G50" s="2345"/>
      <c r="H50" s="2345"/>
      <c r="I50" s="2345"/>
      <c r="J50" s="2345"/>
      <c r="K50" s="2345"/>
      <c r="L50" s="2345"/>
      <c r="M50" s="2345"/>
      <c r="N50" s="2345"/>
      <c r="O50" s="2345"/>
      <c r="P50" s="2345"/>
      <c r="Q50" s="2345"/>
      <c r="R50" s="2345"/>
      <c r="S50" s="2345"/>
      <c r="T50" s="2345"/>
      <c r="U50" s="2345"/>
      <c r="V50" s="2345"/>
      <c r="W50" s="2345"/>
      <c r="X50" s="2345"/>
      <c r="Y50" s="2345"/>
      <c r="Z50" s="2345"/>
      <c r="AA50" s="2345"/>
      <c r="AB50" s="2345"/>
      <c r="AC50" s="2345"/>
      <c r="AD50" s="2345"/>
      <c r="AE50" s="2345"/>
      <c r="AF50" s="2345"/>
      <c r="AG50" s="2345"/>
      <c r="AH50" s="2345"/>
      <c r="AI50" s="2345"/>
      <c r="AJ50" s="2345"/>
      <c r="AK50" s="2345"/>
      <c r="AL50" s="1250"/>
      <c r="AM50" s="163"/>
      <c r="AN50" s="439"/>
      <c r="AP50" s="46" t="s">
        <v>676</v>
      </c>
      <c r="AQ50" s="46">
        <v>10</v>
      </c>
    </row>
    <row r="51" spans="1:43" s="46" customFormat="1" ht="12.75" customHeight="1">
      <c r="A51" s="164"/>
      <c r="B51" s="2345"/>
      <c r="C51" s="2345"/>
      <c r="D51" s="2345"/>
      <c r="E51" s="2345"/>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2345"/>
      <c r="AB51" s="2345"/>
      <c r="AC51" s="2345"/>
      <c r="AD51" s="2345"/>
      <c r="AE51" s="2345"/>
      <c r="AF51" s="2345"/>
      <c r="AG51" s="2345"/>
      <c r="AH51" s="2345"/>
      <c r="AI51" s="2345"/>
      <c r="AJ51" s="2345"/>
      <c r="AK51" s="2345"/>
      <c r="AL51" s="1250"/>
      <c r="AM51" s="163"/>
      <c r="AN51" s="439"/>
    </row>
    <row r="52" spans="1:43" s="137" customFormat="1" ht="12.75" customHeight="1">
      <c r="A52" s="164"/>
      <c r="B52" s="2345"/>
      <c r="C52" s="2345"/>
      <c r="D52" s="2345"/>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2345"/>
      <c r="AB52" s="2345"/>
      <c r="AC52" s="2345"/>
      <c r="AD52" s="2345"/>
      <c r="AE52" s="2345"/>
      <c r="AF52" s="2345"/>
      <c r="AG52" s="2345"/>
      <c r="AH52" s="2345"/>
      <c r="AI52" s="2345"/>
      <c r="AJ52" s="2345"/>
      <c r="AK52" s="2345"/>
      <c r="AL52" s="1250"/>
      <c r="AM52" s="163"/>
      <c r="AN52" s="1087"/>
    </row>
    <row r="53" spans="1:43" s="46" customFormat="1" ht="12.75" customHeight="1">
      <c r="A53" s="164"/>
      <c r="B53" s="2345"/>
      <c r="C53" s="2345"/>
      <c r="D53" s="2345"/>
      <c r="E53" s="2345"/>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5"/>
      <c r="AK53" s="2345"/>
      <c r="AL53" s="1250"/>
      <c r="AM53" s="163"/>
      <c r="AN53" s="439"/>
    </row>
    <row r="54" spans="1:43" s="46" customFormat="1" ht="12.75" customHeight="1">
      <c r="A54" s="164"/>
      <c r="B54" s="2345"/>
      <c r="C54" s="2345"/>
      <c r="D54" s="2345"/>
      <c r="E54" s="2345"/>
      <c r="F54" s="2345"/>
      <c r="G54" s="2345"/>
      <c r="H54" s="2345"/>
      <c r="I54" s="2345"/>
      <c r="J54" s="2345"/>
      <c r="K54" s="2345"/>
      <c r="L54" s="2345"/>
      <c r="M54" s="2345"/>
      <c r="N54" s="2345"/>
      <c r="O54" s="2345"/>
      <c r="P54" s="2345"/>
      <c r="Q54" s="2345"/>
      <c r="R54" s="2345"/>
      <c r="S54" s="2345"/>
      <c r="T54" s="2345"/>
      <c r="U54" s="2345"/>
      <c r="V54" s="2345"/>
      <c r="W54" s="2345"/>
      <c r="X54" s="2345"/>
      <c r="Y54" s="2345"/>
      <c r="Z54" s="2345"/>
      <c r="AA54" s="2345"/>
      <c r="AB54" s="2345"/>
      <c r="AC54" s="2345"/>
      <c r="AD54" s="2345"/>
      <c r="AE54" s="2345"/>
      <c r="AF54" s="2345"/>
      <c r="AG54" s="2345"/>
      <c r="AH54" s="2345"/>
      <c r="AI54" s="2345"/>
      <c r="AJ54" s="2345"/>
      <c r="AK54" s="2345"/>
      <c r="AL54" s="1250"/>
      <c r="AM54" s="163"/>
      <c r="AN54" s="439"/>
    </row>
    <row r="55" spans="1:43" s="46" customFormat="1" ht="33.4" customHeight="1">
      <c r="A55" s="164"/>
      <c r="B55" s="2345"/>
      <c r="C55" s="2345"/>
      <c r="D55" s="2345"/>
      <c r="E55" s="2345"/>
      <c r="F55" s="2345"/>
      <c r="G55" s="2345"/>
      <c r="H55" s="2345"/>
      <c r="I55" s="2345"/>
      <c r="J55" s="2345"/>
      <c r="K55" s="2345"/>
      <c r="L55" s="2345"/>
      <c r="M55" s="2345"/>
      <c r="N55" s="2345"/>
      <c r="O55" s="2345"/>
      <c r="P55" s="2345"/>
      <c r="Q55" s="2345"/>
      <c r="R55" s="2345"/>
      <c r="S55" s="2345"/>
      <c r="T55" s="2345"/>
      <c r="U55" s="2345"/>
      <c r="V55" s="2345"/>
      <c r="W55" s="2345"/>
      <c r="X55" s="2345"/>
      <c r="Y55" s="2345"/>
      <c r="Z55" s="2345"/>
      <c r="AA55" s="2345"/>
      <c r="AB55" s="2345"/>
      <c r="AC55" s="2345"/>
      <c r="AD55" s="2345"/>
      <c r="AE55" s="2345"/>
      <c r="AF55" s="2345"/>
      <c r="AG55" s="2345"/>
      <c r="AH55" s="2345"/>
      <c r="AI55" s="2345"/>
      <c r="AJ55" s="2345"/>
      <c r="AK55" s="2345"/>
      <c r="AL55" s="125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5" t="s">
        <v>1604</v>
      </c>
      <c r="C57" s="2345"/>
      <c r="D57" s="2345"/>
      <c r="E57" s="2345"/>
      <c r="F57" s="2345"/>
      <c r="G57" s="2345"/>
      <c r="H57" s="2345"/>
      <c r="I57" s="2345"/>
      <c r="J57" s="2345"/>
      <c r="K57" s="2345"/>
      <c r="L57" s="2345"/>
      <c r="M57" s="2345"/>
      <c r="N57" s="2345"/>
      <c r="O57" s="2345"/>
      <c r="P57" s="2345"/>
      <c r="Q57" s="2345"/>
      <c r="R57" s="2345"/>
      <c r="S57" s="2345"/>
      <c r="T57" s="2345"/>
      <c r="U57" s="2345"/>
      <c r="V57" s="2345"/>
      <c r="W57" s="2345"/>
      <c r="X57" s="2345"/>
      <c r="Y57" s="2345"/>
      <c r="Z57" s="2345"/>
      <c r="AA57" s="2345"/>
      <c r="AB57" s="2345"/>
      <c r="AC57" s="2345"/>
      <c r="AD57" s="2345"/>
      <c r="AE57" s="2345"/>
      <c r="AF57" s="2345"/>
      <c r="AG57" s="2345"/>
      <c r="AH57" s="2345"/>
      <c r="AI57" s="2345"/>
      <c r="AJ57" s="2345"/>
      <c r="AK57" s="2345"/>
      <c r="AL57" s="1250"/>
      <c r="AM57" s="163"/>
      <c r="AN57" s="439"/>
    </row>
    <row r="58" spans="1:43" s="46" customFormat="1" ht="12.75" customHeight="1">
      <c r="A58" s="164"/>
      <c r="B58" s="2345"/>
      <c r="C58" s="2345"/>
      <c r="D58" s="2345"/>
      <c r="E58" s="2345"/>
      <c r="F58" s="2345"/>
      <c r="G58" s="2345"/>
      <c r="H58" s="2345"/>
      <c r="I58" s="2345"/>
      <c r="J58" s="2345"/>
      <c r="K58" s="2345"/>
      <c r="L58" s="2345"/>
      <c r="M58" s="2345"/>
      <c r="N58" s="2345"/>
      <c r="O58" s="2345"/>
      <c r="P58" s="2345"/>
      <c r="Q58" s="2345"/>
      <c r="R58" s="2345"/>
      <c r="S58" s="2345"/>
      <c r="T58" s="2345"/>
      <c r="U58" s="2345"/>
      <c r="V58" s="2345"/>
      <c r="W58" s="2345"/>
      <c r="X58" s="2345"/>
      <c r="Y58" s="2345"/>
      <c r="Z58" s="2345"/>
      <c r="AA58" s="2345"/>
      <c r="AB58" s="2345"/>
      <c r="AC58" s="2345"/>
      <c r="AD58" s="2345"/>
      <c r="AE58" s="2345"/>
      <c r="AF58" s="2345"/>
      <c r="AG58" s="2345"/>
      <c r="AH58" s="2345"/>
      <c r="AI58" s="2345"/>
      <c r="AJ58" s="2345"/>
      <c r="AK58" s="2345"/>
      <c r="AL58" s="1250"/>
      <c r="AM58" s="163"/>
      <c r="AN58" s="439"/>
    </row>
    <row r="59" spans="1:43" s="46" customFormat="1" ht="12.75" customHeight="1">
      <c r="A59" s="164"/>
      <c r="B59" s="2345"/>
      <c r="C59" s="2345"/>
      <c r="D59" s="2345"/>
      <c r="E59" s="2345"/>
      <c r="F59" s="2345"/>
      <c r="G59" s="2345"/>
      <c r="H59" s="2345"/>
      <c r="I59" s="2345"/>
      <c r="J59" s="2345"/>
      <c r="K59" s="2345"/>
      <c r="L59" s="2345"/>
      <c r="M59" s="2345"/>
      <c r="N59" s="2345"/>
      <c r="O59" s="2345"/>
      <c r="P59" s="2345"/>
      <c r="Q59" s="2345"/>
      <c r="R59" s="2345"/>
      <c r="S59" s="2345"/>
      <c r="T59" s="2345"/>
      <c r="U59" s="2345"/>
      <c r="V59" s="2345"/>
      <c r="W59" s="2345"/>
      <c r="X59" s="2345"/>
      <c r="Y59" s="2345"/>
      <c r="Z59" s="2345"/>
      <c r="AA59" s="2345"/>
      <c r="AB59" s="2345"/>
      <c r="AC59" s="2345"/>
      <c r="AD59" s="2345"/>
      <c r="AE59" s="2345"/>
      <c r="AF59" s="2345"/>
      <c r="AG59" s="2345"/>
      <c r="AH59" s="2345"/>
      <c r="AI59" s="2345"/>
      <c r="AJ59" s="2345"/>
      <c r="AK59" s="2345"/>
      <c r="AL59" s="1250"/>
      <c r="AM59" s="163"/>
      <c r="AN59" s="439"/>
    </row>
    <row r="60" spans="1:43" s="46" customFormat="1" ht="17.649999999999999" customHeight="1">
      <c r="A60" s="164"/>
      <c r="B60" s="2345"/>
      <c r="C60" s="2345"/>
      <c r="D60" s="2345"/>
      <c r="E60" s="2345"/>
      <c r="F60" s="2345"/>
      <c r="G60" s="2345"/>
      <c r="H60" s="2345"/>
      <c r="I60" s="2345"/>
      <c r="J60" s="2345"/>
      <c r="K60" s="2345"/>
      <c r="L60" s="2345"/>
      <c r="M60" s="2345"/>
      <c r="N60" s="2345"/>
      <c r="O60" s="2345"/>
      <c r="P60" s="2345"/>
      <c r="Q60" s="2345"/>
      <c r="R60" s="2345"/>
      <c r="S60" s="2345"/>
      <c r="T60" s="2345"/>
      <c r="U60" s="2345"/>
      <c r="V60" s="2345"/>
      <c r="W60" s="2345"/>
      <c r="X60" s="2345"/>
      <c r="Y60" s="2345"/>
      <c r="Z60" s="2345"/>
      <c r="AA60" s="2345"/>
      <c r="AB60" s="2345"/>
      <c r="AC60" s="2345"/>
      <c r="AD60" s="2345"/>
      <c r="AE60" s="2345"/>
      <c r="AF60" s="2345"/>
      <c r="AG60" s="2345"/>
      <c r="AH60" s="2345"/>
      <c r="AI60" s="2345"/>
      <c r="AJ60" s="2345"/>
      <c r="AK60" s="2345"/>
      <c r="AL60" s="125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5" t="s">
        <v>1605</v>
      </c>
      <c r="C62" s="2345"/>
      <c r="D62" s="2345"/>
      <c r="E62" s="2345"/>
      <c r="F62" s="2345"/>
      <c r="G62" s="2345"/>
      <c r="H62" s="234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1250"/>
      <c r="AM62" s="163"/>
      <c r="AN62" s="439"/>
    </row>
    <row r="63" spans="1:43" s="46" customFormat="1" ht="12.75" customHeight="1">
      <c r="B63" s="2345"/>
      <c r="C63" s="2345"/>
      <c r="D63" s="2345"/>
      <c r="E63" s="2345"/>
      <c r="F63" s="2345"/>
      <c r="G63" s="2345"/>
      <c r="H63" s="2345"/>
      <c r="I63" s="2345"/>
      <c r="J63" s="2345"/>
      <c r="K63" s="2345"/>
      <c r="L63" s="2345"/>
      <c r="M63" s="2345"/>
      <c r="N63" s="2345"/>
      <c r="O63" s="2345"/>
      <c r="P63" s="2345"/>
      <c r="Q63" s="2345"/>
      <c r="R63" s="2345"/>
      <c r="S63" s="2345"/>
      <c r="T63" s="2345"/>
      <c r="U63" s="2345"/>
      <c r="V63" s="2345"/>
      <c r="W63" s="2345"/>
      <c r="X63" s="2345"/>
      <c r="Y63" s="2345"/>
      <c r="Z63" s="2345"/>
      <c r="AA63" s="2345"/>
      <c r="AB63" s="2345"/>
      <c r="AC63" s="2345"/>
      <c r="AD63" s="2345"/>
      <c r="AE63" s="2345"/>
      <c r="AF63" s="2345"/>
      <c r="AG63" s="2345"/>
      <c r="AH63" s="2345"/>
      <c r="AI63" s="2345"/>
      <c r="AJ63" s="2345"/>
      <c r="AK63" s="2345"/>
      <c r="AL63" s="1250"/>
      <c r="AM63" s="163"/>
      <c r="AN63" s="439"/>
    </row>
    <row r="64" spans="1:43" s="46" customFormat="1" ht="22.9" customHeight="1">
      <c r="A64" s="653"/>
      <c r="B64" s="2345"/>
      <c r="C64" s="2345"/>
      <c r="D64" s="2345"/>
      <c r="E64" s="2345"/>
      <c r="F64" s="2345"/>
      <c r="G64" s="2345"/>
      <c r="H64" s="2345"/>
      <c r="I64" s="2345"/>
      <c r="J64" s="2345"/>
      <c r="K64" s="2345"/>
      <c r="L64" s="234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125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6" t="s">
        <v>1210</v>
      </c>
      <c r="AK66" s="2355">
        <f>$AJ$31+$AJ$47</f>
        <v>10</v>
      </c>
      <c r="AL66" s="2356"/>
      <c r="AM66" s="235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7" t="s">
        <v>404</v>
      </c>
      <c r="AF69" s="2387"/>
      <c r="AG69" s="2387"/>
      <c r="AH69" s="2387"/>
      <c r="AI69" s="2387"/>
      <c r="AJ69" s="2387"/>
      <c r="AK69" s="2387"/>
      <c r="AL69" s="124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13" t="s">
        <v>725</v>
      </c>
      <c r="C71" s="2313"/>
      <c r="D71" s="2313"/>
      <c r="E71" s="2313"/>
      <c r="F71" s="2313"/>
      <c r="G71" s="2313"/>
      <c r="H71" s="2313"/>
      <c r="I71" s="2313"/>
      <c r="J71" s="2313"/>
      <c r="K71" s="2313"/>
      <c r="P71" s="153"/>
      <c r="Q71" s="153"/>
      <c r="R71" s="153"/>
      <c r="S71" s="153"/>
      <c r="T71" s="153"/>
      <c r="U71" s="153"/>
      <c r="V71" s="153"/>
      <c r="W71" s="153"/>
      <c r="X71" s="153"/>
      <c r="AF71" s="2335" t="s">
        <v>1020</v>
      </c>
      <c r="AG71" s="2335"/>
      <c r="AH71" s="2335"/>
      <c r="AI71" s="2335"/>
      <c r="AJ71" s="2335"/>
      <c r="AK71" s="2335"/>
      <c r="AL71" s="2335"/>
      <c r="AN71" s="439"/>
      <c r="AP71" s="46" t="s">
        <v>134</v>
      </c>
    </row>
    <row r="72" spans="1:42" s="46" customFormat="1" ht="12.75" customHeight="1">
      <c r="B72" s="2487" t="s">
        <v>1426</v>
      </c>
      <c r="C72" s="2487"/>
      <c r="D72" s="2487"/>
      <c r="E72" s="2487"/>
      <c r="F72" s="2487"/>
      <c r="G72" s="2487"/>
      <c r="H72" s="2487"/>
      <c r="I72" s="2487"/>
      <c r="J72" s="2487"/>
      <c r="K72" s="2487"/>
      <c r="L72" s="2487"/>
      <c r="M72" s="2487"/>
      <c r="N72" s="2487"/>
      <c r="O72" s="2487"/>
      <c r="P72" s="2487"/>
      <c r="Q72" s="2487"/>
      <c r="R72" s="2487"/>
      <c r="S72" s="2487"/>
      <c r="T72" s="2313" t="s">
        <v>134</v>
      </c>
      <c r="U72" s="2313"/>
      <c r="V72" s="2313"/>
      <c r="W72" s="2313"/>
      <c r="X72" s="2313"/>
      <c r="Y72" s="2313"/>
      <c r="Z72" s="2313"/>
      <c r="AA72" s="2313"/>
      <c r="AB72" s="2313"/>
      <c r="AC72" s="2313"/>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5"/>
      <c r="AJ73" s="1255" t="s">
        <v>644</v>
      </c>
      <c r="AK73" s="2332">
        <f>VLOOKUP($B$71,$AP$45:$AR$50,2,FALSE)</f>
        <v>10</v>
      </c>
      <c r="AL73" s="2333"/>
      <c r="AM73" s="2333"/>
      <c r="AN73" s="1275"/>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7" t="s">
        <v>1059</v>
      </c>
      <c r="AF78" s="2387"/>
      <c r="AG78" s="2387"/>
      <c r="AH78" s="2387"/>
      <c r="AI78" s="2387"/>
      <c r="AJ78" s="2387"/>
      <c r="AK78" s="2387"/>
      <c r="AL78" s="124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5" t="s">
        <v>2011</v>
      </c>
      <c r="C80" s="2345"/>
      <c r="D80" s="2345"/>
      <c r="E80" s="2345"/>
      <c r="F80" s="2345"/>
      <c r="G80" s="2345"/>
      <c r="H80" s="2345"/>
      <c r="I80" s="2345"/>
      <c r="J80" s="2345"/>
      <c r="K80" s="2345"/>
      <c r="L80" s="2345"/>
      <c r="M80" s="2345"/>
      <c r="N80" s="2345"/>
      <c r="O80" s="2345"/>
      <c r="P80" s="2345"/>
      <c r="Q80" s="2345"/>
      <c r="R80" s="2345"/>
      <c r="S80" s="2345"/>
      <c r="T80" s="2345"/>
      <c r="U80" s="2345"/>
      <c r="V80" s="2345"/>
      <c r="W80" s="2345"/>
      <c r="X80" s="2345"/>
      <c r="Y80" s="2345"/>
      <c r="Z80" s="2345"/>
      <c r="AA80" s="2345"/>
      <c r="AB80" s="2345"/>
      <c r="AC80" s="2345"/>
      <c r="AD80" s="2345"/>
      <c r="AE80" s="2345"/>
      <c r="AF80" s="2345"/>
      <c r="AG80" s="2345"/>
      <c r="AH80" s="2345"/>
      <c r="AI80" s="2345"/>
      <c r="AJ80" s="2345"/>
      <c r="AK80" s="2345"/>
      <c r="AL80" s="1250"/>
      <c r="AM80" s="163"/>
      <c r="AN80" s="439"/>
    </row>
    <row r="81" spans="1:42" s="46" customFormat="1" ht="12.75" customHeight="1">
      <c r="A81" s="163"/>
      <c r="B81" s="2345"/>
      <c r="C81" s="2345"/>
      <c r="D81" s="2345"/>
      <c r="E81" s="2345"/>
      <c r="F81" s="2345"/>
      <c r="G81" s="2345"/>
      <c r="H81" s="2345"/>
      <c r="I81" s="2345"/>
      <c r="J81" s="2345"/>
      <c r="K81" s="2345"/>
      <c r="L81" s="2345"/>
      <c r="M81" s="2345"/>
      <c r="N81" s="2345"/>
      <c r="O81" s="2345"/>
      <c r="P81" s="2345"/>
      <c r="Q81" s="2345"/>
      <c r="R81" s="2345"/>
      <c r="S81" s="2345"/>
      <c r="T81" s="2345"/>
      <c r="U81" s="2345"/>
      <c r="V81" s="2345"/>
      <c r="W81" s="2345"/>
      <c r="X81" s="2345"/>
      <c r="Y81" s="2345"/>
      <c r="Z81" s="2345"/>
      <c r="AA81" s="2345"/>
      <c r="AB81" s="2345"/>
      <c r="AC81" s="2345"/>
      <c r="AD81" s="2345"/>
      <c r="AE81" s="2345"/>
      <c r="AF81" s="2345"/>
      <c r="AG81" s="2345"/>
      <c r="AH81" s="2345"/>
      <c r="AI81" s="2345"/>
      <c r="AJ81" s="2345"/>
      <c r="AK81" s="2345"/>
      <c r="AL81" s="1250"/>
      <c r="AM81" s="163"/>
      <c r="AN81" s="439"/>
    </row>
    <row r="82" spans="1:42" s="46" customFormat="1" ht="12.75" customHeight="1">
      <c r="A82" s="163"/>
      <c r="B82" s="2345"/>
      <c r="C82" s="2345"/>
      <c r="D82" s="2345"/>
      <c r="E82" s="2345"/>
      <c r="F82" s="2345"/>
      <c r="G82" s="2345"/>
      <c r="H82" s="2345"/>
      <c r="I82" s="2345"/>
      <c r="J82" s="2345"/>
      <c r="K82" s="2345"/>
      <c r="L82" s="2345"/>
      <c r="M82" s="2345"/>
      <c r="N82" s="2345"/>
      <c r="O82" s="2345"/>
      <c r="P82" s="2345"/>
      <c r="Q82" s="2345"/>
      <c r="R82" s="2345"/>
      <c r="S82" s="2345"/>
      <c r="T82" s="2345"/>
      <c r="U82" s="2345"/>
      <c r="V82" s="2345"/>
      <c r="W82" s="2345"/>
      <c r="X82" s="2345"/>
      <c r="Y82" s="2345"/>
      <c r="Z82" s="2345"/>
      <c r="AA82" s="2345"/>
      <c r="AB82" s="2345"/>
      <c r="AC82" s="2345"/>
      <c r="AD82" s="2345"/>
      <c r="AE82" s="2345"/>
      <c r="AF82" s="2345"/>
      <c r="AG82" s="2345"/>
      <c r="AH82" s="2345"/>
      <c r="AI82" s="2345"/>
      <c r="AJ82" s="2345"/>
      <c r="AK82" s="2345"/>
      <c r="AL82" s="1250"/>
      <c r="AM82" s="163"/>
      <c r="AN82" s="439"/>
    </row>
    <row r="83" spans="1:42" s="46" customFormat="1" ht="12.75" customHeight="1">
      <c r="A83" s="163"/>
      <c r="B83" s="2345"/>
      <c r="C83" s="2345"/>
      <c r="D83" s="2345"/>
      <c r="E83" s="2345"/>
      <c r="F83" s="2345"/>
      <c r="G83" s="2345"/>
      <c r="H83" s="2345"/>
      <c r="I83" s="2345"/>
      <c r="J83" s="2345"/>
      <c r="K83" s="2345"/>
      <c r="L83" s="2345"/>
      <c r="M83" s="2345"/>
      <c r="N83" s="2345"/>
      <c r="O83" s="2345"/>
      <c r="P83" s="2345"/>
      <c r="Q83" s="2345"/>
      <c r="R83" s="2345"/>
      <c r="S83" s="2345"/>
      <c r="T83" s="2345"/>
      <c r="U83" s="2345"/>
      <c r="V83" s="2345"/>
      <c r="W83" s="2345"/>
      <c r="X83" s="2345"/>
      <c r="Y83" s="2345"/>
      <c r="Z83" s="2345"/>
      <c r="AA83" s="2345"/>
      <c r="AB83" s="2345"/>
      <c r="AC83" s="2345"/>
      <c r="AD83" s="2345"/>
      <c r="AE83" s="2345"/>
      <c r="AF83" s="2345"/>
      <c r="AG83" s="2345"/>
      <c r="AH83" s="2345"/>
      <c r="AI83" s="2345"/>
      <c r="AJ83" s="2345"/>
      <c r="AK83" s="2345"/>
      <c r="AL83" s="1250"/>
      <c r="AM83" s="163"/>
      <c r="AN83" s="439"/>
    </row>
    <row r="84" spans="1:42" s="46" customFormat="1" ht="12.75" customHeight="1">
      <c r="A84" s="163"/>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1250"/>
      <c r="AM84" s="163"/>
      <c r="AN84" s="439"/>
    </row>
    <row r="85" spans="1:42" s="46" customFormat="1" ht="12.75" customHeight="1">
      <c r="A85" s="163"/>
      <c r="B85" s="2345"/>
      <c r="C85" s="2345"/>
      <c r="D85" s="2345"/>
      <c r="E85" s="2345"/>
      <c r="F85" s="2345"/>
      <c r="G85" s="2345"/>
      <c r="H85" s="2345"/>
      <c r="I85" s="2345"/>
      <c r="J85" s="2345"/>
      <c r="K85" s="2345"/>
      <c r="L85" s="2345"/>
      <c r="M85" s="2345"/>
      <c r="N85" s="2345"/>
      <c r="O85" s="2345"/>
      <c r="P85" s="2345"/>
      <c r="Q85" s="2345"/>
      <c r="R85" s="2345"/>
      <c r="S85" s="2345"/>
      <c r="T85" s="2345"/>
      <c r="U85" s="2345"/>
      <c r="V85" s="2345"/>
      <c r="W85" s="2345"/>
      <c r="X85" s="2345"/>
      <c r="Y85" s="2345"/>
      <c r="Z85" s="2345"/>
      <c r="AA85" s="2345"/>
      <c r="AB85" s="2345"/>
      <c r="AC85" s="2345"/>
      <c r="AD85" s="2345"/>
      <c r="AE85" s="2345"/>
      <c r="AF85" s="2345"/>
      <c r="AG85" s="2345"/>
      <c r="AH85" s="2345"/>
      <c r="AI85" s="2345"/>
      <c r="AJ85" s="2345"/>
      <c r="AK85" s="2345"/>
      <c r="AL85" s="1250"/>
      <c r="AM85" s="163"/>
      <c r="AN85" s="439"/>
    </row>
    <row r="86" spans="1:42" ht="12.75" customHeight="1">
      <c r="A86" s="163"/>
      <c r="B86" s="2345"/>
      <c r="C86" s="2345"/>
      <c r="D86" s="2345"/>
      <c r="E86" s="2345"/>
      <c r="F86" s="2345"/>
      <c r="G86" s="2345"/>
      <c r="H86" s="2345"/>
      <c r="I86" s="2345"/>
      <c r="J86" s="2345"/>
      <c r="K86" s="2345"/>
      <c r="L86" s="2345"/>
      <c r="M86" s="2345"/>
      <c r="N86" s="2345"/>
      <c r="O86" s="2345"/>
      <c r="P86" s="2345"/>
      <c r="Q86" s="2345"/>
      <c r="R86" s="2345"/>
      <c r="S86" s="2345"/>
      <c r="T86" s="2345"/>
      <c r="U86" s="2345"/>
      <c r="V86" s="2345"/>
      <c r="W86" s="2345"/>
      <c r="X86" s="2345"/>
      <c r="Y86" s="2345"/>
      <c r="Z86" s="2345"/>
      <c r="AA86" s="2345"/>
      <c r="AB86" s="2345"/>
      <c r="AC86" s="2345"/>
      <c r="AD86" s="2345"/>
      <c r="AE86" s="2345"/>
      <c r="AF86" s="2345"/>
      <c r="AG86" s="2345"/>
      <c r="AH86" s="2345"/>
      <c r="AI86" s="2345"/>
      <c r="AJ86" s="2345"/>
      <c r="AK86" s="2345"/>
      <c r="AL86" s="1250"/>
      <c r="AM86" s="163"/>
    </row>
    <row r="87" spans="1:42" s="46" customFormat="1" ht="12.75" customHeight="1">
      <c r="A87" s="28"/>
      <c r="B87" s="2345"/>
      <c r="C87" s="2345"/>
      <c r="D87" s="2345"/>
      <c r="E87" s="2345"/>
      <c r="F87" s="2345"/>
      <c r="G87" s="2345"/>
      <c r="H87" s="2345"/>
      <c r="I87" s="2345"/>
      <c r="J87" s="2345"/>
      <c r="K87" s="2345"/>
      <c r="L87" s="2345"/>
      <c r="M87" s="2345"/>
      <c r="N87" s="2345"/>
      <c r="O87" s="2345"/>
      <c r="P87" s="2345"/>
      <c r="Q87" s="2345"/>
      <c r="R87" s="2345"/>
      <c r="S87" s="2345"/>
      <c r="T87" s="2345"/>
      <c r="U87" s="2345"/>
      <c r="V87" s="2345"/>
      <c r="W87" s="2345"/>
      <c r="X87" s="2345"/>
      <c r="Y87" s="2345"/>
      <c r="Z87" s="2345"/>
      <c r="AA87" s="2345"/>
      <c r="AB87" s="2345"/>
      <c r="AC87" s="2345"/>
      <c r="AD87" s="2345"/>
      <c r="AE87" s="2345"/>
      <c r="AF87" s="2345"/>
      <c r="AG87" s="2345"/>
      <c r="AH87" s="2345"/>
      <c r="AI87" s="2345"/>
      <c r="AJ87" s="2345"/>
      <c r="AK87" s="2345"/>
      <c r="AL87" s="1250"/>
      <c r="AM87" s="153"/>
      <c r="AN87" s="439"/>
    </row>
    <row r="88" spans="1:42" s="46" customFormat="1" ht="12.75" customHeight="1">
      <c r="A88" s="28"/>
      <c r="B88" s="2345"/>
      <c r="C88" s="2345"/>
      <c r="D88" s="2345"/>
      <c r="E88" s="2345"/>
      <c r="F88" s="2345"/>
      <c r="G88" s="2345"/>
      <c r="H88" s="2345"/>
      <c r="I88" s="2345"/>
      <c r="J88" s="2345"/>
      <c r="K88" s="2345"/>
      <c r="L88" s="2345"/>
      <c r="M88" s="2345"/>
      <c r="N88" s="2345"/>
      <c r="O88" s="2345"/>
      <c r="P88" s="2345"/>
      <c r="Q88" s="2345"/>
      <c r="R88" s="2345"/>
      <c r="S88" s="2345"/>
      <c r="T88" s="2345"/>
      <c r="U88" s="2345"/>
      <c r="V88" s="2345"/>
      <c r="W88" s="2345"/>
      <c r="X88" s="2345"/>
      <c r="Y88" s="2345"/>
      <c r="Z88" s="2345"/>
      <c r="AA88" s="2345"/>
      <c r="AB88" s="2345"/>
      <c r="AC88" s="2345"/>
      <c r="AD88" s="2345"/>
      <c r="AE88" s="2345"/>
      <c r="AF88" s="2345"/>
      <c r="AG88" s="2345"/>
      <c r="AH88" s="2345"/>
      <c r="AI88" s="2345"/>
      <c r="AJ88" s="2345"/>
      <c r="AK88" s="2345"/>
      <c r="AL88" s="1250"/>
      <c r="AM88" s="153"/>
      <c r="AN88" s="439"/>
    </row>
    <row r="89" spans="1:42" s="46" customFormat="1" ht="14.45" customHeight="1">
      <c r="A89" s="28"/>
      <c r="B89" s="2345"/>
      <c r="C89" s="2345"/>
      <c r="D89" s="2345"/>
      <c r="E89" s="2345"/>
      <c r="F89" s="2345"/>
      <c r="G89" s="2345"/>
      <c r="H89" s="2345"/>
      <c r="I89" s="2345"/>
      <c r="J89" s="2345"/>
      <c r="K89" s="2345"/>
      <c r="L89" s="2345"/>
      <c r="M89" s="2345"/>
      <c r="N89" s="2345"/>
      <c r="O89" s="2345"/>
      <c r="P89" s="2345"/>
      <c r="Q89" s="2345"/>
      <c r="R89" s="2345"/>
      <c r="S89" s="2345"/>
      <c r="T89" s="2345"/>
      <c r="U89" s="2345"/>
      <c r="V89" s="2345"/>
      <c r="W89" s="2345"/>
      <c r="X89" s="2345"/>
      <c r="Y89" s="2345"/>
      <c r="Z89" s="2345"/>
      <c r="AA89" s="2345"/>
      <c r="AB89" s="2345"/>
      <c r="AC89" s="2345"/>
      <c r="AD89" s="2345"/>
      <c r="AE89" s="2345"/>
      <c r="AF89" s="2345"/>
      <c r="AG89" s="2345"/>
      <c r="AH89" s="2345"/>
      <c r="AI89" s="2345"/>
      <c r="AJ89" s="2345"/>
      <c r="AK89" s="2345"/>
      <c r="AL89" s="1250"/>
      <c r="AM89" s="153"/>
      <c r="AN89" s="439"/>
    </row>
    <row r="90" spans="1:42" s="46" customFormat="1" ht="12.75" customHeight="1">
      <c r="A90" s="28"/>
      <c r="B90" s="2345"/>
      <c r="C90" s="2345"/>
      <c r="D90" s="2345"/>
      <c r="E90" s="2345"/>
      <c r="F90" s="2345"/>
      <c r="G90" s="2345"/>
      <c r="H90" s="2345"/>
      <c r="I90" s="2345"/>
      <c r="J90" s="2345"/>
      <c r="K90" s="2345"/>
      <c r="L90" s="2345"/>
      <c r="M90" s="2345"/>
      <c r="N90" s="2345"/>
      <c r="O90" s="2345"/>
      <c r="P90" s="2345"/>
      <c r="Q90" s="2345"/>
      <c r="R90" s="2345"/>
      <c r="S90" s="2345"/>
      <c r="T90" s="2345"/>
      <c r="U90" s="2345"/>
      <c r="V90" s="2345"/>
      <c r="W90" s="2345"/>
      <c r="X90" s="2345"/>
      <c r="Y90" s="2345"/>
      <c r="Z90" s="2345"/>
      <c r="AA90" s="2345"/>
      <c r="AB90" s="2345"/>
      <c r="AC90" s="2345"/>
      <c r="AD90" s="2345"/>
      <c r="AE90" s="2345"/>
      <c r="AF90" s="2345"/>
      <c r="AG90" s="2345"/>
      <c r="AH90" s="2345"/>
      <c r="AI90" s="2345"/>
      <c r="AJ90" s="2345"/>
      <c r="AK90" s="2345"/>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5" t="s">
        <v>928</v>
      </c>
      <c r="AG95" s="2335"/>
      <c r="AH95" s="2335"/>
      <c r="AI95" s="2335"/>
      <c r="AJ95" s="2335"/>
      <c r="AK95" s="2335"/>
      <c r="AL95" s="2335"/>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7"/>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5" t="s">
        <v>62</v>
      </c>
      <c r="AG100" s="2335"/>
      <c r="AH100" s="2335"/>
      <c r="AI100" s="2335"/>
      <c r="AJ100" s="2335"/>
      <c r="AK100" s="2335"/>
      <c r="AL100" s="2335"/>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5" t="s">
        <v>63</v>
      </c>
      <c r="AG105" s="2335"/>
      <c r="AH105" s="2335"/>
      <c r="AI105" s="2335"/>
      <c r="AJ105" s="2335"/>
      <c r="AK105" s="2335"/>
      <c r="AL105" s="2335"/>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5" t="s">
        <v>64</v>
      </c>
      <c r="AG110" s="2335"/>
      <c r="AH110" s="2335"/>
      <c r="AI110" s="2335"/>
      <c r="AJ110" s="2335"/>
      <c r="AK110" s="2335"/>
      <c r="AL110" s="2335"/>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5" t="s">
        <v>65</v>
      </c>
      <c r="AG114" s="2335"/>
      <c r="AH114" s="2335"/>
      <c r="AI114" s="2335"/>
      <c r="AJ114" s="2335"/>
      <c r="AK114" s="2335"/>
      <c r="AL114" s="2335"/>
      <c r="AM114" s="153"/>
      <c r="AN114" s="1087"/>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44" t="s">
        <v>637</v>
      </c>
      <c r="I117" s="2344"/>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161</v>
      </c>
      <c r="F123" s="190"/>
      <c r="G123" s="190"/>
      <c r="H123" s="2491" t="s">
        <v>134</v>
      </c>
      <c r="I123" s="2491"/>
      <c r="J123" s="2491"/>
      <c r="K123" s="2491"/>
      <c r="L123" s="2491"/>
      <c r="M123" s="2491"/>
      <c r="N123" s="2491"/>
      <c r="O123" s="2491"/>
      <c r="P123" s="2491"/>
      <c r="Q123" s="2491"/>
      <c r="R123" s="2491"/>
      <c r="S123" s="2491"/>
      <c r="T123" s="2491"/>
      <c r="U123" s="2491"/>
      <c r="V123" s="2491"/>
      <c r="W123" s="2491"/>
      <c r="X123" s="2491"/>
      <c r="Y123" s="2491"/>
      <c r="Z123" s="2491"/>
      <c r="AA123" s="2491"/>
      <c r="AB123" s="2491"/>
      <c r="AC123" s="2491"/>
      <c r="AD123" s="2491"/>
      <c r="AE123" s="2491"/>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7"/>
      <c r="AM124" s="46"/>
      <c r="AN124" s="1087"/>
    </row>
    <row r="125" spans="1:47" s="46" customFormat="1" ht="12.75" customHeight="1">
      <c r="A125" s="28"/>
      <c r="B125" s="1851" t="s">
        <v>134</v>
      </c>
      <c r="C125" s="1851"/>
      <c r="D125" s="436"/>
      <c r="E125" s="2345" t="s">
        <v>1937</v>
      </c>
      <c r="F125" s="2345"/>
      <c r="G125" s="2345"/>
      <c r="H125" s="2345"/>
      <c r="I125" s="2345"/>
      <c r="J125" s="2345"/>
      <c r="K125" s="2345"/>
      <c r="L125" s="2345"/>
      <c r="M125" s="2345"/>
      <c r="N125" s="2345"/>
      <c r="O125" s="2345"/>
      <c r="P125" s="2345"/>
      <c r="Q125" s="2345"/>
      <c r="R125" s="2345"/>
      <c r="S125" s="2345"/>
      <c r="T125" s="2345"/>
      <c r="U125" s="2345"/>
      <c r="V125" s="2345"/>
      <c r="W125" s="2345"/>
      <c r="X125" s="2345"/>
      <c r="Y125" s="2345"/>
      <c r="Z125" s="2345"/>
      <c r="AA125" s="2345"/>
      <c r="AB125" s="2345"/>
      <c r="AC125" s="2345"/>
      <c r="AD125" s="2345"/>
      <c r="AE125" s="2345"/>
      <c r="AF125" s="2345"/>
      <c r="AG125" s="2345"/>
      <c r="AH125" s="436"/>
      <c r="AI125" s="436"/>
      <c r="AJ125" s="436"/>
      <c r="AK125" s="436"/>
      <c r="AL125" s="1247"/>
      <c r="AN125" s="439"/>
    </row>
    <row r="126" spans="1:47" s="46" customFormat="1" ht="12.75" customHeight="1">
      <c r="A126" s="28"/>
      <c r="B126" s="161"/>
      <c r="C126" s="187"/>
      <c r="D126" s="436"/>
      <c r="E126" s="2345"/>
      <c r="F126" s="2345"/>
      <c r="G126" s="2345"/>
      <c r="H126" s="2345"/>
      <c r="I126" s="2345"/>
      <c r="J126" s="2345"/>
      <c r="K126" s="2345"/>
      <c r="L126" s="2345"/>
      <c r="M126" s="2345"/>
      <c r="N126" s="2345"/>
      <c r="O126" s="2345"/>
      <c r="P126" s="2345"/>
      <c r="Q126" s="2345"/>
      <c r="R126" s="2345"/>
      <c r="S126" s="2345"/>
      <c r="T126" s="2345"/>
      <c r="U126" s="2345"/>
      <c r="V126" s="2345"/>
      <c r="W126" s="2345"/>
      <c r="X126" s="2345"/>
      <c r="Y126" s="2345"/>
      <c r="Z126" s="2345"/>
      <c r="AA126" s="2345"/>
      <c r="AB126" s="2345"/>
      <c r="AC126" s="2345"/>
      <c r="AD126" s="2345"/>
      <c r="AE126" s="2345"/>
      <c r="AF126" s="2345"/>
      <c r="AG126" s="2345"/>
      <c r="AH126" s="436"/>
      <c r="AI126" s="436"/>
      <c r="AJ126" s="436"/>
      <c r="AK126" s="436"/>
      <c r="AL126" s="1247"/>
      <c r="AN126" s="439"/>
    </row>
    <row r="127" spans="1:47" s="46" customFormat="1" ht="12.75" customHeight="1">
      <c r="A127" s="28"/>
      <c r="B127" s="161"/>
      <c r="C127" s="187"/>
      <c r="D127" s="436"/>
      <c r="E127" s="2345"/>
      <c r="F127" s="2345"/>
      <c r="G127" s="2345"/>
      <c r="H127" s="2345"/>
      <c r="I127" s="2345"/>
      <c r="J127" s="2345"/>
      <c r="K127" s="2345"/>
      <c r="L127" s="2345"/>
      <c r="M127" s="2345"/>
      <c r="N127" s="2345"/>
      <c r="O127" s="2345"/>
      <c r="P127" s="2345"/>
      <c r="Q127" s="2345"/>
      <c r="R127" s="2345"/>
      <c r="S127" s="2345"/>
      <c r="T127" s="2345"/>
      <c r="U127" s="2345"/>
      <c r="V127" s="2345"/>
      <c r="W127" s="2345"/>
      <c r="X127" s="2345"/>
      <c r="Y127" s="2345"/>
      <c r="Z127" s="2345"/>
      <c r="AA127" s="2345"/>
      <c r="AB127" s="2345"/>
      <c r="AC127" s="2345"/>
      <c r="AD127" s="2345"/>
      <c r="AE127" s="2345"/>
      <c r="AF127" s="2345"/>
      <c r="AG127" s="2345"/>
      <c r="AH127" s="436"/>
      <c r="AI127" s="436"/>
      <c r="AJ127" s="436"/>
      <c r="AK127" s="436"/>
      <c r="AL127" s="1247"/>
      <c r="AN127" s="439"/>
    </row>
    <row r="128" spans="1:47" s="46" customFormat="1" ht="12.75" customHeight="1">
      <c r="A128" s="28"/>
      <c r="B128" s="161"/>
      <c r="C128" s="187"/>
      <c r="D128" s="461"/>
      <c r="E128" s="2490"/>
      <c r="F128" s="2490"/>
      <c r="G128" s="2490"/>
      <c r="H128" s="2490"/>
      <c r="I128" s="2490"/>
      <c r="J128" s="2490"/>
      <c r="K128" s="2490"/>
      <c r="L128" s="2490"/>
      <c r="M128" s="2490"/>
      <c r="N128" s="2490"/>
      <c r="O128" s="2490"/>
      <c r="P128" s="2490"/>
      <c r="Q128" s="2490"/>
      <c r="R128" s="2490"/>
      <c r="S128" s="2490"/>
      <c r="T128" s="2490"/>
      <c r="U128" s="2490"/>
      <c r="V128" s="2490"/>
      <c r="W128" s="2490"/>
      <c r="X128" s="2490"/>
      <c r="Y128" s="2490"/>
      <c r="Z128" s="2490"/>
      <c r="AA128" s="2490"/>
      <c r="AB128" s="2490"/>
      <c r="AC128" s="2490"/>
      <c r="AD128" s="2490"/>
      <c r="AE128" s="2490"/>
      <c r="AF128" s="2490"/>
      <c r="AG128" s="249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32">
        <f>VLOOKUP($H$117,$AO$101:$AP$106,2,FALSE)+VLOOKUP($H$123,$AO$121:$AP$123,2,FALSE)</f>
        <v>7</v>
      </c>
      <c r="AK129" s="233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9" t="s">
        <v>2016</v>
      </c>
      <c r="F133" s="2489"/>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F133" s="2335" t="s">
        <v>65</v>
      </c>
      <c r="AG133" s="2335"/>
      <c r="AH133" s="2335"/>
      <c r="AI133" s="2335"/>
      <c r="AJ133" s="2335"/>
      <c r="AK133" s="2335"/>
      <c r="AL133" s="2335"/>
      <c r="AM133" s="153"/>
      <c r="AN133" s="459"/>
    </row>
    <row r="134" spans="1:42" s="46" customFormat="1" ht="12.75" customHeight="1">
      <c r="A134" s="195"/>
      <c r="B134" s="161"/>
      <c r="C134" s="187"/>
      <c r="D134" s="144"/>
      <c r="E134" s="2489"/>
      <c r="F134" s="2489"/>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153"/>
      <c r="AF134" s="74"/>
      <c r="AG134" s="153"/>
      <c r="AH134" s="153"/>
      <c r="AI134" s="153"/>
      <c r="AJ134" s="153"/>
      <c r="AK134" s="153"/>
      <c r="AL134" s="153"/>
      <c r="AM134" s="153"/>
      <c r="AN134" s="439"/>
    </row>
    <row r="135" spans="1:42" s="46" customFormat="1" ht="12.75" customHeight="1">
      <c r="A135" s="28"/>
      <c r="B135" s="161"/>
      <c r="C135" s="188"/>
      <c r="D135" s="144"/>
      <c r="E135" s="2489"/>
      <c r="F135" s="2489"/>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153"/>
      <c r="AF135" s="74"/>
      <c r="AG135" s="153"/>
      <c r="AH135" s="153"/>
      <c r="AI135" s="153"/>
      <c r="AJ135" s="153"/>
      <c r="AK135" s="153"/>
      <c r="AL135" s="153"/>
      <c r="AM135" s="153"/>
      <c r="AN135" s="439"/>
    </row>
    <row r="136" spans="1:42" s="46" customFormat="1" ht="12.75" customHeight="1">
      <c r="A136" s="57"/>
      <c r="B136" s="173"/>
      <c r="C136" s="196"/>
      <c r="D136" s="144"/>
      <c r="E136" s="2489"/>
      <c r="F136" s="2489"/>
      <c r="G136" s="248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7"/>
      <c r="AF136" s="173"/>
      <c r="AG136" s="27"/>
      <c r="AH136" s="27"/>
      <c r="AI136" s="27"/>
      <c r="AJ136" s="27"/>
      <c r="AK136" s="153"/>
      <c r="AL136" s="153"/>
      <c r="AM136" s="153"/>
      <c r="AN136" s="439"/>
    </row>
    <row r="137" spans="1:42" s="46" customFormat="1" ht="22.9" customHeight="1">
      <c r="A137" s="28"/>
      <c r="B137" s="173"/>
      <c r="C137" s="196"/>
      <c r="D137" s="144"/>
      <c r="E137" s="2489"/>
      <c r="F137" s="2489"/>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4"/>
      <c r="G138" s="1104"/>
      <c r="H138" s="1104"/>
      <c r="I138" s="1104"/>
      <c r="J138" s="1104"/>
      <c r="K138" s="1104"/>
      <c r="L138" s="1104"/>
      <c r="M138" s="1104"/>
      <c r="N138" s="1104"/>
      <c r="O138" s="1104"/>
      <c r="P138" s="1104"/>
      <c r="Q138" s="1104"/>
      <c r="R138" s="1104"/>
      <c r="S138" s="2492" t="s">
        <v>134</v>
      </c>
      <c r="T138" s="2492"/>
      <c r="U138" s="1104"/>
      <c r="V138" s="1104"/>
      <c r="W138" s="1104"/>
      <c r="X138" s="1104"/>
      <c r="Y138" s="1104"/>
      <c r="Z138" s="1104"/>
      <c r="AA138" s="1104"/>
      <c r="AB138" s="1104"/>
      <c r="AC138" s="1104"/>
      <c r="AD138" s="1104"/>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5" t="s">
        <v>113</v>
      </c>
      <c r="AG140" s="2335"/>
      <c r="AH140" s="2335"/>
      <c r="AI140" s="2335"/>
      <c r="AJ140" s="2335"/>
      <c r="AK140" s="2335"/>
      <c r="AL140" s="2335"/>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7"/>
      <c r="AO141" s="144" t="s">
        <v>792</v>
      </c>
      <c r="AP141" s="206">
        <v>4</v>
      </c>
    </row>
    <row r="142" spans="1:42" s="46" customFormat="1" ht="12.75" customHeight="1">
      <c r="A142" s="28"/>
      <c r="B142" s="74"/>
      <c r="C142" s="77"/>
      <c r="D142" s="28" t="s">
        <v>161</v>
      </c>
      <c r="E142" s="190"/>
      <c r="F142" s="190"/>
      <c r="G142" s="190"/>
      <c r="H142" s="2344" t="s">
        <v>637</v>
      </c>
      <c r="I142" s="2344"/>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32">
        <f>VLOOKUP($H$142,$AO$116:$AP$118,2,FALSE)</f>
        <v>3</v>
      </c>
      <c r="AK144" s="2334"/>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5" t="s">
        <v>65</v>
      </c>
      <c r="AG148" s="2335"/>
      <c r="AH148" s="2335"/>
      <c r="AI148" s="2335"/>
      <c r="AJ148" s="2335"/>
      <c r="AK148" s="2335"/>
      <c r="AL148" s="2335"/>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5" t="s">
        <v>113</v>
      </c>
      <c r="AG151" s="2335"/>
      <c r="AH151" s="2335"/>
      <c r="AI151" s="2335"/>
      <c r="AJ151" s="2335"/>
      <c r="AK151" s="2335"/>
      <c r="AL151" s="2335"/>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7"/>
      <c r="AP153" s="206"/>
    </row>
    <row r="154" spans="1:42" s="46" customFormat="1" ht="12.75" customHeight="1">
      <c r="A154" s="28"/>
      <c r="B154" s="74"/>
      <c r="C154" s="77"/>
      <c r="D154" s="28" t="s">
        <v>161</v>
      </c>
      <c r="E154" s="190"/>
      <c r="F154" s="190"/>
      <c r="G154" s="190"/>
      <c r="H154" s="2344" t="s">
        <v>637</v>
      </c>
      <c r="I154" s="234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32">
        <f>VLOOKUP(H154,AT116:AU118,2,FALSE)</f>
        <v>3</v>
      </c>
      <c r="AK156" s="2334"/>
      <c r="AL156" s="25"/>
      <c r="AN156" s="1087"/>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5" t="s">
        <v>808</v>
      </c>
      <c r="F161" s="2345"/>
      <c r="G161" s="2345"/>
      <c r="H161" s="2345"/>
      <c r="I161" s="2345"/>
      <c r="J161" s="2345"/>
      <c r="K161" s="2345"/>
      <c r="L161" s="2345"/>
      <c r="M161" s="2345"/>
      <c r="N161" s="2345"/>
      <c r="O161" s="2345"/>
      <c r="P161" s="2345"/>
      <c r="Q161" s="2345"/>
      <c r="R161" s="2345"/>
      <c r="S161" s="2345"/>
      <c r="T161" s="2345"/>
      <c r="U161" s="2345"/>
      <c r="V161" s="2345"/>
      <c r="W161" s="2345"/>
      <c r="X161" s="2345"/>
      <c r="Y161" s="2345"/>
      <c r="Z161" s="2345"/>
      <c r="AA161" s="2345"/>
      <c r="AB161" s="2345"/>
      <c r="AC161" s="2345"/>
      <c r="AF161" s="2335" t="s">
        <v>63</v>
      </c>
      <c r="AG161" s="2335"/>
      <c r="AH161" s="2335"/>
      <c r="AI161" s="2335"/>
      <c r="AJ161" s="2335"/>
      <c r="AK161" s="2335"/>
      <c r="AL161" s="2335"/>
      <c r="AN161" s="439"/>
    </row>
    <row r="162" spans="1:42" s="46" customFormat="1" ht="12.75" customHeight="1">
      <c r="C162" s="48"/>
      <c r="E162" s="2345"/>
      <c r="F162" s="2345"/>
      <c r="G162" s="2345"/>
      <c r="H162" s="2345"/>
      <c r="I162" s="2345"/>
      <c r="J162" s="2345"/>
      <c r="K162" s="2345"/>
      <c r="L162" s="2345"/>
      <c r="M162" s="2345"/>
      <c r="N162" s="2345"/>
      <c r="O162" s="2345"/>
      <c r="P162" s="2345"/>
      <c r="Q162" s="2345"/>
      <c r="R162" s="2345"/>
      <c r="S162" s="2345"/>
      <c r="T162" s="2345"/>
      <c r="U162" s="2345"/>
      <c r="V162" s="2345"/>
      <c r="W162" s="2345"/>
      <c r="X162" s="2345"/>
      <c r="Y162" s="2345"/>
      <c r="Z162" s="2345"/>
      <c r="AA162" s="2345"/>
      <c r="AB162" s="2345"/>
      <c r="AC162" s="2345"/>
      <c r="AN162" s="439"/>
    </row>
    <row r="163" spans="1:42" s="46" customFormat="1" ht="12.75" customHeight="1">
      <c r="C163" s="48"/>
      <c r="D163" s="144"/>
      <c r="E163" s="2345"/>
      <c r="F163" s="2345"/>
      <c r="G163" s="2345"/>
      <c r="H163" s="2345"/>
      <c r="I163" s="2345"/>
      <c r="J163" s="2345"/>
      <c r="K163" s="2345"/>
      <c r="L163" s="2345"/>
      <c r="M163" s="2345"/>
      <c r="N163" s="2345"/>
      <c r="O163" s="2345"/>
      <c r="P163" s="2345"/>
      <c r="Q163" s="2345"/>
      <c r="R163" s="2345"/>
      <c r="S163" s="2345"/>
      <c r="T163" s="2345"/>
      <c r="U163" s="2345"/>
      <c r="V163" s="2345"/>
      <c r="W163" s="2345"/>
      <c r="X163" s="2345"/>
      <c r="Y163" s="2345"/>
      <c r="Z163" s="2345"/>
      <c r="AA163" s="2345"/>
      <c r="AB163" s="2345"/>
      <c r="AC163" s="234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45" t="s">
        <v>1876</v>
      </c>
      <c r="F165" s="2345"/>
      <c r="G165" s="2345"/>
      <c r="H165" s="2345"/>
      <c r="I165" s="2345"/>
      <c r="J165" s="2345"/>
      <c r="K165" s="2345"/>
      <c r="L165" s="2345"/>
      <c r="M165" s="2345"/>
      <c r="N165" s="2345"/>
      <c r="O165" s="2345"/>
      <c r="P165" s="2345"/>
      <c r="Q165" s="2345"/>
      <c r="R165" s="2345"/>
      <c r="S165" s="2345"/>
      <c r="T165" s="2345"/>
      <c r="U165" s="2345"/>
      <c r="V165" s="2345"/>
      <c r="W165" s="2345"/>
      <c r="X165" s="2345"/>
      <c r="Y165" s="2345"/>
      <c r="Z165" s="2345"/>
      <c r="AA165" s="2345"/>
      <c r="AB165" s="2345"/>
      <c r="AC165" s="2345"/>
      <c r="AF165" s="2335" t="s">
        <v>64</v>
      </c>
      <c r="AG165" s="2335"/>
      <c r="AH165" s="2335"/>
      <c r="AI165" s="2335"/>
      <c r="AJ165" s="2335"/>
      <c r="AK165" s="2335"/>
      <c r="AL165" s="2335"/>
      <c r="AN165" s="439"/>
    </row>
    <row r="166" spans="1:42" s="46" customFormat="1" ht="12.75" customHeight="1">
      <c r="C166" s="48"/>
      <c r="E166" s="2345"/>
      <c r="F166" s="2345"/>
      <c r="G166" s="2345"/>
      <c r="H166" s="2345"/>
      <c r="I166" s="2345"/>
      <c r="J166" s="2345"/>
      <c r="K166" s="2345"/>
      <c r="L166" s="2345"/>
      <c r="M166" s="2345"/>
      <c r="N166" s="2345"/>
      <c r="O166" s="2345"/>
      <c r="P166" s="2345"/>
      <c r="Q166" s="2345"/>
      <c r="R166" s="2345"/>
      <c r="S166" s="2345"/>
      <c r="T166" s="2345"/>
      <c r="U166" s="2345"/>
      <c r="V166" s="2345"/>
      <c r="W166" s="2345"/>
      <c r="X166" s="2345"/>
      <c r="Y166" s="2345"/>
      <c r="Z166" s="2345"/>
      <c r="AA166" s="2345"/>
      <c r="AB166" s="2345"/>
      <c r="AC166" s="2345"/>
      <c r="AN166" s="439"/>
    </row>
    <row r="167" spans="1:42" s="46" customFormat="1" ht="15" customHeight="1">
      <c r="C167" s="48"/>
      <c r="D167" s="144"/>
      <c r="E167" s="2345"/>
      <c r="F167" s="2345"/>
      <c r="G167" s="2345"/>
      <c r="H167" s="2345"/>
      <c r="I167" s="2345"/>
      <c r="J167" s="2345"/>
      <c r="K167" s="2345"/>
      <c r="L167" s="2345"/>
      <c r="M167" s="2345"/>
      <c r="N167" s="2345"/>
      <c r="O167" s="2345"/>
      <c r="P167" s="2345"/>
      <c r="Q167" s="2345"/>
      <c r="R167" s="2345"/>
      <c r="S167" s="2345"/>
      <c r="T167" s="2345"/>
      <c r="U167" s="2345"/>
      <c r="V167" s="2345"/>
      <c r="W167" s="2345"/>
      <c r="X167" s="2345"/>
      <c r="Y167" s="2345"/>
      <c r="Z167" s="2345"/>
      <c r="AA167" s="2345"/>
      <c r="AB167" s="2345"/>
      <c r="AC167" s="234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7"/>
    </row>
    <row r="169" spans="1:42" s="46" customFormat="1" ht="12.75" customHeight="1">
      <c r="C169" s="48"/>
      <c r="D169" s="144" t="s">
        <v>970</v>
      </c>
      <c r="E169" s="2345" t="s">
        <v>1877</v>
      </c>
      <c r="F169" s="2345"/>
      <c r="G169" s="2345"/>
      <c r="H169" s="2345"/>
      <c r="I169" s="2345"/>
      <c r="J169" s="2345"/>
      <c r="K169" s="2345"/>
      <c r="L169" s="2345"/>
      <c r="M169" s="2345"/>
      <c r="N169" s="2345"/>
      <c r="O169" s="2345"/>
      <c r="P169" s="2345"/>
      <c r="Q169" s="2345"/>
      <c r="R169" s="2345"/>
      <c r="S169" s="2345"/>
      <c r="T169" s="2345"/>
      <c r="U169" s="2345"/>
      <c r="V169" s="2345"/>
      <c r="W169" s="2345"/>
      <c r="X169" s="2345"/>
      <c r="Y169" s="2345"/>
      <c r="Z169" s="2345"/>
      <c r="AA169" s="2345"/>
      <c r="AB169" s="2345"/>
      <c r="AC169" s="2345"/>
      <c r="AF169" s="2335" t="s">
        <v>65</v>
      </c>
      <c r="AG169" s="2335"/>
      <c r="AH169" s="2335"/>
      <c r="AI169" s="2335"/>
      <c r="AJ169" s="2335"/>
      <c r="AK169" s="2335"/>
      <c r="AL169" s="2335"/>
      <c r="AN169" s="439"/>
    </row>
    <row r="170" spans="1:42" s="46" customFormat="1" ht="12.75" customHeight="1">
      <c r="A170" s="28"/>
      <c r="B170" s="161"/>
      <c r="C170" s="188"/>
      <c r="E170" s="2345"/>
      <c r="F170" s="2345"/>
      <c r="G170" s="2345"/>
      <c r="H170" s="2345"/>
      <c r="I170" s="2345"/>
      <c r="J170" s="2345"/>
      <c r="K170" s="2345"/>
      <c r="L170" s="2345"/>
      <c r="M170" s="2345"/>
      <c r="N170" s="2345"/>
      <c r="O170" s="2345"/>
      <c r="P170" s="2345"/>
      <c r="Q170" s="2345"/>
      <c r="R170" s="2345"/>
      <c r="S170" s="2345"/>
      <c r="T170" s="2345"/>
      <c r="U170" s="2345"/>
      <c r="V170" s="2345"/>
      <c r="W170" s="2345"/>
      <c r="X170" s="2345"/>
      <c r="Y170" s="2345"/>
      <c r="Z170" s="2345"/>
      <c r="AA170" s="2345"/>
      <c r="AB170" s="2345"/>
      <c r="AC170" s="2345"/>
      <c r="AE170" s="2335"/>
      <c r="AF170" s="2335"/>
      <c r="AG170" s="2335"/>
      <c r="AH170" s="2335"/>
      <c r="AI170" s="2335"/>
      <c r="AJ170" s="2335"/>
      <c r="AK170" s="2335"/>
      <c r="AL170" s="1251"/>
      <c r="AM170" s="153"/>
      <c r="AN170" s="439"/>
      <c r="AO170" s="46" t="s">
        <v>134</v>
      </c>
      <c r="AP170" s="730">
        <v>0</v>
      </c>
    </row>
    <row r="171" spans="1:42" s="46" customFormat="1" ht="12.75" customHeight="1">
      <c r="A171" s="195"/>
      <c r="D171" s="144"/>
      <c r="E171" s="2345"/>
      <c r="F171" s="2345"/>
      <c r="G171" s="2345"/>
      <c r="H171" s="2345"/>
      <c r="I171" s="2345"/>
      <c r="J171" s="2345"/>
      <c r="K171" s="2345"/>
      <c r="L171" s="2345"/>
      <c r="M171" s="2345"/>
      <c r="N171" s="2345"/>
      <c r="O171" s="2345"/>
      <c r="P171" s="2345"/>
      <c r="Q171" s="2345"/>
      <c r="R171" s="2345"/>
      <c r="S171" s="2345"/>
      <c r="T171" s="2345"/>
      <c r="U171" s="2345"/>
      <c r="V171" s="2345"/>
      <c r="W171" s="2345"/>
      <c r="X171" s="2345"/>
      <c r="Y171" s="2345"/>
      <c r="Z171" s="2345"/>
      <c r="AA171" s="2345"/>
      <c r="AB171" s="2345"/>
      <c r="AC171" s="2345"/>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45" t="s">
        <v>1878</v>
      </c>
      <c r="F173" s="2345"/>
      <c r="G173" s="2345"/>
      <c r="H173" s="2345"/>
      <c r="I173" s="2345"/>
      <c r="J173" s="2345"/>
      <c r="K173" s="2345"/>
      <c r="L173" s="2345"/>
      <c r="M173" s="2345"/>
      <c r="N173" s="2345"/>
      <c r="O173" s="2345"/>
      <c r="P173" s="2345"/>
      <c r="Q173" s="2345"/>
      <c r="R173" s="2345"/>
      <c r="S173" s="2345"/>
      <c r="T173" s="2345"/>
      <c r="U173" s="2345"/>
      <c r="V173" s="2345"/>
      <c r="W173" s="2345"/>
      <c r="X173" s="2345"/>
      <c r="Y173" s="2345"/>
      <c r="Z173" s="2345"/>
      <c r="AA173" s="2345"/>
      <c r="AB173" s="2345"/>
      <c r="AC173" s="2345"/>
      <c r="AF173" s="2335" t="s">
        <v>64</v>
      </c>
      <c r="AG173" s="2335"/>
      <c r="AH173" s="2335"/>
      <c r="AI173" s="2335"/>
      <c r="AJ173" s="2335"/>
      <c r="AK173" s="2335"/>
      <c r="AL173" s="2335"/>
      <c r="AN173" s="439"/>
    </row>
    <row r="174" spans="1:42" s="46" customFormat="1" ht="12.75" customHeight="1">
      <c r="A174" s="183"/>
      <c r="B174" s="161"/>
      <c r="C174" s="202"/>
      <c r="D174" s="144"/>
      <c r="E174" s="2345"/>
      <c r="F174" s="2345"/>
      <c r="G174" s="2345"/>
      <c r="H174" s="2345"/>
      <c r="I174" s="2345"/>
      <c r="J174" s="2345"/>
      <c r="K174" s="2345"/>
      <c r="L174" s="2345"/>
      <c r="M174" s="2345"/>
      <c r="N174" s="2345"/>
      <c r="O174" s="2345"/>
      <c r="P174" s="2345"/>
      <c r="Q174" s="2345"/>
      <c r="R174" s="2345"/>
      <c r="S174" s="2345"/>
      <c r="T174" s="2345"/>
      <c r="U174" s="2345"/>
      <c r="V174" s="2345"/>
      <c r="W174" s="2345"/>
      <c r="X174" s="2345"/>
      <c r="Y174" s="2345"/>
      <c r="Z174" s="2345"/>
      <c r="AA174" s="2345"/>
      <c r="AB174" s="2345"/>
      <c r="AC174" s="2345"/>
      <c r="AE174" s="179"/>
      <c r="AF174" s="179"/>
      <c r="AG174" s="179"/>
      <c r="AH174" s="179"/>
      <c r="AI174" s="179"/>
      <c r="AJ174" s="179"/>
      <c r="AK174" s="179"/>
      <c r="AL174" s="1251"/>
      <c r="AM174" s="203"/>
      <c r="AN174" s="439"/>
    </row>
    <row r="175" spans="1:42" s="46" customFormat="1" ht="12.75" customHeight="1">
      <c r="A175" s="183"/>
      <c r="B175" s="161"/>
      <c r="C175" s="202"/>
      <c r="D175" s="144"/>
      <c r="E175" s="2345"/>
      <c r="F175" s="2345"/>
      <c r="G175" s="2345"/>
      <c r="H175" s="2345"/>
      <c r="I175" s="2345"/>
      <c r="J175" s="2345"/>
      <c r="K175" s="2345"/>
      <c r="L175" s="2345"/>
      <c r="M175" s="2345"/>
      <c r="N175" s="2345"/>
      <c r="O175" s="2345"/>
      <c r="P175" s="2345"/>
      <c r="Q175" s="2345"/>
      <c r="R175" s="2345"/>
      <c r="S175" s="2345"/>
      <c r="T175" s="2345"/>
      <c r="U175" s="2345"/>
      <c r="V175" s="2345"/>
      <c r="W175" s="2345"/>
      <c r="X175" s="2345"/>
      <c r="Y175" s="2345"/>
      <c r="Z175" s="2345"/>
      <c r="AA175" s="2345"/>
      <c r="AB175" s="2345"/>
      <c r="AC175" s="2345"/>
      <c r="AE175" s="179"/>
      <c r="AF175" s="179"/>
      <c r="AG175" s="179"/>
      <c r="AH175" s="179"/>
      <c r="AI175" s="179"/>
      <c r="AJ175" s="179"/>
      <c r="AK175" s="179"/>
      <c r="AL175" s="125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1"/>
      <c r="AM176" s="203"/>
      <c r="AN176" s="439"/>
    </row>
    <row r="177" spans="1:42" s="46" customFormat="1" ht="12.75" customHeight="1">
      <c r="A177" s="28"/>
      <c r="B177" s="161"/>
      <c r="C177" s="188"/>
      <c r="D177" s="144" t="s">
        <v>793</v>
      </c>
      <c r="E177" s="2345" t="s">
        <v>1879</v>
      </c>
      <c r="F177" s="2345"/>
      <c r="G177" s="2345"/>
      <c r="H177" s="2345"/>
      <c r="I177" s="2345"/>
      <c r="J177" s="2345"/>
      <c r="K177" s="2345"/>
      <c r="L177" s="2345"/>
      <c r="M177" s="2345"/>
      <c r="N177" s="2345"/>
      <c r="O177" s="2345"/>
      <c r="P177" s="2345"/>
      <c r="Q177" s="2345"/>
      <c r="R177" s="2345"/>
      <c r="S177" s="2345"/>
      <c r="T177" s="2345"/>
      <c r="U177" s="2345"/>
      <c r="V177" s="2345"/>
      <c r="W177" s="2345"/>
      <c r="X177" s="2345"/>
      <c r="Y177" s="2345"/>
      <c r="Z177" s="2345"/>
      <c r="AA177" s="2345"/>
      <c r="AB177" s="2345"/>
      <c r="AC177" s="2345"/>
      <c r="AF177" s="2335" t="s">
        <v>65</v>
      </c>
      <c r="AG177" s="2335"/>
      <c r="AH177" s="2335"/>
      <c r="AI177" s="2335"/>
      <c r="AJ177" s="2335"/>
      <c r="AK177" s="2335"/>
      <c r="AL177" s="2335"/>
      <c r="AM177" s="203"/>
      <c r="AN177" s="439"/>
    </row>
    <row r="178" spans="1:42" s="46" customFormat="1" ht="12.75" customHeight="1">
      <c r="A178" s="28"/>
      <c r="B178" s="161"/>
      <c r="C178" s="188"/>
      <c r="D178" s="144"/>
      <c r="E178" s="2345"/>
      <c r="F178" s="2345"/>
      <c r="G178" s="2345"/>
      <c r="H178" s="2345"/>
      <c r="I178" s="2345"/>
      <c r="J178" s="2345"/>
      <c r="K178" s="2345"/>
      <c r="L178" s="2345"/>
      <c r="M178" s="2345"/>
      <c r="N178" s="2345"/>
      <c r="O178" s="2345"/>
      <c r="P178" s="2345"/>
      <c r="Q178" s="2345"/>
      <c r="R178" s="2345"/>
      <c r="S178" s="2345"/>
      <c r="T178" s="2345"/>
      <c r="U178" s="2345"/>
      <c r="V178" s="2345"/>
      <c r="W178" s="2345"/>
      <c r="X178" s="2345"/>
      <c r="Y178" s="2345"/>
      <c r="Z178" s="2345"/>
      <c r="AA178" s="2345"/>
      <c r="AB178" s="2345"/>
      <c r="AC178" s="2345"/>
      <c r="AE178" s="153"/>
      <c r="AF178" s="74"/>
      <c r="AH178" s="153"/>
      <c r="AI178" s="153"/>
      <c r="AJ178" s="153"/>
      <c r="AK178" s="153"/>
      <c r="AL178" s="153"/>
      <c r="AM178" s="203"/>
      <c r="AN178" s="439"/>
    </row>
    <row r="179" spans="1:42" s="46" customFormat="1" ht="12.75" customHeight="1">
      <c r="A179" s="28"/>
      <c r="B179" s="161"/>
      <c r="C179" s="188"/>
      <c r="D179" s="144"/>
      <c r="E179" s="2345"/>
      <c r="F179" s="2345"/>
      <c r="G179" s="2345"/>
      <c r="H179" s="2345"/>
      <c r="I179" s="2345"/>
      <c r="J179" s="2345"/>
      <c r="K179" s="2345"/>
      <c r="L179" s="2345"/>
      <c r="M179" s="2345"/>
      <c r="N179" s="2345"/>
      <c r="O179" s="2345"/>
      <c r="P179" s="2345"/>
      <c r="Q179" s="2345"/>
      <c r="R179" s="2345"/>
      <c r="S179" s="2345"/>
      <c r="T179" s="2345"/>
      <c r="U179" s="2345"/>
      <c r="V179" s="2345"/>
      <c r="W179" s="2345"/>
      <c r="X179" s="2345"/>
      <c r="Y179" s="2345"/>
      <c r="Z179" s="2345"/>
      <c r="AA179" s="2345"/>
      <c r="AB179" s="2345"/>
      <c r="AC179" s="234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7"/>
    </row>
    <row r="181" spans="1:42" s="46" customFormat="1" ht="12.75" customHeight="1">
      <c r="A181" s="195"/>
      <c r="B181" s="74"/>
      <c r="C181" s="77"/>
      <c r="D181" s="144" t="s">
        <v>306</v>
      </c>
      <c r="E181" s="2345" t="s">
        <v>1608</v>
      </c>
      <c r="F181" s="2345"/>
      <c r="G181" s="2345"/>
      <c r="H181" s="2345"/>
      <c r="I181" s="2345"/>
      <c r="J181" s="2345"/>
      <c r="K181" s="2345"/>
      <c r="L181" s="2345"/>
      <c r="M181" s="2345"/>
      <c r="N181" s="2345"/>
      <c r="O181" s="2345"/>
      <c r="P181" s="2345"/>
      <c r="Q181" s="2345"/>
      <c r="R181" s="2345"/>
      <c r="S181" s="2345"/>
      <c r="T181" s="2345"/>
      <c r="U181" s="2345"/>
      <c r="V181" s="2345"/>
      <c r="W181" s="2345"/>
      <c r="X181" s="2345"/>
      <c r="Y181" s="2345"/>
      <c r="Z181" s="2345"/>
      <c r="AA181" s="2345"/>
      <c r="AB181" s="2345"/>
      <c r="AC181" s="2345"/>
      <c r="AF181" s="2335" t="s">
        <v>113</v>
      </c>
      <c r="AG181" s="2335"/>
      <c r="AH181" s="2335"/>
      <c r="AI181" s="2335"/>
      <c r="AJ181" s="2335"/>
      <c r="AK181" s="2335"/>
      <c r="AL181" s="2335"/>
      <c r="AM181" s="203"/>
      <c r="AN181" s="439"/>
    </row>
    <row r="182" spans="1:42" s="46" customFormat="1" ht="22.9" customHeight="1">
      <c r="A182" s="195"/>
      <c r="B182" s="74"/>
      <c r="C182" s="77"/>
      <c r="D182" s="144"/>
      <c r="E182" s="2345"/>
      <c r="F182" s="2345"/>
      <c r="G182" s="2345"/>
      <c r="H182" s="2345"/>
      <c r="I182" s="2345"/>
      <c r="J182" s="2345"/>
      <c r="K182" s="2345"/>
      <c r="L182" s="2345"/>
      <c r="M182" s="2345"/>
      <c r="N182" s="2345"/>
      <c r="O182" s="2345"/>
      <c r="P182" s="2345"/>
      <c r="Q182" s="2345"/>
      <c r="R182" s="2345"/>
      <c r="S182" s="2345"/>
      <c r="T182" s="2345"/>
      <c r="U182" s="2345"/>
      <c r="V182" s="2345"/>
      <c r="W182" s="2345"/>
      <c r="X182" s="2345"/>
      <c r="Y182" s="2345"/>
      <c r="Z182" s="2345"/>
      <c r="AA182" s="2345"/>
      <c r="AB182" s="2345"/>
      <c r="AC182" s="2345"/>
      <c r="AE182" s="179"/>
      <c r="AF182" s="179"/>
      <c r="AG182" s="179"/>
      <c r="AH182" s="179"/>
      <c r="AI182" s="179"/>
      <c r="AJ182" s="179"/>
      <c r="AK182" s="179"/>
      <c r="AL182" s="125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45" t="s">
        <v>1609</v>
      </c>
      <c r="F184" s="2345"/>
      <c r="G184" s="2345"/>
      <c r="H184" s="2345"/>
      <c r="I184" s="2345"/>
      <c r="J184" s="2345"/>
      <c r="K184" s="2345"/>
      <c r="L184" s="2345"/>
      <c r="M184" s="2345"/>
      <c r="N184" s="2345"/>
      <c r="O184" s="2345"/>
      <c r="P184" s="2345"/>
      <c r="Q184" s="2345"/>
      <c r="R184" s="2345"/>
      <c r="S184" s="2345"/>
      <c r="T184" s="2345"/>
      <c r="U184" s="2345"/>
      <c r="V184" s="2345"/>
      <c r="W184" s="2345"/>
      <c r="X184" s="2345"/>
      <c r="Y184" s="2345"/>
      <c r="Z184" s="2345"/>
      <c r="AA184" s="2345"/>
      <c r="AB184" s="2345"/>
      <c r="AC184" s="2345"/>
      <c r="AF184" s="2335" t="s">
        <v>352</v>
      </c>
      <c r="AG184" s="2335"/>
      <c r="AH184" s="2335"/>
      <c r="AI184" s="2335"/>
      <c r="AJ184" s="2335"/>
      <c r="AK184" s="2335"/>
      <c r="AL184" s="2335"/>
      <c r="AM184" s="203"/>
      <c r="AN184" s="439"/>
      <c r="AO184" s="144" t="s">
        <v>637</v>
      </c>
      <c r="AP184" s="46">
        <v>3</v>
      </c>
    </row>
    <row r="185" spans="1:42" s="46" customFormat="1" ht="22.9" customHeight="1">
      <c r="A185" s="195"/>
      <c r="B185" s="74"/>
      <c r="C185" s="77"/>
      <c r="D185" s="144"/>
      <c r="E185" s="2345"/>
      <c r="F185" s="2345"/>
      <c r="G185" s="2345"/>
      <c r="H185" s="2345"/>
      <c r="I185" s="2345"/>
      <c r="J185" s="2345"/>
      <c r="K185" s="2345"/>
      <c r="L185" s="2345"/>
      <c r="M185" s="2345"/>
      <c r="N185" s="2345"/>
      <c r="O185" s="2345"/>
      <c r="P185" s="2345"/>
      <c r="Q185" s="2345"/>
      <c r="R185" s="2345"/>
      <c r="S185" s="2345"/>
      <c r="T185" s="2345"/>
      <c r="U185" s="2345"/>
      <c r="V185" s="2345"/>
      <c r="W185" s="2345"/>
      <c r="X185" s="2345"/>
      <c r="Y185" s="2345"/>
      <c r="Z185" s="2345"/>
      <c r="AA185" s="2345"/>
      <c r="AB185" s="2345"/>
      <c r="AC185" s="2345"/>
      <c r="AE185" s="179"/>
      <c r="AF185" s="179"/>
      <c r="AG185" s="179"/>
      <c r="AH185" s="179"/>
      <c r="AI185" s="179"/>
      <c r="AJ185" s="179"/>
      <c r="AK185" s="179"/>
      <c r="AL185" s="1251"/>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1"/>
      <c r="AM186" s="203"/>
      <c r="AN186" s="439"/>
    </row>
    <row r="187" spans="1:42" s="46" customFormat="1" ht="12.75" customHeight="1">
      <c r="A187" s="195"/>
      <c r="B187" s="74"/>
      <c r="C187" s="77"/>
      <c r="D187" s="28" t="s">
        <v>161</v>
      </c>
      <c r="E187" s="190"/>
      <c r="F187" s="190"/>
      <c r="G187" s="190"/>
      <c r="H187" s="2344" t="s">
        <v>792</v>
      </c>
      <c r="I187" s="234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32">
        <f>VLOOKUP($H$187,$AO$137:$AP$144,2,FALSE)</f>
        <v>4</v>
      </c>
      <c r="AK189" s="233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5" t="s">
        <v>2159</v>
      </c>
      <c r="F193" s="2345"/>
      <c r="G193" s="2345"/>
      <c r="H193" s="2345"/>
      <c r="I193" s="2345"/>
      <c r="J193" s="2345"/>
      <c r="K193" s="2345"/>
      <c r="L193" s="2345"/>
      <c r="M193" s="2345"/>
      <c r="N193" s="2345"/>
      <c r="O193" s="2345"/>
      <c r="P193" s="2345"/>
      <c r="Q193" s="2345"/>
      <c r="R193" s="2345"/>
      <c r="S193" s="2345"/>
      <c r="T193" s="2345"/>
      <c r="U193" s="2345"/>
      <c r="V193" s="2345"/>
      <c r="W193" s="2345"/>
      <c r="X193" s="2345"/>
      <c r="Y193" s="2345"/>
      <c r="Z193" s="2345"/>
      <c r="AA193" s="2345"/>
      <c r="AB193" s="2345"/>
      <c r="AC193" s="46"/>
      <c r="AD193" s="46"/>
      <c r="AF193" s="2335" t="s">
        <v>65</v>
      </c>
      <c r="AG193" s="2335"/>
      <c r="AH193" s="2335"/>
      <c r="AI193" s="2335"/>
      <c r="AJ193" s="2335"/>
      <c r="AK193" s="2335"/>
      <c r="AL193" s="2335"/>
      <c r="AM193" s="153"/>
      <c r="AN193" s="1087"/>
    </row>
    <row r="194" spans="1:42" s="137" customFormat="1" ht="12.75" customHeight="1">
      <c r="A194" s="28"/>
      <c r="B194" s="161"/>
      <c r="C194" s="196"/>
      <c r="D194" s="144"/>
      <c r="E194" s="2345"/>
      <c r="F194" s="2345"/>
      <c r="G194" s="2345"/>
      <c r="H194" s="2345"/>
      <c r="I194" s="2345"/>
      <c r="J194" s="2345"/>
      <c r="K194" s="2345"/>
      <c r="L194" s="2345"/>
      <c r="M194" s="2345"/>
      <c r="N194" s="2345"/>
      <c r="O194" s="2345"/>
      <c r="P194" s="2345"/>
      <c r="Q194" s="2345"/>
      <c r="R194" s="2345"/>
      <c r="S194" s="2345"/>
      <c r="T194" s="2345"/>
      <c r="U194" s="2345"/>
      <c r="V194" s="2345"/>
      <c r="W194" s="2345"/>
      <c r="X194" s="2345"/>
      <c r="Y194" s="2345"/>
      <c r="Z194" s="2345"/>
      <c r="AA194" s="2345"/>
      <c r="AB194" s="2345"/>
      <c r="AC194" s="46"/>
      <c r="AD194" s="46"/>
      <c r="AE194" s="27"/>
      <c r="AM194" s="153"/>
      <c r="AN194" s="1087"/>
      <c r="AO194" s="2563"/>
      <c r="AP194" s="2563"/>
    </row>
    <row r="195" spans="1:42" s="137" customFormat="1" ht="12.75" customHeight="1">
      <c r="A195" s="28"/>
      <c r="B195" s="161"/>
      <c r="C195" s="196"/>
      <c r="D195" s="144"/>
      <c r="E195" s="2345"/>
      <c r="F195" s="2345"/>
      <c r="G195" s="2345"/>
      <c r="H195" s="2345"/>
      <c r="I195" s="2345"/>
      <c r="J195" s="2345"/>
      <c r="K195" s="2345"/>
      <c r="L195" s="2345"/>
      <c r="M195" s="2345"/>
      <c r="N195" s="2345"/>
      <c r="O195" s="2345"/>
      <c r="P195" s="2345"/>
      <c r="Q195" s="2345"/>
      <c r="R195" s="2345"/>
      <c r="S195" s="2345"/>
      <c r="T195" s="2345"/>
      <c r="U195" s="2345"/>
      <c r="V195" s="2345"/>
      <c r="W195" s="2345"/>
      <c r="X195" s="2345"/>
      <c r="Y195" s="2345"/>
      <c r="Z195" s="2345"/>
      <c r="AA195" s="2345"/>
      <c r="AB195" s="2345"/>
      <c r="AC195" s="46"/>
      <c r="AD195" s="46"/>
      <c r="AE195" s="27"/>
      <c r="AF195" s="173"/>
      <c r="AG195" s="27"/>
      <c r="AH195" s="27"/>
      <c r="AI195" s="27"/>
      <c r="AJ195" s="27"/>
      <c r="AK195" s="27"/>
      <c r="AL195" s="27"/>
      <c r="AM195" s="153"/>
      <c r="AN195" s="1087"/>
    </row>
    <row r="196" spans="1:42" s="46" customFormat="1" ht="12.75" customHeight="1">
      <c r="A196" s="28"/>
      <c r="B196" s="161"/>
      <c r="C196" s="196"/>
      <c r="D196" s="144"/>
      <c r="E196" s="2345"/>
      <c r="F196" s="2345"/>
      <c r="G196" s="2345"/>
      <c r="H196" s="2345"/>
      <c r="I196" s="2345"/>
      <c r="J196" s="2345"/>
      <c r="K196" s="2345"/>
      <c r="L196" s="2345"/>
      <c r="M196" s="2345"/>
      <c r="N196" s="2345"/>
      <c r="O196" s="2345"/>
      <c r="P196" s="2345"/>
      <c r="Q196" s="2345"/>
      <c r="R196" s="2345"/>
      <c r="S196" s="2345"/>
      <c r="T196" s="2345"/>
      <c r="U196" s="2345"/>
      <c r="V196" s="2345"/>
      <c r="W196" s="2345"/>
      <c r="X196" s="2345"/>
      <c r="Y196" s="2345"/>
      <c r="Z196" s="2345"/>
      <c r="AA196" s="2345"/>
      <c r="AB196" s="2345"/>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45" t="s">
        <v>2160</v>
      </c>
      <c r="F198" s="2345"/>
      <c r="G198" s="2345"/>
      <c r="H198" s="2345"/>
      <c r="I198" s="2345"/>
      <c r="J198" s="2345"/>
      <c r="K198" s="2345"/>
      <c r="L198" s="2345"/>
      <c r="M198" s="2345"/>
      <c r="N198" s="2345"/>
      <c r="O198" s="2345"/>
      <c r="P198" s="2345"/>
      <c r="Q198" s="2345"/>
      <c r="R198" s="2345"/>
      <c r="S198" s="2345"/>
      <c r="T198" s="2345"/>
      <c r="U198" s="2345"/>
      <c r="V198" s="2345"/>
      <c r="W198" s="2345"/>
      <c r="X198" s="2345"/>
      <c r="Y198" s="2345"/>
      <c r="Z198" s="2345"/>
      <c r="AA198" s="2345"/>
      <c r="AB198" s="2345"/>
      <c r="AF198" s="2335" t="s">
        <v>113</v>
      </c>
      <c r="AG198" s="2335"/>
      <c r="AH198" s="2335"/>
      <c r="AI198" s="2335"/>
      <c r="AJ198" s="2335"/>
      <c r="AK198" s="2335"/>
      <c r="AL198" s="2335"/>
      <c r="AM198" s="153"/>
      <c r="AN198" s="439"/>
      <c r="AO198" s="144" t="s">
        <v>212</v>
      </c>
      <c r="AP198" s="46">
        <v>1</v>
      </c>
    </row>
    <row r="199" spans="1:42" s="46" customFormat="1" ht="12.75" customHeight="1">
      <c r="A199" s="153"/>
      <c r="B199" s="8"/>
      <c r="C199" s="204"/>
      <c r="E199" s="2345"/>
      <c r="F199" s="2345"/>
      <c r="G199" s="2345"/>
      <c r="H199" s="2345"/>
      <c r="I199" s="2345"/>
      <c r="J199" s="2345"/>
      <c r="K199" s="2345"/>
      <c r="L199" s="2345"/>
      <c r="M199" s="2345"/>
      <c r="N199" s="2345"/>
      <c r="O199" s="2345"/>
      <c r="P199" s="2345"/>
      <c r="Q199" s="2345"/>
      <c r="R199" s="2345"/>
      <c r="S199" s="2345"/>
      <c r="T199" s="2345"/>
      <c r="U199" s="2345"/>
      <c r="V199" s="2345"/>
      <c r="W199" s="2345"/>
      <c r="X199" s="2345"/>
      <c r="Y199" s="2345"/>
      <c r="Z199" s="2345"/>
      <c r="AA199" s="2345"/>
      <c r="AB199" s="2345"/>
      <c r="AD199" s="8"/>
      <c r="AE199" s="27"/>
      <c r="AM199" s="153"/>
      <c r="AN199" s="439"/>
    </row>
    <row r="200" spans="1:42" s="46" customFormat="1" ht="12.75" customHeight="1">
      <c r="A200" s="153"/>
      <c r="B200" s="8"/>
      <c r="C200" s="204"/>
      <c r="E200" s="2345"/>
      <c r="F200" s="2345"/>
      <c r="G200" s="2345"/>
      <c r="H200" s="2345"/>
      <c r="I200" s="2345"/>
      <c r="J200" s="2345"/>
      <c r="K200" s="2345"/>
      <c r="L200" s="2345"/>
      <c r="M200" s="2345"/>
      <c r="N200" s="2345"/>
      <c r="O200" s="2345"/>
      <c r="P200" s="2345"/>
      <c r="Q200" s="2345"/>
      <c r="R200" s="2345"/>
      <c r="S200" s="2345"/>
      <c r="T200" s="2345"/>
      <c r="U200" s="2345"/>
      <c r="V200" s="2345"/>
      <c r="W200" s="2345"/>
      <c r="X200" s="2345"/>
      <c r="Y200" s="2345"/>
      <c r="Z200" s="2345"/>
      <c r="AA200" s="2345"/>
      <c r="AB200" s="2345"/>
      <c r="AD200" s="8"/>
      <c r="AE200" s="27"/>
      <c r="AM200" s="153"/>
      <c r="AN200" s="439"/>
    </row>
    <row r="201" spans="1:42" s="16" customFormat="1" ht="12.75" customHeight="1">
      <c r="A201" s="153"/>
      <c r="B201" s="8"/>
      <c r="C201" s="204"/>
      <c r="D201" s="46"/>
      <c r="E201" s="2345"/>
      <c r="F201" s="2345"/>
      <c r="G201" s="2345"/>
      <c r="H201" s="2345"/>
      <c r="I201" s="2345"/>
      <c r="J201" s="2345"/>
      <c r="K201" s="2345"/>
      <c r="L201" s="2345"/>
      <c r="M201" s="2345"/>
      <c r="N201" s="2345"/>
      <c r="O201" s="2345"/>
      <c r="P201" s="2345"/>
      <c r="Q201" s="2345"/>
      <c r="R201" s="2345"/>
      <c r="S201" s="2345"/>
      <c r="T201" s="2345"/>
      <c r="U201" s="2345"/>
      <c r="V201" s="2345"/>
      <c r="W201" s="2345"/>
      <c r="X201" s="2345"/>
      <c r="Y201" s="2345"/>
      <c r="Z201" s="2345"/>
      <c r="AA201" s="2345"/>
      <c r="AB201" s="234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7"/>
      <c r="F202" s="1337"/>
      <c r="G202" s="1337"/>
      <c r="H202" s="1337"/>
      <c r="I202" s="1337"/>
      <c r="J202" s="1337"/>
      <c r="K202" s="1337"/>
      <c r="L202" s="1337"/>
      <c r="M202" s="1337"/>
      <c r="N202" s="1337"/>
      <c r="O202" s="1337"/>
      <c r="P202" s="1337"/>
      <c r="Q202" s="1337"/>
      <c r="R202" s="1337"/>
      <c r="S202" s="1337"/>
      <c r="T202" s="1337"/>
      <c r="U202" s="1337"/>
      <c r="V202" s="1337"/>
      <c r="W202" s="1337"/>
      <c r="X202" s="1337"/>
      <c r="Y202" s="1337"/>
      <c r="Z202" s="1337"/>
      <c r="AA202" s="1337"/>
      <c r="AB202" s="133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7" t="s">
        <v>2161</v>
      </c>
      <c r="F203" s="2307"/>
      <c r="G203" s="2307"/>
      <c r="H203" s="2307"/>
      <c r="I203" s="2307"/>
      <c r="J203" s="2307"/>
      <c r="K203" s="2307"/>
      <c r="L203" s="2307"/>
      <c r="M203" s="2307"/>
      <c r="N203" s="2307"/>
      <c r="O203" s="2307"/>
      <c r="P203" s="2307"/>
      <c r="Q203" s="2307"/>
      <c r="R203" s="2307"/>
      <c r="S203" s="2307"/>
      <c r="T203" s="2307"/>
      <c r="U203" s="2307"/>
      <c r="V203" s="2307"/>
      <c r="W203" s="2307"/>
      <c r="X203" s="2307"/>
      <c r="Y203" s="2307"/>
      <c r="Z203" s="2307"/>
      <c r="AA203" s="2307"/>
      <c r="AB203" s="230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7"/>
      <c r="F205" s="2307"/>
      <c r="G205" s="2307"/>
      <c r="H205" s="2307"/>
      <c r="I205" s="2307"/>
      <c r="J205" s="2307"/>
      <c r="K205" s="2307"/>
      <c r="L205" s="2307"/>
      <c r="M205" s="2307"/>
      <c r="N205" s="2307"/>
      <c r="O205" s="2307"/>
      <c r="P205" s="2307"/>
      <c r="Q205" s="2307"/>
      <c r="R205" s="2307"/>
      <c r="S205" s="2307"/>
      <c r="T205" s="2307"/>
      <c r="U205" s="2307"/>
      <c r="V205" s="2307"/>
      <c r="W205" s="2307"/>
      <c r="X205" s="2307"/>
      <c r="Y205" s="2307"/>
      <c r="Z205" s="2307"/>
      <c r="AA205" s="2307"/>
      <c r="AB205" s="2307"/>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44" t="s">
        <v>134</v>
      </c>
      <c r="I206" s="234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32">
        <f>VLOOKUP($H$206,$AO$156:$AP$158,2,FALSE)</f>
        <v>0</v>
      </c>
      <c r="AK208" s="2334"/>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93" t="s">
        <v>1355</v>
      </c>
      <c r="F212" s="2493"/>
      <c r="G212" s="2493"/>
      <c r="H212" s="2493"/>
      <c r="I212" s="2493"/>
      <c r="J212" s="2493"/>
      <c r="K212" s="2493"/>
      <c r="L212" s="2493"/>
      <c r="M212" s="2493"/>
      <c r="N212" s="2493"/>
      <c r="O212" s="2493"/>
      <c r="P212" s="2493"/>
      <c r="Q212" s="2493"/>
      <c r="R212" s="2493"/>
      <c r="S212" s="2493"/>
      <c r="T212" s="2493"/>
      <c r="U212" s="2493"/>
      <c r="V212" s="2493"/>
      <c r="W212" s="2493"/>
      <c r="X212" s="2493"/>
      <c r="Y212" s="2493"/>
      <c r="Z212" s="2493"/>
      <c r="AA212" s="2493"/>
      <c r="AB212" s="2493"/>
      <c r="AC212" s="46"/>
      <c r="AD212" s="46"/>
      <c r="AF212" s="2335" t="s">
        <v>65</v>
      </c>
      <c r="AG212" s="2335"/>
      <c r="AH212" s="2335"/>
      <c r="AI212" s="2335"/>
      <c r="AJ212" s="2335"/>
      <c r="AK212" s="2335"/>
      <c r="AL212" s="2335"/>
      <c r="AM212" s="153"/>
      <c r="AN212" s="317"/>
      <c r="AP212" s="50" t="s">
        <v>108</v>
      </c>
    </row>
    <row r="213" spans="1:52" s="16" customFormat="1" ht="11.85" customHeight="1">
      <c r="A213" s="28"/>
      <c r="B213" s="161"/>
      <c r="C213" s="187"/>
      <c r="D213" s="144"/>
      <c r="E213" s="2493"/>
      <c r="F213" s="2493"/>
      <c r="G213" s="2493"/>
      <c r="H213" s="2493"/>
      <c r="I213" s="2493"/>
      <c r="J213" s="2493"/>
      <c r="K213" s="2493"/>
      <c r="L213" s="2493"/>
      <c r="M213" s="2493"/>
      <c r="N213" s="2493"/>
      <c r="O213" s="2493"/>
      <c r="P213" s="2493"/>
      <c r="Q213" s="2493"/>
      <c r="R213" s="2493"/>
      <c r="S213" s="2493"/>
      <c r="T213" s="2493"/>
      <c r="U213" s="2493"/>
      <c r="V213" s="2493"/>
      <c r="W213" s="2493"/>
      <c r="X213" s="2493"/>
      <c r="Y213" s="2493"/>
      <c r="Z213" s="2493"/>
      <c r="AA213" s="2493"/>
      <c r="AB213" s="2493"/>
      <c r="AC213" s="46"/>
      <c r="AD213" s="46"/>
      <c r="AE213" s="28"/>
      <c r="AM213" s="153"/>
      <c r="AN213" s="317"/>
      <c r="AP213" s="50" t="s">
        <v>105</v>
      </c>
    </row>
    <row r="214" spans="1:52" s="16" customFormat="1" ht="13.9" customHeight="1">
      <c r="A214" s="28"/>
      <c r="B214" s="148"/>
      <c r="C214" s="188"/>
      <c r="D214" s="144"/>
      <c r="E214" s="2493"/>
      <c r="F214" s="2493"/>
      <c r="G214" s="2493"/>
      <c r="H214" s="2493"/>
      <c r="I214" s="2493"/>
      <c r="J214" s="2493"/>
      <c r="K214" s="2493"/>
      <c r="L214" s="2493"/>
      <c r="M214" s="2493"/>
      <c r="N214" s="2493"/>
      <c r="O214" s="2493"/>
      <c r="P214" s="2493"/>
      <c r="Q214" s="2493"/>
      <c r="R214" s="2493"/>
      <c r="S214" s="2493"/>
      <c r="T214" s="2493"/>
      <c r="U214" s="2493"/>
      <c r="V214" s="2493"/>
      <c r="W214" s="2493"/>
      <c r="X214" s="2493"/>
      <c r="Y214" s="2493"/>
      <c r="Z214" s="2493"/>
      <c r="AA214" s="2493"/>
      <c r="AB214" s="2493"/>
      <c r="AC214" s="46"/>
      <c r="AD214" s="46"/>
      <c r="AE214" s="27"/>
      <c r="AM214" s="153"/>
      <c r="AN214" s="317"/>
      <c r="AP214" s="50" t="s">
        <v>106</v>
      </c>
    </row>
    <row r="215" spans="1:52" s="16" customFormat="1" ht="13.9" customHeight="1">
      <c r="A215" s="28"/>
      <c r="B215" s="74"/>
      <c r="C215" s="77"/>
      <c r="D215" s="144" t="s">
        <v>212</v>
      </c>
      <c r="E215" s="2352" t="s">
        <v>1356</v>
      </c>
      <c r="F215" s="2352"/>
      <c r="G215" s="2352"/>
      <c r="H215" s="2352"/>
      <c r="I215" s="2352"/>
      <c r="J215" s="2352"/>
      <c r="K215" s="2352"/>
      <c r="L215" s="2352"/>
      <c r="M215" s="2352"/>
      <c r="N215" s="2352"/>
      <c r="O215" s="2352"/>
      <c r="P215" s="2352"/>
      <c r="Q215" s="2352"/>
      <c r="R215" s="2352"/>
      <c r="S215" s="2352"/>
      <c r="T215" s="2352"/>
      <c r="U215" s="2352"/>
      <c r="V215" s="2352"/>
      <c r="W215" s="2352"/>
      <c r="X215" s="2352"/>
      <c r="Y215" s="2352"/>
      <c r="Z215" s="2352"/>
      <c r="AA215" s="2352"/>
      <c r="AB215" s="2352"/>
      <c r="AC215" s="46"/>
      <c r="AD215" s="46"/>
      <c r="AF215" s="2335" t="s">
        <v>113</v>
      </c>
      <c r="AG215" s="2335"/>
      <c r="AH215" s="2335"/>
      <c r="AI215" s="2335"/>
      <c r="AJ215" s="2335"/>
      <c r="AK215" s="2335"/>
      <c r="AL215" s="2335"/>
      <c r="AM215" s="153"/>
      <c r="AN215" s="1089"/>
      <c r="AP215" s="482" t="s">
        <v>385</v>
      </c>
    </row>
    <row r="216" spans="1:52" s="16" customFormat="1" ht="12.75" customHeight="1">
      <c r="A216" s="28"/>
      <c r="B216" s="161"/>
      <c r="C216" s="187"/>
      <c r="D216" s="28"/>
      <c r="E216" s="2352"/>
      <c r="F216" s="2352"/>
      <c r="G216" s="2352"/>
      <c r="H216" s="2352"/>
      <c r="I216" s="2352"/>
      <c r="J216" s="2352"/>
      <c r="K216" s="2352"/>
      <c r="L216" s="2352"/>
      <c r="M216" s="2352"/>
      <c r="N216" s="2352"/>
      <c r="O216" s="2352"/>
      <c r="P216" s="2352"/>
      <c r="Q216" s="2352"/>
      <c r="R216" s="2352"/>
      <c r="S216" s="2352"/>
      <c r="T216" s="2352"/>
      <c r="U216" s="2352"/>
      <c r="V216" s="2352"/>
      <c r="W216" s="2352"/>
      <c r="X216" s="2352"/>
      <c r="Y216" s="2352"/>
      <c r="Z216" s="2352"/>
      <c r="AA216" s="2352"/>
      <c r="AB216" s="2352"/>
      <c r="AC216" s="28"/>
      <c r="AD216" s="161"/>
      <c r="AE216" s="28"/>
      <c r="AF216" s="28"/>
      <c r="AG216" s="28"/>
      <c r="AH216" s="28"/>
      <c r="AI216" s="28"/>
      <c r="AJ216" s="46"/>
      <c r="AK216" s="153"/>
      <c r="AL216" s="153"/>
      <c r="AM216" s="153"/>
      <c r="AN216" s="317"/>
      <c r="AP216" s="46" t="s">
        <v>134</v>
      </c>
      <c r="AQ216" s="730">
        <v>0</v>
      </c>
    </row>
    <row r="217" spans="1:52" s="16" customFormat="1" ht="13.9" customHeight="1">
      <c r="A217" s="28"/>
      <c r="B217" s="161"/>
      <c r="C217" s="187"/>
      <c r="D217" s="28"/>
      <c r="E217" s="2352"/>
      <c r="F217" s="2352"/>
      <c r="G217" s="2352"/>
      <c r="H217" s="2352"/>
      <c r="I217" s="2352"/>
      <c r="J217" s="2352"/>
      <c r="K217" s="2352"/>
      <c r="L217" s="2352"/>
      <c r="M217" s="2352"/>
      <c r="N217" s="2352"/>
      <c r="O217" s="2352"/>
      <c r="P217" s="2352"/>
      <c r="Q217" s="2352"/>
      <c r="R217" s="2352"/>
      <c r="S217" s="2352"/>
      <c r="T217" s="2352"/>
      <c r="U217" s="2352"/>
      <c r="V217" s="2352"/>
      <c r="W217" s="2352"/>
      <c r="X217" s="2352"/>
      <c r="Y217" s="2352"/>
      <c r="Z217" s="2352"/>
      <c r="AA217" s="2352"/>
      <c r="AB217" s="2352"/>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161</v>
      </c>
      <c r="E218" s="190"/>
      <c r="F218" s="190"/>
      <c r="G218" s="190"/>
      <c r="H218" s="2344" t="s">
        <v>134</v>
      </c>
      <c r="I218" s="234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32">
        <f>VLOOKUP($H$218,$AO$156:$AP$158,2,FALSE)</f>
        <v>0</v>
      </c>
      <c r="AK220" s="2334"/>
      <c r="AL220" s="25"/>
      <c r="AM220" s="137"/>
      <c r="AN220" s="1090"/>
      <c r="AP220" s="2332"/>
      <c r="AQ220" s="233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5" t="s">
        <v>1626</v>
      </c>
      <c r="F224" s="2345"/>
      <c r="G224" s="2345"/>
      <c r="H224" s="2345"/>
      <c r="I224" s="2345"/>
      <c r="J224" s="2345"/>
      <c r="K224" s="2345"/>
      <c r="L224" s="2345"/>
      <c r="M224" s="2345"/>
      <c r="N224" s="2345"/>
      <c r="O224" s="2345"/>
      <c r="P224" s="2345"/>
      <c r="Q224" s="2345"/>
      <c r="R224" s="2345"/>
      <c r="S224" s="2345"/>
      <c r="T224" s="2345"/>
      <c r="U224" s="2345"/>
      <c r="V224" s="2345"/>
      <c r="W224" s="2345"/>
      <c r="X224" s="2345"/>
      <c r="Y224" s="2345"/>
      <c r="Z224" s="2345"/>
      <c r="AA224" s="2345"/>
      <c r="AB224" s="2345"/>
      <c r="AC224" s="46"/>
      <c r="AD224" s="46"/>
      <c r="AF224" s="2335" t="s">
        <v>65</v>
      </c>
      <c r="AG224" s="2335"/>
      <c r="AH224" s="2335"/>
      <c r="AI224" s="2335"/>
      <c r="AJ224" s="2335"/>
      <c r="AK224" s="2335"/>
      <c r="AL224" s="2335"/>
      <c r="AM224" s="153"/>
      <c r="AN224" s="317"/>
      <c r="AT224" s="65"/>
      <c r="AU224" s="65"/>
      <c r="AV224" s="65"/>
      <c r="AW224" s="65"/>
      <c r="AX224" s="65"/>
      <c r="AY224" s="65"/>
      <c r="AZ224" s="65"/>
    </row>
    <row r="225" spans="1:82" s="16" customFormat="1">
      <c r="A225" s="28"/>
      <c r="B225" s="161"/>
      <c r="C225" s="187"/>
      <c r="D225" s="144"/>
      <c r="E225" s="2345"/>
      <c r="F225" s="2345"/>
      <c r="G225" s="2345"/>
      <c r="H225" s="2345"/>
      <c r="I225" s="2345"/>
      <c r="J225" s="2345"/>
      <c r="K225" s="2345"/>
      <c r="L225" s="2345"/>
      <c r="M225" s="2345"/>
      <c r="N225" s="2345"/>
      <c r="O225" s="2345"/>
      <c r="P225" s="2345"/>
      <c r="Q225" s="2345"/>
      <c r="R225" s="2345"/>
      <c r="S225" s="2345"/>
      <c r="T225" s="2345"/>
      <c r="U225" s="2345"/>
      <c r="V225" s="2345"/>
      <c r="W225" s="2345"/>
      <c r="X225" s="2345"/>
      <c r="Y225" s="2345"/>
      <c r="Z225" s="2345"/>
      <c r="AA225" s="2345"/>
      <c r="AB225" s="234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45" t="s">
        <v>959</v>
      </c>
      <c r="F227" s="2345"/>
      <c r="G227" s="2345"/>
      <c r="H227" s="2345"/>
      <c r="I227" s="2345"/>
      <c r="J227" s="2345"/>
      <c r="K227" s="2345"/>
      <c r="L227" s="2345"/>
      <c r="M227" s="2345"/>
      <c r="N227" s="2345"/>
      <c r="O227" s="2345"/>
      <c r="P227" s="2345"/>
      <c r="Q227" s="2345"/>
      <c r="R227" s="2345"/>
      <c r="S227" s="2345"/>
      <c r="T227" s="2345"/>
      <c r="U227" s="2345"/>
      <c r="V227" s="2345"/>
      <c r="W227" s="2345"/>
      <c r="X227" s="2345"/>
      <c r="Y227" s="2345"/>
      <c r="Z227" s="2345"/>
      <c r="AA227" s="2345"/>
      <c r="AB227" s="2345"/>
      <c r="AC227" s="46"/>
      <c r="AD227" s="46"/>
      <c r="AF227" s="2335" t="s">
        <v>113</v>
      </c>
      <c r="AG227" s="2335"/>
      <c r="AH227" s="2335"/>
      <c r="AI227" s="2335"/>
      <c r="AJ227" s="2335"/>
      <c r="AK227" s="2335"/>
      <c r="AL227" s="2335"/>
      <c r="AM227" s="153"/>
      <c r="AN227" s="317"/>
      <c r="AT227" s="65"/>
      <c r="AU227" s="65"/>
      <c r="AV227" s="65"/>
      <c r="AW227" s="65"/>
      <c r="AX227" s="65"/>
      <c r="AY227" s="65"/>
      <c r="AZ227" s="65"/>
    </row>
    <row r="228" spans="1:82" s="16" customFormat="1">
      <c r="A228" s="28"/>
      <c r="B228" s="161"/>
      <c r="C228" s="187"/>
      <c r="D228" s="28"/>
      <c r="E228" s="2345"/>
      <c r="F228" s="2345"/>
      <c r="G228" s="2345"/>
      <c r="H228" s="2345"/>
      <c r="I228" s="2345"/>
      <c r="J228" s="2345"/>
      <c r="K228" s="2345"/>
      <c r="L228" s="2345"/>
      <c r="M228" s="2345"/>
      <c r="N228" s="2345"/>
      <c r="O228" s="2345"/>
      <c r="P228" s="2345"/>
      <c r="Q228" s="2345"/>
      <c r="R228" s="2345"/>
      <c r="S228" s="2345"/>
      <c r="T228" s="2345"/>
      <c r="U228" s="2345"/>
      <c r="V228" s="2345"/>
      <c r="W228" s="2345"/>
      <c r="X228" s="2345"/>
      <c r="Y228" s="2345"/>
      <c r="Z228" s="2345"/>
      <c r="AA228" s="2345"/>
      <c r="AB228" s="234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44" t="s">
        <v>134</v>
      </c>
      <c r="I230" s="234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32">
        <f>VLOOKUP($H$230,$AO$170:$AP$172,2,FALSE)</f>
        <v>0</v>
      </c>
      <c r="AK232" s="233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5" t="s">
        <v>1213</v>
      </c>
      <c r="F236" s="2345"/>
      <c r="G236" s="2345"/>
      <c r="H236" s="2345"/>
      <c r="I236" s="2345"/>
      <c r="J236" s="2345"/>
      <c r="K236" s="2345"/>
      <c r="L236" s="2345"/>
      <c r="M236" s="2345"/>
      <c r="N236" s="2345"/>
      <c r="O236" s="2345"/>
      <c r="P236" s="2345"/>
      <c r="Q236" s="2345"/>
      <c r="R236" s="2345"/>
      <c r="S236" s="2345"/>
      <c r="T236" s="2345"/>
      <c r="U236" s="2345"/>
      <c r="V236" s="2345"/>
      <c r="W236" s="2345"/>
      <c r="X236" s="2345"/>
      <c r="Y236" s="2345"/>
      <c r="Z236" s="2345"/>
      <c r="AA236" s="2345"/>
      <c r="AB236" s="2345"/>
      <c r="AC236" s="46"/>
      <c r="AD236" s="46"/>
      <c r="AF236" s="2335" t="s">
        <v>65</v>
      </c>
      <c r="AG236" s="2335"/>
      <c r="AH236" s="2335"/>
      <c r="AI236" s="2335"/>
      <c r="AJ236" s="2335"/>
      <c r="AK236" s="2335"/>
      <c r="AL236" s="2335"/>
      <c r="AM236" s="153"/>
      <c r="AN236" s="317"/>
      <c r="AT236" s="65"/>
      <c r="AU236" s="65"/>
      <c r="AV236" s="65"/>
      <c r="AW236" s="65"/>
      <c r="AX236" s="65"/>
      <c r="AY236" s="65"/>
      <c r="AZ236" s="65"/>
    </row>
    <row r="237" spans="1:82" s="16" customFormat="1">
      <c r="A237" s="28"/>
      <c r="B237" s="161"/>
      <c r="C237" s="187"/>
      <c r="D237" s="144"/>
      <c r="E237" s="2345"/>
      <c r="F237" s="2345"/>
      <c r="G237" s="2345"/>
      <c r="H237" s="2345"/>
      <c r="I237" s="2345"/>
      <c r="J237" s="2345"/>
      <c r="K237" s="2345"/>
      <c r="L237" s="2345"/>
      <c r="M237" s="2345"/>
      <c r="N237" s="2345"/>
      <c r="O237" s="2345"/>
      <c r="P237" s="2345"/>
      <c r="Q237" s="2345"/>
      <c r="R237" s="2345"/>
      <c r="S237" s="2345"/>
      <c r="T237" s="2345"/>
      <c r="U237" s="2345"/>
      <c r="V237" s="2345"/>
      <c r="W237" s="2345"/>
      <c r="X237" s="2345"/>
      <c r="Y237" s="2345"/>
      <c r="Z237" s="2345"/>
      <c r="AA237" s="2345"/>
      <c r="AB237" s="2345"/>
      <c r="AC237" s="46"/>
      <c r="AD237" s="46"/>
      <c r="AL237" s="153"/>
      <c r="AM237" s="153"/>
      <c r="AN237" s="317"/>
    </row>
    <row r="238" spans="1:82" s="50" customFormat="1" ht="12.75" customHeight="1">
      <c r="A238" s="28"/>
      <c r="B238" s="161"/>
      <c r="C238" s="187"/>
      <c r="D238" s="144"/>
      <c r="E238" s="2345"/>
      <c r="F238" s="2345"/>
      <c r="G238" s="2345"/>
      <c r="H238" s="2345"/>
      <c r="I238" s="2345"/>
      <c r="J238" s="2345"/>
      <c r="K238" s="2345"/>
      <c r="L238" s="2345"/>
      <c r="M238" s="2345"/>
      <c r="N238" s="2345"/>
      <c r="O238" s="2345"/>
      <c r="P238" s="2345"/>
      <c r="Q238" s="2345"/>
      <c r="R238" s="2345"/>
      <c r="S238" s="2345"/>
      <c r="T238" s="2345"/>
      <c r="U238" s="2345"/>
      <c r="V238" s="2345"/>
      <c r="W238" s="2345"/>
      <c r="X238" s="2345"/>
      <c r="Y238" s="2345"/>
      <c r="Z238" s="2345"/>
      <c r="AA238" s="2345"/>
      <c r="AB238" s="2345"/>
      <c r="AC238" s="46"/>
      <c r="AD238" s="46"/>
      <c r="AE238" s="28"/>
      <c r="AF238" s="161"/>
      <c r="AG238" s="153"/>
      <c r="AH238" s="153"/>
      <c r="AI238" s="153"/>
      <c r="AJ238" s="153"/>
      <c r="AK238" s="153"/>
      <c r="AL238" s="153"/>
      <c r="AM238" s="153"/>
      <c r="AN238" s="1091"/>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45" t="s">
        <v>1214</v>
      </c>
      <c r="F240" s="2345"/>
      <c r="G240" s="2345"/>
      <c r="H240" s="2345"/>
      <c r="I240" s="2345"/>
      <c r="J240" s="2345"/>
      <c r="K240" s="2345"/>
      <c r="L240" s="2345"/>
      <c r="M240" s="2345"/>
      <c r="N240" s="2345"/>
      <c r="O240" s="2345"/>
      <c r="P240" s="2345"/>
      <c r="Q240" s="2345"/>
      <c r="R240" s="2345"/>
      <c r="S240" s="2345"/>
      <c r="T240" s="2345"/>
      <c r="U240" s="2345"/>
      <c r="V240" s="2345"/>
      <c r="W240" s="2345"/>
      <c r="X240" s="2345"/>
      <c r="Y240" s="2345"/>
      <c r="Z240" s="2345"/>
      <c r="AA240" s="2345"/>
      <c r="AB240" s="522"/>
      <c r="AC240" s="46"/>
      <c r="AD240" s="46"/>
      <c r="AF240" s="2335" t="s">
        <v>113</v>
      </c>
      <c r="AG240" s="2335"/>
      <c r="AH240" s="2335"/>
      <c r="AI240" s="2335"/>
      <c r="AJ240" s="2335"/>
      <c r="AK240" s="2335"/>
      <c r="AL240" s="2335"/>
      <c r="AM240" s="153"/>
      <c r="AN240" s="317"/>
      <c r="AO240" s="132"/>
      <c r="AP240" s="65"/>
    </row>
    <row r="241" spans="1:74" s="16" customFormat="1">
      <c r="A241" s="28"/>
      <c r="B241" s="74"/>
      <c r="C241" s="77"/>
      <c r="D241" s="28"/>
      <c r="E241" s="2345"/>
      <c r="F241" s="2345"/>
      <c r="G241" s="2345"/>
      <c r="H241" s="2345"/>
      <c r="I241" s="2345"/>
      <c r="J241" s="2345"/>
      <c r="K241" s="2345"/>
      <c r="L241" s="2345"/>
      <c r="M241" s="2345"/>
      <c r="N241" s="2345"/>
      <c r="O241" s="2345"/>
      <c r="P241" s="2345"/>
      <c r="Q241" s="2345"/>
      <c r="R241" s="2345"/>
      <c r="S241" s="2345"/>
      <c r="T241" s="2345"/>
      <c r="U241" s="2345"/>
      <c r="V241" s="2345"/>
      <c r="W241" s="2345"/>
      <c r="X241" s="2345"/>
      <c r="Y241" s="2345"/>
      <c r="Z241" s="2345"/>
      <c r="AA241" s="234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5"/>
      <c r="F242" s="2345"/>
      <c r="G242" s="2345"/>
      <c r="H242" s="2345"/>
      <c r="I242" s="2345"/>
      <c r="J242" s="2345"/>
      <c r="K242" s="2345"/>
      <c r="L242" s="2345"/>
      <c r="M242" s="2345"/>
      <c r="N242" s="2345"/>
      <c r="O242" s="2345"/>
      <c r="P242" s="2345"/>
      <c r="Q242" s="2345"/>
      <c r="R242" s="2345"/>
      <c r="S242" s="2345"/>
      <c r="T242" s="2345"/>
      <c r="U242" s="2345"/>
      <c r="V242" s="2345"/>
      <c r="W242" s="2345"/>
      <c r="X242" s="2345"/>
      <c r="Y242" s="2345"/>
      <c r="Z242" s="2345"/>
      <c r="AA242" s="234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44" t="s">
        <v>134</v>
      </c>
      <c r="I244" s="234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32">
        <f>VLOOKUP($H$244,$AO$183:$AP$185,2,FALSE)</f>
        <v>0</v>
      </c>
      <c r="AK246" s="2334"/>
      <c r="AL246" s="25"/>
      <c r="AM246" s="137"/>
      <c r="AN246" s="108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5" t="s">
        <v>351</v>
      </c>
      <c r="F250" s="2345"/>
      <c r="G250" s="2345"/>
      <c r="H250" s="2345"/>
      <c r="I250" s="2345"/>
      <c r="J250" s="2345"/>
      <c r="K250" s="2345"/>
      <c r="L250" s="2345"/>
      <c r="M250" s="2345"/>
      <c r="N250" s="2345"/>
      <c r="O250" s="2345"/>
      <c r="P250" s="2345"/>
      <c r="Q250" s="2345"/>
      <c r="R250" s="2345"/>
      <c r="S250" s="2345"/>
      <c r="T250" s="2345"/>
      <c r="U250" s="2345"/>
      <c r="V250" s="2345"/>
      <c r="W250" s="2345"/>
      <c r="X250" s="2345"/>
      <c r="Y250" s="2345"/>
      <c r="Z250" s="2345"/>
      <c r="AA250" s="2345"/>
      <c r="AB250" s="2345"/>
      <c r="AC250" s="46"/>
      <c r="AD250" s="46"/>
      <c r="AF250" s="2335" t="s">
        <v>113</v>
      </c>
      <c r="AG250" s="2335"/>
      <c r="AH250" s="2335"/>
      <c r="AI250" s="2335"/>
      <c r="AJ250" s="2335"/>
      <c r="AK250" s="2335"/>
      <c r="AL250" s="2335"/>
      <c r="AM250" s="153"/>
      <c r="AN250" s="108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5"/>
      <c r="F251" s="2345"/>
      <c r="G251" s="2345"/>
      <c r="H251" s="2345"/>
      <c r="I251" s="2345"/>
      <c r="J251" s="2345"/>
      <c r="K251" s="2345"/>
      <c r="L251" s="2345"/>
      <c r="M251" s="2345"/>
      <c r="N251" s="2345"/>
      <c r="O251" s="2345"/>
      <c r="P251" s="2345"/>
      <c r="Q251" s="2345"/>
      <c r="R251" s="2345"/>
      <c r="S251" s="2345"/>
      <c r="T251" s="2345"/>
      <c r="U251" s="2345"/>
      <c r="V251" s="2345"/>
      <c r="W251" s="2345"/>
      <c r="X251" s="2345"/>
      <c r="Y251" s="2345"/>
      <c r="Z251" s="2345"/>
      <c r="AA251" s="2345"/>
      <c r="AB251" s="2345"/>
      <c r="AC251" s="46"/>
      <c r="AD251" s="46"/>
      <c r="AL251" s="153"/>
      <c r="AM251" s="153"/>
      <c r="AN251" s="108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45" t="s">
        <v>1357</v>
      </c>
      <c r="F253" s="2345"/>
      <c r="G253" s="2345"/>
      <c r="H253" s="2345"/>
      <c r="I253" s="2345"/>
      <c r="J253" s="2345"/>
      <c r="K253" s="2345"/>
      <c r="L253" s="2345"/>
      <c r="M253" s="2345"/>
      <c r="N253" s="2345"/>
      <c r="O253" s="2345"/>
      <c r="P253" s="2345"/>
      <c r="Q253" s="2345"/>
      <c r="R253" s="2345"/>
      <c r="S253" s="2345"/>
      <c r="T253" s="2345"/>
      <c r="U253" s="2345"/>
      <c r="V253" s="2345"/>
      <c r="W253" s="2345"/>
      <c r="X253" s="2345"/>
      <c r="Y253" s="2345"/>
      <c r="Z253" s="2345"/>
      <c r="AA253" s="2345"/>
      <c r="AB253" s="2345"/>
      <c r="AC253" s="46"/>
      <c r="AD253" s="46"/>
      <c r="AF253" s="2335" t="s">
        <v>352</v>
      </c>
      <c r="AG253" s="2335"/>
      <c r="AH253" s="2335"/>
      <c r="AI253" s="2335"/>
      <c r="AJ253" s="2335"/>
      <c r="AK253" s="2335"/>
      <c r="AL253" s="2335"/>
      <c r="AM253" s="153"/>
      <c r="AN253" s="108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5"/>
      <c r="F254" s="2345"/>
      <c r="G254" s="2345"/>
      <c r="H254" s="2345"/>
      <c r="I254" s="2345"/>
      <c r="J254" s="2345"/>
      <c r="K254" s="2345"/>
      <c r="L254" s="2345"/>
      <c r="M254" s="2345"/>
      <c r="N254" s="2345"/>
      <c r="O254" s="2345"/>
      <c r="P254" s="2345"/>
      <c r="Q254" s="2345"/>
      <c r="R254" s="2345"/>
      <c r="S254" s="2345"/>
      <c r="T254" s="2345"/>
      <c r="U254" s="2345"/>
      <c r="V254" s="2345"/>
      <c r="W254" s="2345"/>
      <c r="X254" s="2345"/>
      <c r="Y254" s="2345"/>
      <c r="Z254" s="2345"/>
      <c r="AA254" s="2345"/>
      <c r="AB254" s="2345"/>
      <c r="AC254" s="46"/>
      <c r="AD254" s="46"/>
      <c r="AE254" s="179"/>
      <c r="AM254" s="153"/>
      <c r="AN254" s="108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44" t="s">
        <v>212</v>
      </c>
      <c r="I256" s="234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32">
        <f>VLOOKUP($H$256,$AO$196:$AP$198,2,FALSE)</f>
        <v>1</v>
      </c>
      <c r="AK258" s="2334"/>
      <c r="AL258" s="25"/>
      <c r="AM258" s="137"/>
      <c r="AN258" s="108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45" t="s">
        <v>2157</v>
      </c>
      <c r="F262" s="2345"/>
      <c r="G262" s="2345"/>
      <c r="H262" s="2345"/>
      <c r="I262" s="2345"/>
      <c r="J262" s="2345"/>
      <c r="K262" s="2345"/>
      <c r="L262" s="2345"/>
      <c r="M262" s="2345"/>
      <c r="N262" s="2345"/>
      <c r="O262" s="2345"/>
      <c r="P262" s="2345"/>
      <c r="Q262" s="2345"/>
      <c r="R262" s="2345"/>
      <c r="S262" s="2345"/>
      <c r="T262" s="2345"/>
      <c r="U262" s="2345"/>
      <c r="V262" s="2345"/>
      <c r="W262" s="2345"/>
      <c r="X262" s="2345"/>
      <c r="Y262" s="2345"/>
      <c r="Z262" s="2345"/>
      <c r="AA262" s="2345"/>
      <c r="AB262" s="2345"/>
      <c r="AC262" s="2345"/>
      <c r="AD262" s="2345"/>
      <c r="AF262" s="2335" t="s">
        <v>113</v>
      </c>
      <c r="AG262" s="2335"/>
      <c r="AH262" s="2335"/>
      <c r="AI262" s="2335"/>
      <c r="AJ262" s="2335"/>
      <c r="AK262" s="2335"/>
      <c r="AL262" s="2335"/>
      <c r="AM262" s="175"/>
      <c r="AN262" s="317"/>
    </row>
    <row r="263" spans="1:74" s="16" customFormat="1">
      <c r="A263" s="28"/>
      <c r="B263" s="173"/>
      <c r="C263" s="218"/>
      <c r="D263" s="144"/>
      <c r="E263" s="2345"/>
      <c r="F263" s="2345"/>
      <c r="G263" s="2345"/>
      <c r="H263" s="2345"/>
      <c r="I263" s="2345"/>
      <c r="J263" s="2345"/>
      <c r="K263" s="2345"/>
      <c r="L263" s="2345"/>
      <c r="M263" s="2345"/>
      <c r="N263" s="2345"/>
      <c r="O263" s="2345"/>
      <c r="P263" s="2345"/>
      <c r="Q263" s="2345"/>
      <c r="R263" s="2345"/>
      <c r="S263" s="2345"/>
      <c r="T263" s="2345"/>
      <c r="U263" s="2345"/>
      <c r="V263" s="2345"/>
      <c r="W263" s="2345"/>
      <c r="X263" s="2345"/>
      <c r="Y263" s="2345"/>
      <c r="Z263" s="2345"/>
      <c r="AA263" s="2345"/>
      <c r="AB263" s="2345"/>
      <c r="AC263" s="2345"/>
      <c r="AD263" s="2345"/>
      <c r="AL263" s="1251"/>
      <c r="AM263" s="175"/>
      <c r="AN263" s="108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5"/>
      <c r="F264" s="2345"/>
      <c r="G264" s="2345"/>
      <c r="H264" s="2345"/>
      <c r="I264" s="2345"/>
      <c r="J264" s="2345"/>
      <c r="K264" s="2345"/>
      <c r="L264" s="2345"/>
      <c r="M264" s="2345"/>
      <c r="N264" s="2345"/>
      <c r="O264" s="2345"/>
      <c r="P264" s="2345"/>
      <c r="Q264" s="2345"/>
      <c r="R264" s="2345"/>
      <c r="S264" s="2345"/>
      <c r="T264" s="2345"/>
      <c r="U264" s="2345"/>
      <c r="V264" s="2345"/>
      <c r="W264" s="2345"/>
      <c r="X264" s="2345"/>
      <c r="Y264" s="2345"/>
      <c r="Z264" s="2345"/>
      <c r="AA264" s="2345"/>
      <c r="AB264" s="2345"/>
      <c r="AC264" s="2345"/>
      <c r="AD264" s="2345"/>
      <c r="AE264" s="179"/>
      <c r="AF264" s="179"/>
      <c r="AG264" s="179"/>
      <c r="AH264" s="179"/>
      <c r="AI264" s="179"/>
      <c r="AJ264" s="179"/>
      <c r="AK264" s="179"/>
      <c r="AL264" s="1251"/>
      <c r="AM264" s="175"/>
      <c r="AN264" s="108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61" t="s">
        <v>2158</v>
      </c>
      <c r="F266" s="2561"/>
      <c r="G266" s="2561"/>
      <c r="H266" s="2561"/>
      <c r="I266" s="2561"/>
      <c r="J266" s="2561"/>
      <c r="K266" s="2561"/>
      <c r="L266" s="2561"/>
      <c r="M266" s="2561"/>
      <c r="N266" s="2561"/>
      <c r="O266" s="2561"/>
      <c r="P266" s="2561"/>
      <c r="Q266" s="2561"/>
      <c r="R266" s="2561"/>
      <c r="S266" s="2561"/>
      <c r="T266" s="2561"/>
      <c r="U266" s="2561"/>
      <c r="V266" s="2561"/>
      <c r="W266" s="2561"/>
      <c r="X266" s="2561"/>
      <c r="Y266" s="2561"/>
      <c r="Z266" s="2561"/>
      <c r="AA266" s="2561"/>
      <c r="AB266" s="2561"/>
      <c r="AC266" s="2561"/>
      <c r="AD266" s="2561"/>
      <c r="AF266" s="2335" t="s">
        <v>65</v>
      </c>
      <c r="AG266" s="2335"/>
      <c r="AH266" s="2335"/>
      <c r="AI266" s="2335"/>
      <c r="AJ266" s="2335"/>
      <c r="AK266" s="2335"/>
      <c r="AL266" s="2335"/>
      <c r="AM266" s="175"/>
      <c r="AN266" s="439"/>
    </row>
    <row r="267" spans="1:74" s="46" customFormat="1" ht="12.75" customHeight="1">
      <c r="A267" s="28"/>
      <c r="B267" s="173"/>
      <c r="C267" s="218"/>
      <c r="D267" s="144"/>
      <c r="E267" s="2561"/>
      <c r="F267" s="2561"/>
      <c r="G267" s="2561"/>
      <c r="H267" s="2561"/>
      <c r="I267" s="2561"/>
      <c r="J267" s="2561"/>
      <c r="K267" s="2561"/>
      <c r="L267" s="2561"/>
      <c r="M267" s="2561"/>
      <c r="N267" s="2561"/>
      <c r="O267" s="2561"/>
      <c r="P267" s="2561"/>
      <c r="Q267" s="2561"/>
      <c r="R267" s="2561"/>
      <c r="S267" s="2561"/>
      <c r="T267" s="2561"/>
      <c r="U267" s="2561"/>
      <c r="V267" s="2561"/>
      <c r="W267" s="2561"/>
      <c r="X267" s="2561"/>
      <c r="Y267" s="2561"/>
      <c r="Z267" s="2561"/>
      <c r="AA267" s="2561"/>
      <c r="AB267" s="2561"/>
      <c r="AC267" s="2561"/>
      <c r="AD267" s="2561"/>
      <c r="AE267" s="179"/>
      <c r="AF267" s="179"/>
      <c r="AG267" s="179"/>
      <c r="AH267" s="179"/>
      <c r="AI267" s="179"/>
      <c r="AJ267" s="179"/>
      <c r="AK267" s="179"/>
      <c r="AL267" s="1251"/>
      <c r="AM267" s="175"/>
      <c r="AN267" s="439"/>
    </row>
    <row r="268" spans="1:74" s="46" customFormat="1" ht="12.75" customHeight="1">
      <c r="A268" s="28"/>
      <c r="B268" s="173"/>
      <c r="C268" s="218"/>
      <c r="D268" s="144"/>
      <c r="E268" s="2561"/>
      <c r="F268" s="2561"/>
      <c r="G268" s="2561"/>
      <c r="H268" s="2561"/>
      <c r="I268" s="2561"/>
      <c r="J268" s="2561"/>
      <c r="K268" s="2561"/>
      <c r="L268" s="2561"/>
      <c r="M268" s="2561"/>
      <c r="N268" s="2561"/>
      <c r="O268" s="2561"/>
      <c r="P268" s="2561"/>
      <c r="Q268" s="2561"/>
      <c r="R268" s="2561"/>
      <c r="S268" s="2561"/>
      <c r="T268" s="2561"/>
      <c r="U268" s="2561"/>
      <c r="V268" s="2561"/>
      <c r="W268" s="2561"/>
      <c r="X268" s="2561"/>
      <c r="Y268" s="2561"/>
      <c r="Z268" s="2561"/>
      <c r="AA268" s="2561"/>
      <c r="AB268" s="2561"/>
      <c r="AC268" s="2561"/>
      <c r="AD268" s="2561"/>
      <c r="AE268" s="179"/>
      <c r="AF268" s="179"/>
      <c r="AG268" s="179"/>
      <c r="AH268" s="179"/>
      <c r="AI268" s="179"/>
      <c r="AJ268" s="179"/>
      <c r="AK268" s="179"/>
      <c r="AL268" s="1251"/>
      <c r="AM268" s="175"/>
      <c r="AN268" s="439"/>
    </row>
    <row r="269" spans="1:74" s="46" customFormat="1" ht="12.75" customHeight="1">
      <c r="A269" s="28"/>
      <c r="B269" s="173"/>
      <c r="C269" s="218"/>
      <c r="D269" s="144"/>
      <c r="E269" s="2561"/>
      <c r="F269" s="2561"/>
      <c r="G269" s="2561"/>
      <c r="H269" s="2561"/>
      <c r="I269" s="2561"/>
      <c r="J269" s="2561"/>
      <c r="K269" s="2561"/>
      <c r="L269" s="2561"/>
      <c r="M269" s="2561"/>
      <c r="N269" s="2561"/>
      <c r="O269" s="2561"/>
      <c r="P269" s="2561"/>
      <c r="Q269" s="2561"/>
      <c r="R269" s="2561"/>
      <c r="S269" s="2561"/>
      <c r="T269" s="2561"/>
      <c r="U269" s="2561"/>
      <c r="V269" s="2561"/>
      <c r="W269" s="2561"/>
      <c r="X269" s="2561"/>
      <c r="Y269" s="2561"/>
      <c r="Z269" s="2561"/>
      <c r="AA269" s="2561"/>
      <c r="AB269" s="2561"/>
      <c r="AC269" s="2561"/>
      <c r="AD269" s="2561"/>
      <c r="AE269" s="179"/>
      <c r="AF269" s="179"/>
      <c r="AG269" s="179"/>
      <c r="AH269" s="179"/>
      <c r="AI269" s="179"/>
      <c r="AJ269" s="179"/>
      <c r="AK269" s="179"/>
      <c r="AL269" s="125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44" t="s">
        <v>134</v>
      </c>
      <c r="I271" s="234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32">
        <f>VLOOKUP($H$271,$AP$216:$AQ$218,2,FALSE)</f>
        <v>0</v>
      </c>
      <c r="AK273" s="233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45" t="s">
        <v>2156</v>
      </c>
      <c r="F277" s="2345"/>
      <c r="G277" s="2345"/>
      <c r="H277" s="2345"/>
      <c r="I277" s="2345"/>
      <c r="J277" s="2345"/>
      <c r="K277" s="2345"/>
      <c r="L277" s="2345"/>
      <c r="M277" s="2345"/>
      <c r="N277" s="2345"/>
      <c r="O277" s="2345"/>
      <c r="P277" s="2345"/>
      <c r="Q277" s="2345"/>
      <c r="R277" s="2345"/>
      <c r="S277" s="2345"/>
      <c r="T277" s="2345"/>
      <c r="U277" s="2345"/>
      <c r="V277" s="2345"/>
      <c r="W277" s="2345"/>
      <c r="X277" s="2345"/>
      <c r="Y277" s="2345"/>
      <c r="Z277" s="2345"/>
      <c r="AA277" s="2345"/>
      <c r="AB277" s="2345"/>
      <c r="AC277" s="2345"/>
      <c r="AD277" s="2345"/>
      <c r="AF277" s="2335" t="s">
        <v>1786</v>
      </c>
      <c r="AG277" s="2335"/>
      <c r="AH277" s="2335"/>
      <c r="AI277" s="2335"/>
      <c r="AJ277" s="2335"/>
      <c r="AK277" s="2335"/>
      <c r="AL277" s="2335"/>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45"/>
      <c r="F278" s="2345"/>
      <c r="G278" s="2345"/>
      <c r="H278" s="2345"/>
      <c r="I278" s="2345"/>
      <c r="J278" s="2345"/>
      <c r="K278" s="2345"/>
      <c r="L278" s="2345"/>
      <c r="M278" s="2345"/>
      <c r="N278" s="2345"/>
      <c r="O278" s="2345"/>
      <c r="P278" s="2345"/>
      <c r="Q278" s="2345"/>
      <c r="R278" s="2345"/>
      <c r="S278" s="2345"/>
      <c r="T278" s="2345"/>
      <c r="U278" s="2345"/>
      <c r="V278" s="2345"/>
      <c r="W278" s="2345"/>
      <c r="X278" s="2345"/>
      <c r="Y278" s="2345"/>
      <c r="Z278" s="2345"/>
      <c r="AA278" s="2345"/>
      <c r="AB278" s="2345"/>
      <c r="AC278" s="2345"/>
      <c r="AD278" s="2345"/>
      <c r="AE278" s="997"/>
      <c r="AF278" s="997"/>
      <c r="AG278" s="997"/>
      <c r="AH278" s="997"/>
      <c r="AI278" s="997"/>
      <c r="AJ278" s="997"/>
      <c r="AK278" s="997"/>
      <c r="AL278" s="1251"/>
      <c r="AM278" s="175"/>
      <c r="AN278" s="317"/>
      <c r="AO278" s="144"/>
      <c r="AP278" s="46"/>
      <c r="AT278" s="1004"/>
      <c r="AU278" s="1004"/>
      <c r="AV278" s="1004"/>
      <c r="AW278" s="1004"/>
      <c r="AX278" s="1004"/>
      <c r="AY278" s="1004"/>
      <c r="AZ278" s="1004"/>
    </row>
    <row r="279" spans="1:82" s="16" customFormat="1">
      <c r="A279" s="28"/>
      <c r="B279" s="173"/>
      <c r="C279" s="218"/>
      <c r="D279" s="144"/>
      <c r="E279" s="2345"/>
      <c r="F279" s="2345"/>
      <c r="G279" s="2345"/>
      <c r="H279" s="2345"/>
      <c r="I279" s="2345"/>
      <c r="J279" s="2345"/>
      <c r="K279" s="2345"/>
      <c r="L279" s="2345"/>
      <c r="M279" s="2345"/>
      <c r="N279" s="2345"/>
      <c r="O279" s="2345"/>
      <c r="P279" s="2345"/>
      <c r="Q279" s="2345"/>
      <c r="R279" s="2345"/>
      <c r="S279" s="2345"/>
      <c r="T279" s="2345"/>
      <c r="U279" s="2345"/>
      <c r="V279" s="2345"/>
      <c r="W279" s="2345"/>
      <c r="X279" s="2345"/>
      <c r="Y279" s="2345"/>
      <c r="Z279" s="2345"/>
      <c r="AA279" s="2345"/>
      <c r="AB279" s="2345"/>
      <c r="AC279" s="2345"/>
      <c r="AD279" s="2345"/>
      <c r="AE279" s="997"/>
      <c r="AF279" s="997"/>
      <c r="AG279" s="997"/>
      <c r="AH279" s="997"/>
      <c r="AI279" s="997"/>
      <c r="AJ279" s="997"/>
      <c r="AK279" s="997"/>
      <c r="AL279" s="1251"/>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1"/>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44" t="s">
        <v>134</v>
      </c>
      <c r="I281" s="234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32">
        <f>VLOOKUP($H$281,$AO$276:$AP$277,2,FALSE)</f>
        <v>0</v>
      </c>
      <c r="AK283" s="2334"/>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5"/>
      <c r="AJ285" s="1255" t="s">
        <v>39</v>
      </c>
      <c r="AK285" s="2332">
        <f>$AJ$129+$AJ$144+$AJ$156+$AJ$189+$AJ$208+$AJ$220+$AJ$232+$AJ$246+$AJ$258+$AJ$273+AJ283</f>
        <v>18</v>
      </c>
      <c r="AL285" s="2333"/>
      <c r="AM285" s="233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73" t="s">
        <v>2495</v>
      </c>
      <c r="I289" s="1672"/>
      <c r="J289" s="1672"/>
      <c r="K289" s="1672"/>
      <c r="L289" s="1672"/>
      <c r="M289" s="1672"/>
      <c r="N289" s="1672"/>
      <c r="O289" s="1672"/>
      <c r="P289" s="1672"/>
      <c r="Q289" s="1672"/>
      <c r="R289" s="1672"/>
      <c r="S289" s="16"/>
      <c r="T289" s="72" t="s">
        <v>99</v>
      </c>
      <c r="U289" s="16"/>
      <c r="V289" s="72"/>
      <c r="W289" s="72"/>
      <c r="X289" s="72"/>
      <c r="Y289" s="72"/>
      <c r="Z289" s="16"/>
      <c r="AA289" s="1673" t="s">
        <v>2477</v>
      </c>
      <c r="AB289" s="1672"/>
      <c r="AC289" s="1672"/>
      <c r="AD289" s="1672"/>
      <c r="AE289" s="1672"/>
      <c r="AF289" s="1672"/>
      <c r="AG289" s="1672"/>
      <c r="AH289" s="1672"/>
      <c r="AI289" s="1672"/>
      <c r="AJ289" s="1672"/>
      <c r="AK289" s="1672"/>
      <c r="AL289" s="25"/>
      <c r="AM289" s="137"/>
      <c r="AN289" s="439"/>
    </row>
    <row r="290" spans="1:41" s="46" customFormat="1" ht="12.75" customHeight="1">
      <c r="A290" s="153"/>
      <c r="B290" s="72" t="s">
        <v>760</v>
      </c>
      <c r="C290" s="72"/>
      <c r="D290" s="72"/>
      <c r="E290" s="72"/>
      <c r="F290" s="72"/>
      <c r="G290" s="16"/>
      <c r="H290" s="1665" t="s">
        <v>2468</v>
      </c>
      <c r="I290" s="1666"/>
      <c r="J290" s="1666"/>
      <c r="K290" s="1666"/>
      <c r="L290" s="1666"/>
      <c r="M290" s="1666"/>
      <c r="N290" s="1666"/>
      <c r="O290" s="1666"/>
      <c r="P290" s="1666"/>
      <c r="Q290" s="1666"/>
      <c r="R290" s="1666"/>
      <c r="S290" s="16"/>
      <c r="T290" s="72" t="s">
        <v>760</v>
      </c>
      <c r="U290" s="16"/>
      <c r="V290" s="72"/>
      <c r="W290" s="72"/>
      <c r="X290" s="72"/>
      <c r="Y290" s="72"/>
      <c r="Z290" s="16"/>
      <c r="AA290" s="1665" t="s">
        <v>2473</v>
      </c>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109</v>
      </c>
      <c r="C291" s="72"/>
      <c r="D291" s="72"/>
      <c r="E291" s="72"/>
      <c r="F291" s="72"/>
      <c r="G291" s="16"/>
      <c r="H291" s="1665" t="s">
        <v>2469</v>
      </c>
      <c r="I291" s="1666"/>
      <c r="J291" s="1666"/>
      <c r="K291" s="1666"/>
      <c r="L291" s="1666"/>
      <c r="M291" s="1666"/>
      <c r="N291" s="1666"/>
      <c r="O291" s="1666"/>
      <c r="P291" s="1666"/>
      <c r="Q291" s="1666"/>
      <c r="R291" s="1666"/>
      <c r="S291" s="16"/>
      <c r="T291" s="72" t="s">
        <v>109</v>
      </c>
      <c r="U291" s="16"/>
      <c r="V291" s="72"/>
      <c r="W291" s="72"/>
      <c r="X291" s="72"/>
      <c r="Y291" s="72"/>
      <c r="Z291" s="16"/>
      <c r="AA291" s="1665" t="s">
        <v>2474</v>
      </c>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414</v>
      </c>
      <c r="C292" s="72"/>
      <c r="D292" s="72"/>
      <c r="E292" s="72"/>
      <c r="F292" s="72"/>
      <c r="G292" s="16"/>
      <c r="H292" s="1665" t="s">
        <v>2470</v>
      </c>
      <c r="I292" s="1666"/>
      <c r="J292" s="1666"/>
      <c r="K292" s="1666"/>
      <c r="L292" s="1666"/>
      <c r="M292" s="1666"/>
      <c r="N292" s="1666"/>
      <c r="O292" s="1666"/>
      <c r="P292" s="1666"/>
      <c r="Q292" s="1666"/>
      <c r="R292" s="1666"/>
      <c r="S292" s="16"/>
      <c r="T292" s="72" t="s">
        <v>414</v>
      </c>
      <c r="U292" s="16"/>
      <c r="V292" s="72"/>
      <c r="W292" s="72"/>
      <c r="X292" s="72"/>
      <c r="Y292" s="72"/>
      <c r="Z292" s="16"/>
      <c r="AA292" s="1665" t="s">
        <v>2475</v>
      </c>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415</v>
      </c>
      <c r="C293" s="72"/>
      <c r="D293" s="72"/>
      <c r="E293" s="72"/>
      <c r="F293" s="72"/>
      <c r="G293" s="72"/>
      <c r="H293" s="1674" t="s">
        <v>2471</v>
      </c>
      <c r="I293" s="1667"/>
      <c r="J293" s="1667"/>
      <c r="K293" s="1667"/>
      <c r="L293" s="1667"/>
      <c r="M293" s="1667"/>
      <c r="N293" s="8" t="s">
        <v>891</v>
      </c>
      <c r="O293" s="8"/>
      <c r="P293" s="1668"/>
      <c r="Q293" s="1668"/>
      <c r="R293" s="1668"/>
      <c r="S293" s="72"/>
      <c r="T293" s="72" t="s">
        <v>415</v>
      </c>
      <c r="U293" s="16"/>
      <c r="V293" s="72"/>
      <c r="W293" s="72"/>
      <c r="X293" s="72"/>
      <c r="Y293" s="72"/>
      <c r="Z293" s="16"/>
      <c r="AA293" s="1674" t="s">
        <v>2476</v>
      </c>
      <c r="AB293" s="1667"/>
      <c r="AC293" s="1667"/>
      <c r="AD293" s="1667"/>
      <c r="AE293" s="1667"/>
      <c r="AF293" s="1667"/>
      <c r="AG293" s="8" t="s">
        <v>891</v>
      </c>
      <c r="AH293" s="8"/>
      <c r="AI293" s="1668"/>
      <c r="AJ293" s="1668"/>
      <c r="AK293" s="1668"/>
      <c r="AL293" s="25"/>
      <c r="AM293" s="137"/>
      <c r="AN293" s="439"/>
      <c r="AO293" s="331"/>
    </row>
    <row r="294" spans="1:41" s="46" customFormat="1" ht="12.75" customHeight="1">
      <c r="A294" s="153"/>
      <c r="B294" s="72" t="s">
        <v>98</v>
      </c>
      <c r="C294" s="72"/>
      <c r="D294" s="72"/>
      <c r="E294" s="72"/>
      <c r="F294" s="72"/>
      <c r="G294" s="72"/>
      <c r="H294" s="1666" t="s">
        <v>101</v>
      </c>
      <c r="I294" s="1666"/>
      <c r="J294" s="1666"/>
      <c r="K294" s="1666"/>
      <c r="L294" s="1666"/>
      <c r="M294" s="1666"/>
      <c r="N294" s="1666"/>
      <c r="O294" s="1666"/>
      <c r="P294" s="1666"/>
      <c r="Q294" s="1666"/>
      <c r="R294" s="1666"/>
      <c r="S294" s="72"/>
      <c r="T294" s="72" t="s">
        <v>98</v>
      </c>
      <c r="U294" s="16"/>
      <c r="V294" s="72"/>
      <c r="W294" s="72"/>
      <c r="X294" s="72"/>
      <c r="Y294" s="72"/>
      <c r="Z294" s="16"/>
      <c r="AA294" s="1666" t="s">
        <v>102</v>
      </c>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100</v>
      </c>
      <c r="C295" s="72"/>
      <c r="D295" s="72"/>
      <c r="E295" s="72"/>
      <c r="F295" s="72"/>
      <c r="G295" s="72"/>
      <c r="H295" s="1665" t="s">
        <v>2472</v>
      </c>
      <c r="I295" s="1666"/>
      <c r="J295" s="1666"/>
      <c r="K295" s="1666"/>
      <c r="L295" s="1666"/>
      <c r="M295" s="1666"/>
      <c r="N295" s="1666"/>
      <c r="O295" s="1666"/>
      <c r="P295" s="1666"/>
      <c r="Q295" s="1666"/>
      <c r="R295" s="1666"/>
      <c r="S295" s="72"/>
      <c r="T295" s="72" t="s">
        <v>100</v>
      </c>
      <c r="U295" s="16"/>
      <c r="V295" s="72"/>
      <c r="W295" s="72"/>
      <c r="X295" s="72"/>
      <c r="Y295" s="72"/>
      <c r="Z295" s="16"/>
      <c r="AA295" s="1665" t="s">
        <v>2479</v>
      </c>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111</v>
      </c>
      <c r="C296" s="72"/>
      <c r="D296" s="72"/>
      <c r="E296" s="72"/>
      <c r="F296" s="72"/>
      <c r="G296" s="72"/>
      <c r="H296" s="2386">
        <v>0.12</v>
      </c>
      <c r="I296" s="2386"/>
      <c r="J296" s="2386"/>
      <c r="K296" s="2386"/>
      <c r="L296" s="2386"/>
      <c r="M296" s="2386"/>
      <c r="N296" s="2386"/>
      <c r="O296" s="2386"/>
      <c r="P296" s="2386"/>
      <c r="Q296" s="2386"/>
      <c r="R296" s="2386"/>
      <c r="S296" s="72"/>
      <c r="T296" s="72" t="s">
        <v>111</v>
      </c>
      <c r="U296" s="72"/>
      <c r="V296" s="72"/>
      <c r="W296" s="72"/>
      <c r="X296" s="72"/>
      <c r="Y296" s="72"/>
      <c r="Z296" s="18"/>
      <c r="AA296" s="2386">
        <v>0.09</v>
      </c>
      <c r="AB296" s="2386"/>
      <c r="AC296" s="2386"/>
      <c r="AD296" s="2386"/>
      <c r="AE296" s="2386"/>
      <c r="AF296" s="2386"/>
      <c r="AG296" s="2386"/>
      <c r="AH296" s="2386"/>
      <c r="AI296" s="2386"/>
      <c r="AJ296" s="2386"/>
      <c r="AK296" s="2386"/>
      <c r="AL296" s="25"/>
      <c r="AM296" s="423"/>
      <c r="AN296" s="108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73" t="s">
        <v>2478</v>
      </c>
      <c r="I298" s="1672"/>
      <c r="J298" s="1672"/>
      <c r="K298" s="1672"/>
      <c r="L298" s="1672"/>
      <c r="M298" s="1672"/>
      <c r="N298" s="1672"/>
      <c r="O298" s="1672"/>
      <c r="P298" s="1672"/>
      <c r="Q298" s="1672"/>
      <c r="R298" s="1672"/>
      <c r="S298" s="16"/>
      <c r="T298" s="72" t="s">
        <v>99</v>
      </c>
      <c r="U298" s="16"/>
      <c r="V298" s="72"/>
      <c r="W298" s="72"/>
      <c r="X298" s="72"/>
      <c r="Y298" s="72"/>
      <c r="Z298" s="16"/>
      <c r="AA298" s="1673" t="s">
        <v>2485</v>
      </c>
      <c r="AB298" s="1672"/>
      <c r="AC298" s="1672"/>
      <c r="AD298" s="1672"/>
      <c r="AE298" s="1672"/>
      <c r="AF298" s="1672"/>
      <c r="AG298" s="1672"/>
      <c r="AH298" s="1672"/>
      <c r="AI298" s="1672"/>
      <c r="AJ298" s="1672"/>
      <c r="AK298" s="1672"/>
      <c r="AL298" s="25"/>
      <c r="AM298" s="137"/>
      <c r="AN298" s="439"/>
    </row>
    <row r="299" spans="1:41" s="205" customFormat="1" ht="12.75" customHeight="1">
      <c r="A299" s="153"/>
      <c r="B299" s="72" t="s">
        <v>760</v>
      </c>
      <c r="C299" s="72"/>
      <c r="D299" s="72"/>
      <c r="E299" s="72"/>
      <c r="F299" s="72"/>
      <c r="G299" s="16"/>
      <c r="H299" s="1665" t="s">
        <v>2480</v>
      </c>
      <c r="I299" s="1666"/>
      <c r="J299" s="1666"/>
      <c r="K299" s="1666"/>
      <c r="L299" s="1666"/>
      <c r="M299" s="1666"/>
      <c r="N299" s="1666"/>
      <c r="O299" s="1666"/>
      <c r="P299" s="1666"/>
      <c r="Q299" s="1666"/>
      <c r="R299" s="1666"/>
      <c r="S299" s="16"/>
      <c r="T299" s="72" t="s">
        <v>760</v>
      </c>
      <c r="U299" s="16"/>
      <c r="V299" s="72"/>
      <c r="W299" s="72"/>
      <c r="X299" s="72"/>
      <c r="Y299" s="72"/>
      <c r="Z299" s="16"/>
      <c r="AA299" s="1665" t="s">
        <v>2484</v>
      </c>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109</v>
      </c>
      <c r="C300" s="72"/>
      <c r="D300" s="72"/>
      <c r="E300" s="72"/>
      <c r="F300" s="72"/>
      <c r="G300" s="16"/>
      <c r="H300" s="1665" t="s">
        <v>2474</v>
      </c>
      <c r="I300" s="1666"/>
      <c r="J300" s="1666"/>
      <c r="K300" s="1666"/>
      <c r="L300" s="1666"/>
      <c r="M300" s="1666"/>
      <c r="N300" s="1666"/>
      <c r="O300" s="1666"/>
      <c r="P300" s="1666"/>
      <c r="Q300" s="1666"/>
      <c r="R300" s="1666"/>
      <c r="S300" s="16"/>
      <c r="T300" s="72" t="s">
        <v>109</v>
      </c>
      <c r="U300" s="16"/>
      <c r="V300" s="72"/>
      <c r="W300" s="72"/>
      <c r="X300" s="72"/>
      <c r="Y300" s="72"/>
      <c r="Z300" s="16"/>
      <c r="AA300" s="1665" t="s">
        <v>2474</v>
      </c>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414</v>
      </c>
      <c r="C301" s="72"/>
      <c r="D301" s="72"/>
      <c r="E301" s="72"/>
      <c r="F301" s="72"/>
      <c r="G301" s="16"/>
      <c r="H301" s="1665" t="s">
        <v>2481</v>
      </c>
      <c r="I301" s="1666"/>
      <c r="J301" s="1666"/>
      <c r="K301" s="1666"/>
      <c r="L301" s="1666"/>
      <c r="M301" s="1666"/>
      <c r="N301" s="1666"/>
      <c r="O301" s="1666"/>
      <c r="P301" s="1666"/>
      <c r="Q301" s="1666"/>
      <c r="R301" s="1666"/>
      <c r="S301" s="16"/>
      <c r="T301" s="72" t="s">
        <v>414</v>
      </c>
      <c r="U301" s="16"/>
      <c r="V301" s="72"/>
      <c r="W301" s="72"/>
      <c r="X301" s="72"/>
      <c r="Y301" s="72"/>
      <c r="Z301" s="16"/>
      <c r="AA301" s="1665" t="s">
        <v>2486</v>
      </c>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415</v>
      </c>
      <c r="C302" s="72"/>
      <c r="D302" s="72"/>
      <c r="E302" s="72"/>
      <c r="F302" s="72"/>
      <c r="G302" s="72"/>
      <c r="H302" s="1674" t="s">
        <v>2482</v>
      </c>
      <c r="I302" s="1667"/>
      <c r="J302" s="1667"/>
      <c r="K302" s="1667"/>
      <c r="L302" s="1667"/>
      <c r="M302" s="1667"/>
      <c r="N302" s="8" t="s">
        <v>891</v>
      </c>
      <c r="O302" s="8"/>
      <c r="P302" s="1668"/>
      <c r="Q302" s="1668"/>
      <c r="R302" s="1668"/>
      <c r="S302" s="72"/>
      <c r="T302" s="72" t="s">
        <v>415</v>
      </c>
      <c r="U302" s="16"/>
      <c r="V302" s="72"/>
      <c r="W302" s="72"/>
      <c r="X302" s="72"/>
      <c r="Y302" s="72"/>
      <c r="Z302" s="16"/>
      <c r="AA302" s="1674" t="s">
        <v>2488</v>
      </c>
      <c r="AB302" s="1667"/>
      <c r="AC302" s="1667"/>
      <c r="AD302" s="1667"/>
      <c r="AE302" s="1667"/>
      <c r="AF302" s="1667"/>
      <c r="AG302" s="8" t="s">
        <v>891</v>
      </c>
      <c r="AH302" s="8"/>
      <c r="AI302" s="1668"/>
      <c r="AJ302" s="1668"/>
      <c r="AK302" s="1668"/>
      <c r="AL302" s="25"/>
      <c r="AM302" s="137"/>
      <c r="AN302" s="439"/>
    </row>
    <row r="303" spans="1:41" s="46" customFormat="1" ht="12.75" customHeight="1">
      <c r="A303" s="153"/>
      <c r="B303" s="72" t="s">
        <v>98</v>
      </c>
      <c r="C303" s="72"/>
      <c r="D303" s="72"/>
      <c r="E303" s="72"/>
      <c r="F303" s="72"/>
      <c r="G303" s="72"/>
      <c r="H303" s="1666" t="s">
        <v>103</v>
      </c>
      <c r="I303" s="1666"/>
      <c r="J303" s="1666"/>
      <c r="K303" s="1666"/>
      <c r="L303" s="1666"/>
      <c r="M303" s="1666"/>
      <c r="N303" s="1666"/>
      <c r="O303" s="1666"/>
      <c r="P303" s="1666"/>
      <c r="Q303" s="1666"/>
      <c r="R303" s="1666"/>
      <c r="S303" s="72"/>
      <c r="T303" s="72" t="s">
        <v>98</v>
      </c>
      <c r="U303" s="16"/>
      <c r="V303" s="72"/>
      <c r="W303" s="72"/>
      <c r="X303" s="72"/>
      <c r="Y303" s="72"/>
      <c r="Z303" s="16"/>
      <c r="AA303" s="1666" t="s">
        <v>384</v>
      </c>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100</v>
      </c>
      <c r="C304" s="72"/>
      <c r="D304" s="72"/>
      <c r="E304" s="72"/>
      <c r="F304" s="72"/>
      <c r="G304" s="72"/>
      <c r="H304" s="1665" t="s">
        <v>2483</v>
      </c>
      <c r="I304" s="1666"/>
      <c r="J304" s="1666"/>
      <c r="K304" s="1666"/>
      <c r="L304" s="1666"/>
      <c r="M304" s="1666"/>
      <c r="N304" s="1666"/>
      <c r="O304" s="1666"/>
      <c r="P304" s="1666"/>
      <c r="Q304" s="1666"/>
      <c r="R304" s="1666"/>
      <c r="S304" s="72"/>
      <c r="T304" s="72" t="s">
        <v>100</v>
      </c>
      <c r="U304" s="16"/>
      <c r="V304" s="72"/>
      <c r="W304" s="72"/>
      <c r="X304" s="72"/>
      <c r="Y304" s="72"/>
      <c r="Z304" s="16"/>
      <c r="AA304" s="1665" t="s">
        <v>2487</v>
      </c>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111</v>
      </c>
      <c r="C305" s="72"/>
      <c r="D305" s="72"/>
      <c r="E305" s="72"/>
      <c r="F305" s="72"/>
      <c r="G305" s="72"/>
      <c r="H305" s="2386">
        <v>0.18</v>
      </c>
      <c r="I305" s="2386"/>
      <c r="J305" s="2386"/>
      <c r="K305" s="2386"/>
      <c r="L305" s="2386"/>
      <c r="M305" s="2386"/>
      <c r="N305" s="2386"/>
      <c r="O305" s="2386"/>
      <c r="P305" s="2386"/>
      <c r="Q305" s="2386"/>
      <c r="R305" s="2386"/>
      <c r="S305" s="72"/>
      <c r="T305" s="72" t="s">
        <v>111</v>
      </c>
      <c r="U305" s="72"/>
      <c r="V305" s="72"/>
      <c r="W305" s="72"/>
      <c r="X305" s="72"/>
      <c r="Y305" s="72"/>
      <c r="Z305" s="18"/>
      <c r="AA305" s="2386">
        <v>0.1</v>
      </c>
      <c r="AB305" s="2386"/>
      <c r="AC305" s="2386"/>
      <c r="AD305" s="2386"/>
      <c r="AE305" s="2386"/>
      <c r="AF305" s="2386"/>
      <c r="AG305" s="2386"/>
      <c r="AH305" s="2386"/>
      <c r="AI305" s="2386"/>
      <c r="AJ305" s="2386"/>
      <c r="AK305" s="238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73" t="s">
        <v>2489</v>
      </c>
      <c r="I307" s="1672"/>
      <c r="J307" s="1672"/>
      <c r="K307" s="1672"/>
      <c r="L307" s="1672"/>
      <c r="M307" s="1672"/>
      <c r="N307" s="1672"/>
      <c r="O307" s="1672"/>
      <c r="P307" s="1672"/>
      <c r="Q307" s="1672"/>
      <c r="R307" s="1672"/>
      <c r="S307" s="16"/>
      <c r="T307" s="72" t="s">
        <v>99</v>
      </c>
      <c r="U307" s="16"/>
      <c r="V307" s="72"/>
      <c r="W307" s="72"/>
      <c r="X307" s="72"/>
      <c r="Y307" s="72"/>
      <c r="Z307" s="16"/>
      <c r="AA307" s="1672"/>
      <c r="AB307" s="1672"/>
      <c r="AC307" s="1672"/>
      <c r="AD307" s="1672"/>
      <c r="AE307" s="1672"/>
      <c r="AF307" s="1672"/>
      <c r="AG307" s="1672"/>
      <c r="AH307" s="1672"/>
      <c r="AI307" s="1672"/>
      <c r="AJ307" s="1672"/>
      <c r="AK307" s="1672"/>
      <c r="AL307" s="25"/>
      <c r="AM307" s="137"/>
      <c r="AN307" s="439"/>
    </row>
    <row r="308" spans="1:40" s="46" customFormat="1" ht="12.75" customHeight="1">
      <c r="A308" s="153"/>
      <c r="B308" s="72" t="s">
        <v>760</v>
      </c>
      <c r="C308" s="72"/>
      <c r="D308" s="72"/>
      <c r="E308" s="72"/>
      <c r="F308" s="72"/>
      <c r="G308" s="16"/>
      <c r="H308" s="1665" t="s">
        <v>2490</v>
      </c>
      <c r="I308" s="1666"/>
      <c r="J308" s="1666"/>
      <c r="K308" s="1666"/>
      <c r="L308" s="1666"/>
      <c r="M308" s="1666"/>
      <c r="N308" s="1666"/>
      <c r="O308" s="1666"/>
      <c r="P308" s="1666"/>
      <c r="Q308" s="1666"/>
      <c r="R308" s="1666"/>
      <c r="S308" s="16"/>
      <c r="T308" s="72" t="s">
        <v>760</v>
      </c>
      <c r="U308" s="16"/>
      <c r="V308" s="72"/>
      <c r="W308" s="72"/>
      <c r="X308" s="72"/>
      <c r="Y308" s="72"/>
      <c r="Z308" s="16"/>
      <c r="AA308" s="1666"/>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109</v>
      </c>
      <c r="C309" s="72"/>
      <c r="D309" s="72"/>
      <c r="E309" s="72"/>
      <c r="F309" s="72"/>
      <c r="G309" s="16"/>
      <c r="H309" s="1665" t="s">
        <v>2469</v>
      </c>
      <c r="I309" s="1666"/>
      <c r="J309" s="1666"/>
      <c r="K309" s="1666"/>
      <c r="L309" s="1666"/>
      <c r="M309" s="1666"/>
      <c r="N309" s="1666"/>
      <c r="O309" s="1666"/>
      <c r="P309" s="1666"/>
      <c r="Q309" s="1666"/>
      <c r="R309" s="1666"/>
      <c r="S309" s="16"/>
      <c r="T309" s="72" t="s">
        <v>109</v>
      </c>
      <c r="U309" s="16"/>
      <c r="V309" s="72"/>
      <c r="W309" s="72"/>
      <c r="X309" s="72"/>
      <c r="Y309" s="72"/>
      <c r="Z309" s="16"/>
      <c r="AA309" s="1666"/>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414</v>
      </c>
      <c r="C310" s="72"/>
      <c r="D310" s="72"/>
      <c r="E310" s="72"/>
      <c r="F310" s="72"/>
      <c r="G310" s="16"/>
      <c r="H310" s="1665" t="s">
        <v>2491</v>
      </c>
      <c r="I310" s="1666"/>
      <c r="J310" s="1666"/>
      <c r="K310" s="1666"/>
      <c r="L310" s="1666"/>
      <c r="M310" s="1666"/>
      <c r="N310" s="1666"/>
      <c r="O310" s="1666"/>
      <c r="P310" s="1666"/>
      <c r="Q310" s="1666"/>
      <c r="R310" s="1666"/>
      <c r="S310" s="16"/>
      <c r="T310" s="72" t="s">
        <v>414</v>
      </c>
      <c r="U310" s="16"/>
      <c r="V310" s="72"/>
      <c r="W310" s="72"/>
      <c r="X310" s="72"/>
      <c r="Y310" s="72"/>
      <c r="Z310" s="16"/>
      <c r="AA310" s="1666"/>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415</v>
      </c>
      <c r="C311" s="72"/>
      <c r="D311" s="72"/>
      <c r="E311" s="72"/>
      <c r="F311" s="72"/>
      <c r="G311" s="72"/>
      <c r="H311" s="1674" t="s">
        <v>2492</v>
      </c>
      <c r="I311" s="1667"/>
      <c r="J311" s="1667"/>
      <c r="K311" s="1667"/>
      <c r="L311" s="1667"/>
      <c r="M311" s="1667"/>
      <c r="N311" s="8" t="s">
        <v>891</v>
      </c>
      <c r="O311" s="8"/>
      <c r="P311" s="1668"/>
      <c r="Q311" s="1668"/>
      <c r="R311" s="1668"/>
      <c r="S311" s="72"/>
      <c r="T311" s="72" t="s">
        <v>415</v>
      </c>
      <c r="U311" s="16"/>
      <c r="V311" s="72"/>
      <c r="W311" s="72"/>
      <c r="X311" s="72"/>
      <c r="Y311" s="72"/>
      <c r="Z311" s="16"/>
      <c r="AA311" s="1667"/>
      <c r="AB311" s="1667"/>
      <c r="AC311" s="1667"/>
      <c r="AD311" s="1667"/>
      <c r="AE311" s="1667"/>
      <c r="AF311" s="1667"/>
      <c r="AG311" s="8" t="s">
        <v>891</v>
      </c>
      <c r="AH311" s="8"/>
      <c r="AI311" s="1668"/>
      <c r="AJ311" s="1668"/>
      <c r="AK311" s="1668"/>
      <c r="AL311" s="25"/>
      <c r="AM311" s="137"/>
      <c r="AN311" s="439"/>
    </row>
    <row r="312" spans="1:40" s="46" customFormat="1" ht="12.75" customHeight="1">
      <c r="A312" s="153"/>
      <c r="B312" s="72" t="s">
        <v>98</v>
      </c>
      <c r="C312" s="72"/>
      <c r="D312" s="72"/>
      <c r="E312" s="72"/>
      <c r="F312" s="72"/>
      <c r="G312" s="72"/>
      <c r="H312" s="1666" t="s">
        <v>106</v>
      </c>
      <c r="I312" s="1666"/>
      <c r="J312" s="1666"/>
      <c r="K312" s="1666"/>
      <c r="L312" s="1666"/>
      <c r="M312" s="1666"/>
      <c r="N312" s="1666"/>
      <c r="O312" s="1666"/>
      <c r="P312" s="1666"/>
      <c r="Q312" s="1666"/>
      <c r="R312" s="1666"/>
      <c r="S312" s="72"/>
      <c r="T312" s="72" t="s">
        <v>98</v>
      </c>
      <c r="U312" s="16"/>
      <c r="V312" s="72"/>
      <c r="W312" s="72"/>
      <c r="X312" s="72"/>
      <c r="Y312" s="72"/>
      <c r="Z312" s="16"/>
      <c r="AA312" s="1666"/>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100</v>
      </c>
      <c r="C313" s="72"/>
      <c r="D313" s="72"/>
      <c r="E313" s="72"/>
      <c r="F313" s="72"/>
      <c r="G313" s="72"/>
      <c r="H313" s="1665" t="s">
        <v>2493</v>
      </c>
      <c r="I313" s="1666"/>
      <c r="J313" s="1666"/>
      <c r="K313" s="1666"/>
      <c r="L313" s="1666"/>
      <c r="M313" s="1666"/>
      <c r="N313" s="1666"/>
      <c r="O313" s="1666"/>
      <c r="P313" s="1666"/>
      <c r="Q313" s="1666"/>
      <c r="R313" s="1666"/>
      <c r="S313" s="72"/>
      <c r="T313" s="72" t="s">
        <v>100</v>
      </c>
      <c r="U313" s="16"/>
      <c r="V313" s="72"/>
      <c r="W313" s="72"/>
      <c r="X313" s="72"/>
      <c r="Y313" s="72"/>
      <c r="Z313" s="16"/>
      <c r="AA313" s="1666"/>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111</v>
      </c>
      <c r="C314" s="72"/>
      <c r="D314" s="72"/>
      <c r="E314" s="72"/>
      <c r="F314" s="72"/>
      <c r="G314" s="72"/>
      <c r="H314" s="2386">
        <v>0.93</v>
      </c>
      <c r="I314" s="2386"/>
      <c r="J314" s="2386"/>
      <c r="K314" s="2386"/>
      <c r="L314" s="2386"/>
      <c r="M314" s="2386"/>
      <c r="N314" s="2386"/>
      <c r="O314" s="2386"/>
      <c r="P314" s="2386"/>
      <c r="Q314" s="2386"/>
      <c r="R314" s="2386"/>
      <c r="S314" s="72"/>
      <c r="T314" s="72" t="s">
        <v>111</v>
      </c>
      <c r="U314" s="72"/>
      <c r="V314" s="72"/>
      <c r="W314" s="72"/>
      <c r="X314" s="72"/>
      <c r="Y314" s="72"/>
      <c r="Z314" s="18"/>
      <c r="AA314" s="2386"/>
      <c r="AB314" s="2386"/>
      <c r="AC314" s="2386"/>
      <c r="AD314" s="2386"/>
      <c r="AE314" s="2386"/>
      <c r="AF314" s="2386"/>
      <c r="AG314" s="2386"/>
      <c r="AH314" s="2386"/>
      <c r="AI314" s="2386"/>
      <c r="AJ314" s="2386"/>
      <c r="AK314" s="238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72"/>
      <c r="I316" s="1672"/>
      <c r="J316" s="1672"/>
      <c r="K316" s="1672"/>
      <c r="L316" s="1672"/>
      <c r="M316" s="1672"/>
      <c r="N316" s="1672"/>
      <c r="O316" s="1672"/>
      <c r="P316" s="1672"/>
      <c r="Q316" s="1672"/>
      <c r="R316" s="1672"/>
      <c r="S316" s="16"/>
      <c r="T316" s="72" t="s">
        <v>99</v>
      </c>
      <c r="U316" s="16"/>
      <c r="V316" s="72"/>
      <c r="W316" s="72"/>
      <c r="X316" s="72"/>
      <c r="Y316" s="72"/>
      <c r="Z316" s="16"/>
      <c r="AA316" s="1672"/>
      <c r="AB316" s="1672"/>
      <c r="AC316" s="1672"/>
      <c r="AD316" s="1672"/>
      <c r="AE316" s="1672"/>
      <c r="AF316" s="1672"/>
      <c r="AG316" s="1672"/>
      <c r="AH316" s="1672"/>
      <c r="AI316" s="1672"/>
      <c r="AJ316" s="1672"/>
      <c r="AK316" s="1672"/>
      <c r="AL316" s="25"/>
      <c r="AM316" s="137"/>
      <c r="AN316" s="439"/>
    </row>
    <row r="317" spans="1:40" s="46" customFormat="1" ht="12.75" customHeight="1">
      <c r="A317" s="153"/>
      <c r="B317" s="72" t="s">
        <v>760</v>
      </c>
      <c r="C317" s="72"/>
      <c r="D317" s="72"/>
      <c r="E317" s="72"/>
      <c r="F317" s="72"/>
      <c r="G317" s="16"/>
      <c r="H317" s="1666"/>
      <c r="I317" s="1666"/>
      <c r="J317" s="1666"/>
      <c r="K317" s="1666"/>
      <c r="L317" s="1666"/>
      <c r="M317" s="1666"/>
      <c r="N317" s="1666"/>
      <c r="O317" s="1666"/>
      <c r="P317" s="1666"/>
      <c r="Q317" s="1666"/>
      <c r="R317" s="1666"/>
      <c r="S317" s="16"/>
      <c r="T317" s="72" t="s">
        <v>760</v>
      </c>
      <c r="U317" s="16"/>
      <c r="V317" s="72"/>
      <c r="W317" s="72"/>
      <c r="X317" s="72"/>
      <c r="Y317" s="72"/>
      <c r="Z317" s="16"/>
      <c r="AA317" s="1666"/>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109</v>
      </c>
      <c r="C318" s="72"/>
      <c r="D318" s="72"/>
      <c r="E318" s="72"/>
      <c r="F318" s="72"/>
      <c r="G318" s="16"/>
      <c r="H318" s="1666"/>
      <c r="I318" s="1666"/>
      <c r="J318" s="1666"/>
      <c r="K318" s="1666"/>
      <c r="L318" s="1666"/>
      <c r="M318" s="1666"/>
      <c r="N318" s="1666"/>
      <c r="O318" s="1666"/>
      <c r="P318" s="1666"/>
      <c r="Q318" s="1666"/>
      <c r="R318" s="1666"/>
      <c r="S318" s="16"/>
      <c r="T318" s="72" t="s">
        <v>109</v>
      </c>
      <c r="U318" s="16"/>
      <c r="V318" s="72"/>
      <c r="W318" s="72"/>
      <c r="X318" s="72"/>
      <c r="Y318" s="72"/>
      <c r="Z318" s="16"/>
      <c r="AA318" s="1666"/>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414</v>
      </c>
      <c r="C319" s="72"/>
      <c r="D319" s="72"/>
      <c r="E319" s="72"/>
      <c r="F319" s="72"/>
      <c r="G319" s="16"/>
      <c r="H319" s="1666"/>
      <c r="I319" s="1666"/>
      <c r="J319" s="1666"/>
      <c r="K319" s="1666"/>
      <c r="L319" s="1666"/>
      <c r="M319" s="1666"/>
      <c r="N319" s="1666"/>
      <c r="O319" s="1666"/>
      <c r="P319" s="1666"/>
      <c r="Q319" s="1666"/>
      <c r="R319" s="1666"/>
      <c r="S319" s="16"/>
      <c r="T319" s="72" t="s">
        <v>414</v>
      </c>
      <c r="U319" s="16"/>
      <c r="V319" s="72"/>
      <c r="W319" s="72"/>
      <c r="X319" s="72"/>
      <c r="Y319" s="72"/>
      <c r="Z319" s="16"/>
      <c r="AA319" s="1666"/>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415</v>
      </c>
      <c r="C320" s="72"/>
      <c r="D320" s="72"/>
      <c r="E320" s="72"/>
      <c r="F320" s="72"/>
      <c r="G320" s="72"/>
      <c r="H320" s="1667"/>
      <c r="I320" s="1667"/>
      <c r="J320" s="1667"/>
      <c r="K320" s="1667"/>
      <c r="L320" s="1667"/>
      <c r="M320" s="1667"/>
      <c r="N320" s="8" t="s">
        <v>891</v>
      </c>
      <c r="O320" s="8"/>
      <c r="P320" s="1668"/>
      <c r="Q320" s="1668"/>
      <c r="R320" s="1668"/>
      <c r="S320" s="72"/>
      <c r="T320" s="72" t="s">
        <v>415</v>
      </c>
      <c r="U320" s="16"/>
      <c r="V320" s="72"/>
      <c r="W320" s="72"/>
      <c r="X320" s="72"/>
      <c r="Y320" s="72"/>
      <c r="Z320" s="16"/>
      <c r="AA320" s="1667"/>
      <c r="AB320" s="1667"/>
      <c r="AC320" s="1667"/>
      <c r="AD320" s="1667"/>
      <c r="AE320" s="1667"/>
      <c r="AF320" s="1667"/>
      <c r="AG320" s="8" t="s">
        <v>891</v>
      </c>
      <c r="AH320" s="8"/>
      <c r="AI320" s="1668"/>
      <c r="AJ320" s="1668"/>
      <c r="AK320" s="1668"/>
      <c r="AL320" s="25"/>
      <c r="AM320" s="137"/>
      <c r="AN320" s="439"/>
    </row>
    <row r="321" spans="1:76" s="46" customFormat="1" ht="12.75" customHeight="1">
      <c r="A321" s="153"/>
      <c r="B321" s="72" t="s">
        <v>98</v>
      </c>
      <c r="C321" s="72"/>
      <c r="D321" s="72"/>
      <c r="E321" s="72"/>
      <c r="F321" s="72"/>
      <c r="G321" s="72"/>
      <c r="H321" s="1666"/>
      <c r="I321" s="1666"/>
      <c r="J321" s="1666"/>
      <c r="K321" s="1666"/>
      <c r="L321" s="1666"/>
      <c r="M321" s="1666"/>
      <c r="N321" s="1666"/>
      <c r="O321" s="1666"/>
      <c r="P321" s="1666"/>
      <c r="Q321" s="1666"/>
      <c r="R321" s="1666"/>
      <c r="S321" s="72"/>
      <c r="T321" s="72" t="s">
        <v>98</v>
      </c>
      <c r="U321" s="16"/>
      <c r="V321" s="72"/>
      <c r="W321" s="72"/>
      <c r="X321" s="72"/>
      <c r="Y321" s="72"/>
      <c r="Z321" s="16"/>
      <c r="AA321" s="1666"/>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100</v>
      </c>
      <c r="C322" s="72"/>
      <c r="D322" s="72"/>
      <c r="E322" s="72"/>
      <c r="F322" s="72"/>
      <c r="G322" s="72"/>
      <c r="H322" s="1666"/>
      <c r="I322" s="1666"/>
      <c r="J322" s="1666"/>
      <c r="K322" s="1666"/>
      <c r="L322" s="1666"/>
      <c r="M322" s="1666"/>
      <c r="N322" s="1666"/>
      <c r="O322" s="1666"/>
      <c r="P322" s="1666"/>
      <c r="Q322" s="1666"/>
      <c r="R322" s="1666"/>
      <c r="S322" s="72"/>
      <c r="T322" s="72" t="s">
        <v>100</v>
      </c>
      <c r="U322" s="16"/>
      <c r="V322" s="72"/>
      <c r="W322" s="72"/>
      <c r="X322" s="72"/>
      <c r="Y322" s="72"/>
      <c r="Z322" s="16"/>
      <c r="AA322" s="1666"/>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111</v>
      </c>
      <c r="C323" s="72"/>
      <c r="D323" s="72"/>
      <c r="E323" s="72"/>
      <c r="F323" s="72"/>
      <c r="G323" s="72"/>
      <c r="H323" s="2386"/>
      <c r="I323" s="2386"/>
      <c r="J323" s="2386"/>
      <c r="K323" s="2386"/>
      <c r="L323" s="2386"/>
      <c r="M323" s="2386"/>
      <c r="N323" s="2386"/>
      <c r="O323" s="2386"/>
      <c r="P323" s="2386"/>
      <c r="Q323" s="2386"/>
      <c r="R323" s="2386"/>
      <c r="S323" s="72"/>
      <c r="T323" s="72" t="s">
        <v>111</v>
      </c>
      <c r="U323" s="72"/>
      <c r="V323" s="72"/>
      <c r="W323" s="72"/>
      <c r="X323" s="72"/>
      <c r="Y323" s="72"/>
      <c r="Z323" s="18"/>
      <c r="AA323" s="2386"/>
      <c r="AB323" s="2386"/>
      <c r="AC323" s="2386"/>
      <c r="AD323" s="2386"/>
      <c r="AE323" s="2386"/>
      <c r="AF323" s="2386"/>
      <c r="AG323" s="2386"/>
      <c r="AH323" s="2386"/>
      <c r="AI323" s="2386"/>
      <c r="AJ323" s="2386"/>
      <c r="AK323" s="238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72"/>
      <c r="I325" s="1672"/>
      <c r="J325" s="1672"/>
      <c r="K325" s="1672"/>
      <c r="L325" s="1672"/>
      <c r="M325" s="1672"/>
      <c r="N325" s="1672"/>
      <c r="O325" s="1672"/>
      <c r="P325" s="1672"/>
      <c r="Q325" s="1672"/>
      <c r="R325" s="1672"/>
      <c r="S325" s="16"/>
      <c r="T325" s="72" t="s">
        <v>99</v>
      </c>
      <c r="U325" s="16"/>
      <c r="V325" s="72"/>
      <c r="W325" s="72"/>
      <c r="X325" s="72"/>
      <c r="Y325" s="72"/>
      <c r="Z325" s="16"/>
      <c r="AA325" s="1672"/>
      <c r="AB325" s="1672"/>
      <c r="AC325" s="1672"/>
      <c r="AD325" s="1672"/>
      <c r="AE325" s="1672"/>
      <c r="AF325" s="1672"/>
      <c r="AG325" s="1672"/>
      <c r="AH325" s="1672"/>
      <c r="AI325" s="1672"/>
      <c r="AJ325" s="1672"/>
      <c r="AK325" s="1672"/>
      <c r="AL325" s="327"/>
      <c r="AM325" s="137"/>
      <c r="AN325" s="439"/>
    </row>
    <row r="326" spans="1:76" s="46" customFormat="1" ht="12.75" customHeight="1">
      <c r="A326" s="153"/>
      <c r="B326" s="72" t="s">
        <v>760</v>
      </c>
      <c r="C326" s="72"/>
      <c r="D326" s="72"/>
      <c r="E326" s="72"/>
      <c r="F326" s="72"/>
      <c r="G326" s="16"/>
      <c r="H326" s="1666"/>
      <c r="I326" s="1666"/>
      <c r="J326" s="1666"/>
      <c r="K326" s="1666"/>
      <c r="L326" s="1666"/>
      <c r="M326" s="1666"/>
      <c r="N326" s="1666"/>
      <c r="O326" s="1666"/>
      <c r="P326" s="1666"/>
      <c r="Q326" s="1666"/>
      <c r="R326" s="1666"/>
      <c r="S326" s="16"/>
      <c r="T326" s="72" t="s">
        <v>760</v>
      </c>
      <c r="U326" s="16"/>
      <c r="V326" s="72"/>
      <c r="W326" s="72"/>
      <c r="X326" s="72"/>
      <c r="Y326" s="72"/>
      <c r="Z326" s="16"/>
      <c r="AA326" s="1666"/>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109</v>
      </c>
      <c r="C327" s="72"/>
      <c r="D327" s="72"/>
      <c r="E327" s="72"/>
      <c r="F327" s="72"/>
      <c r="G327" s="16"/>
      <c r="H327" s="1666"/>
      <c r="I327" s="1666"/>
      <c r="J327" s="1666"/>
      <c r="K327" s="1666"/>
      <c r="L327" s="1666"/>
      <c r="M327" s="1666"/>
      <c r="N327" s="1666"/>
      <c r="O327" s="1666"/>
      <c r="P327" s="1666"/>
      <c r="Q327" s="1666"/>
      <c r="R327" s="1666"/>
      <c r="S327" s="16"/>
      <c r="T327" s="72" t="s">
        <v>109</v>
      </c>
      <c r="U327" s="16"/>
      <c r="V327" s="72"/>
      <c r="W327" s="72"/>
      <c r="X327" s="72"/>
      <c r="Y327" s="72"/>
      <c r="Z327" s="16"/>
      <c r="AA327" s="1666"/>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414</v>
      </c>
      <c r="C328" s="72"/>
      <c r="D328" s="72"/>
      <c r="E328" s="72"/>
      <c r="F328" s="72"/>
      <c r="G328" s="16"/>
      <c r="H328" s="1666"/>
      <c r="I328" s="1666"/>
      <c r="J328" s="1666"/>
      <c r="K328" s="1666"/>
      <c r="L328" s="1666"/>
      <c r="M328" s="1666"/>
      <c r="N328" s="1666"/>
      <c r="O328" s="1666"/>
      <c r="P328" s="1666"/>
      <c r="Q328" s="1666"/>
      <c r="R328" s="1666"/>
      <c r="S328" s="16"/>
      <c r="T328" s="72" t="s">
        <v>414</v>
      </c>
      <c r="U328" s="16"/>
      <c r="V328" s="72"/>
      <c r="W328" s="72"/>
      <c r="X328" s="72"/>
      <c r="Y328" s="72"/>
      <c r="Z328" s="16"/>
      <c r="AA328" s="1666"/>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415</v>
      </c>
      <c r="C329" s="72"/>
      <c r="D329" s="72"/>
      <c r="E329" s="72"/>
      <c r="F329" s="72"/>
      <c r="G329" s="72"/>
      <c r="H329" s="1667"/>
      <c r="I329" s="1667"/>
      <c r="J329" s="1667"/>
      <c r="K329" s="1667"/>
      <c r="L329" s="1667"/>
      <c r="M329" s="1667"/>
      <c r="N329" s="8" t="s">
        <v>891</v>
      </c>
      <c r="O329" s="8"/>
      <c r="P329" s="1668"/>
      <c r="Q329" s="1668"/>
      <c r="R329" s="1668"/>
      <c r="S329" s="72"/>
      <c r="T329" s="72" t="s">
        <v>415</v>
      </c>
      <c r="U329" s="16"/>
      <c r="V329" s="72"/>
      <c r="W329" s="72"/>
      <c r="X329" s="72"/>
      <c r="Y329" s="72"/>
      <c r="Z329" s="16"/>
      <c r="AA329" s="1667"/>
      <c r="AB329" s="1667"/>
      <c r="AC329" s="1667"/>
      <c r="AD329" s="1667"/>
      <c r="AE329" s="1667"/>
      <c r="AF329" s="1667"/>
      <c r="AG329" s="8" t="s">
        <v>891</v>
      </c>
      <c r="AH329" s="8"/>
      <c r="AI329" s="1668"/>
      <c r="AJ329" s="1668"/>
      <c r="AK329" s="1668"/>
      <c r="AL329" s="327"/>
      <c r="AM329" s="137"/>
      <c r="AN329" s="439"/>
    </row>
    <row r="330" spans="1:76" s="137" customFormat="1" ht="12.75" customHeight="1">
      <c r="A330" s="153"/>
      <c r="B330" s="72" t="s">
        <v>98</v>
      </c>
      <c r="C330" s="72"/>
      <c r="D330" s="72"/>
      <c r="E330" s="72"/>
      <c r="F330" s="72"/>
      <c r="G330" s="72"/>
      <c r="H330" s="1666"/>
      <c r="I330" s="1666"/>
      <c r="J330" s="1666"/>
      <c r="K330" s="1666"/>
      <c r="L330" s="1666"/>
      <c r="M330" s="1666"/>
      <c r="N330" s="1666"/>
      <c r="O330" s="1666"/>
      <c r="P330" s="1666"/>
      <c r="Q330" s="1666"/>
      <c r="R330" s="1666"/>
      <c r="S330" s="72"/>
      <c r="T330" s="72" t="s">
        <v>98</v>
      </c>
      <c r="U330" s="16"/>
      <c r="V330" s="72"/>
      <c r="W330" s="72"/>
      <c r="X330" s="72"/>
      <c r="Y330" s="72"/>
      <c r="Z330" s="16"/>
      <c r="AA330" s="1666"/>
      <c r="AB330" s="1666"/>
      <c r="AC330" s="1666"/>
      <c r="AD330" s="1666"/>
      <c r="AE330" s="1666"/>
      <c r="AF330" s="1666"/>
      <c r="AG330" s="1666"/>
      <c r="AH330" s="1666"/>
      <c r="AI330" s="1666"/>
      <c r="AJ330" s="1666"/>
      <c r="AK330" s="1666"/>
      <c r="AL330" s="327"/>
      <c r="AN330" s="1087"/>
    </row>
    <row r="331" spans="1:76" s="46" customFormat="1" ht="12.75" customHeight="1">
      <c r="A331" s="153"/>
      <c r="B331" s="72" t="s">
        <v>100</v>
      </c>
      <c r="C331" s="72"/>
      <c r="D331" s="72"/>
      <c r="E331" s="72"/>
      <c r="F331" s="72"/>
      <c r="G331" s="72"/>
      <c r="H331" s="1666"/>
      <c r="I331" s="1666"/>
      <c r="J331" s="1666"/>
      <c r="K331" s="1666"/>
      <c r="L331" s="1666"/>
      <c r="M331" s="1666"/>
      <c r="N331" s="1666"/>
      <c r="O331" s="1666"/>
      <c r="P331" s="1666"/>
      <c r="Q331" s="1666"/>
      <c r="R331" s="1666"/>
      <c r="S331" s="72"/>
      <c r="T331" s="72" t="s">
        <v>100</v>
      </c>
      <c r="U331" s="16"/>
      <c r="V331" s="72"/>
      <c r="W331" s="72"/>
      <c r="X331" s="72"/>
      <c r="Y331" s="72"/>
      <c r="Z331" s="16"/>
      <c r="AA331" s="1666"/>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111</v>
      </c>
      <c r="C332" s="72"/>
      <c r="D332" s="72"/>
      <c r="E332" s="72"/>
      <c r="F332" s="72"/>
      <c r="G332" s="72"/>
      <c r="H332" s="2386"/>
      <c r="I332" s="2386"/>
      <c r="J332" s="2386"/>
      <c r="K332" s="2386"/>
      <c r="L332" s="2386"/>
      <c r="M332" s="2386"/>
      <c r="N332" s="2386"/>
      <c r="O332" s="2386"/>
      <c r="P332" s="2386"/>
      <c r="Q332" s="2386"/>
      <c r="R332" s="2386"/>
      <c r="S332" s="72"/>
      <c r="T332" s="72" t="s">
        <v>111</v>
      </c>
      <c r="U332" s="72"/>
      <c r="V332" s="72"/>
      <c r="W332" s="72"/>
      <c r="X332" s="72"/>
      <c r="Y332" s="72"/>
      <c r="Z332" s="18"/>
      <c r="AA332" s="2386"/>
      <c r="AB332" s="2386"/>
      <c r="AC332" s="2386"/>
      <c r="AD332" s="2386"/>
      <c r="AE332" s="2386"/>
      <c r="AF332" s="2386"/>
      <c r="AG332" s="2386"/>
      <c r="AH332" s="2386"/>
      <c r="AI332" s="2386"/>
      <c r="AJ332" s="2386"/>
      <c r="AK332" s="238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7" t="s">
        <v>404</v>
      </c>
      <c r="AF335" s="2387"/>
      <c r="AG335" s="2387"/>
      <c r="AH335" s="2387"/>
      <c r="AI335" s="2387"/>
      <c r="AJ335" s="2387"/>
      <c r="AK335" s="2387"/>
      <c r="AL335" s="152"/>
      <c r="AM335" s="1369"/>
      <c r="AN335" s="152"/>
    </row>
    <row r="336" spans="1:76" s="46" customFormat="1" ht="12.75" customHeight="1">
      <c r="A336" s="152"/>
      <c r="B336" s="161"/>
      <c r="C336" s="2388" t="s">
        <v>2017</v>
      </c>
      <c r="D336" s="2388"/>
      <c r="E336" s="2388"/>
      <c r="F336" s="2388"/>
      <c r="G336" s="2388"/>
      <c r="H336" s="2388"/>
      <c r="I336" s="2388"/>
      <c r="J336" s="2388"/>
      <c r="K336" s="2388"/>
      <c r="L336" s="2388"/>
      <c r="M336" s="2388"/>
      <c r="N336" s="2388"/>
      <c r="O336" s="2388"/>
      <c r="P336" s="2388"/>
      <c r="Q336" s="2388"/>
      <c r="R336" s="2388"/>
      <c r="S336" s="2388"/>
      <c r="T336" s="2388"/>
      <c r="U336" s="2388"/>
      <c r="V336" s="2388"/>
      <c r="W336" s="2388"/>
      <c r="X336" s="2388"/>
      <c r="Y336" s="2388"/>
      <c r="Z336" s="2388"/>
      <c r="AA336" s="2388"/>
      <c r="AB336" s="2388"/>
      <c r="AC336" s="2388"/>
      <c r="AD336" s="2388"/>
      <c r="AE336" s="2388"/>
      <c r="AF336" s="2388"/>
      <c r="AG336" s="2388"/>
      <c r="AH336" s="2388"/>
      <c r="AI336" s="2388"/>
      <c r="AJ336" s="2388"/>
      <c r="AM336" s="1370"/>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row>
    <row r="337" spans="1:76" s="46" customFormat="1" ht="12.75" customHeight="1">
      <c r="A337" s="16"/>
      <c r="C337" s="2388"/>
      <c r="D337" s="2388"/>
      <c r="E337" s="2388"/>
      <c r="F337" s="2388"/>
      <c r="G337" s="2388"/>
      <c r="H337" s="2388"/>
      <c r="I337" s="2388"/>
      <c r="J337" s="2388"/>
      <c r="K337" s="2388"/>
      <c r="L337" s="2388"/>
      <c r="M337" s="2388"/>
      <c r="N337" s="2388"/>
      <c r="O337" s="2388"/>
      <c r="P337" s="2388"/>
      <c r="Q337" s="2388"/>
      <c r="R337" s="2388"/>
      <c r="S337" s="2388"/>
      <c r="T337" s="2388"/>
      <c r="U337" s="2388"/>
      <c r="V337" s="2388"/>
      <c r="W337" s="2388"/>
      <c r="X337" s="2388"/>
      <c r="Y337" s="2388"/>
      <c r="Z337" s="2388"/>
      <c r="AA337" s="2388"/>
      <c r="AB337" s="2388"/>
      <c r="AC337" s="2388"/>
      <c r="AD337" s="2388"/>
      <c r="AE337" s="2388"/>
      <c r="AF337" s="2388"/>
      <c r="AG337" s="2388"/>
      <c r="AH337" s="2388"/>
      <c r="AI337" s="2388"/>
      <c r="AJ337" s="2388"/>
      <c r="AK337" s="152"/>
      <c r="AL337" s="152"/>
      <c r="AM337" s="163"/>
      <c r="AN337" s="439"/>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row>
    <row r="338" spans="1:76" s="46" customFormat="1" ht="12.75" customHeight="1">
      <c r="A338" s="163"/>
      <c r="B338" s="164"/>
      <c r="C338" s="2388"/>
      <c r="D338" s="2388"/>
      <c r="E338" s="2388"/>
      <c r="F338" s="2388"/>
      <c r="G338" s="2388"/>
      <c r="H338" s="2388"/>
      <c r="I338" s="2388"/>
      <c r="J338" s="2388"/>
      <c r="K338" s="2388"/>
      <c r="L338" s="2388"/>
      <c r="M338" s="2388"/>
      <c r="N338" s="2388"/>
      <c r="O338" s="2388"/>
      <c r="P338" s="2388"/>
      <c r="Q338" s="2388"/>
      <c r="R338" s="2388"/>
      <c r="S338" s="2388"/>
      <c r="T338" s="2388"/>
      <c r="U338" s="2388"/>
      <c r="V338" s="2388"/>
      <c r="W338" s="2388"/>
      <c r="X338" s="2388"/>
      <c r="Y338" s="2388"/>
      <c r="Z338" s="2388"/>
      <c r="AA338" s="2388"/>
      <c r="AB338" s="2388"/>
      <c r="AC338" s="2388"/>
      <c r="AD338" s="2388"/>
      <c r="AE338" s="2388"/>
      <c r="AF338" s="2388"/>
      <c r="AG338" s="2388"/>
      <c r="AH338" s="2388"/>
      <c r="AI338" s="2388"/>
      <c r="AJ338" s="2388"/>
      <c r="AK338" s="163"/>
      <c r="AL338" s="163"/>
      <c r="AM338" s="163"/>
      <c r="AN338" s="439"/>
      <c r="AO338" s="293"/>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row>
    <row r="339" spans="1:76" s="46" customFormat="1" ht="12.75" customHeight="1">
      <c r="A339" s="163"/>
      <c r="B339" s="164"/>
      <c r="C339" s="2388"/>
      <c r="D339" s="2388"/>
      <c r="E339" s="2388"/>
      <c r="F339" s="2388"/>
      <c r="G339" s="2388"/>
      <c r="H339" s="2388"/>
      <c r="I339" s="2388"/>
      <c r="J339" s="2388"/>
      <c r="K339" s="2388"/>
      <c r="L339" s="2388"/>
      <c r="M339" s="2388"/>
      <c r="N339" s="2388"/>
      <c r="O339" s="2388"/>
      <c r="P339" s="2388"/>
      <c r="Q339" s="2388"/>
      <c r="R339" s="2388"/>
      <c r="S339" s="2388"/>
      <c r="T339" s="2388"/>
      <c r="U339" s="2388"/>
      <c r="V339" s="2388"/>
      <c r="W339" s="2388"/>
      <c r="X339" s="2388"/>
      <c r="Y339" s="2388"/>
      <c r="Z339" s="2388"/>
      <c r="AA339" s="2388"/>
      <c r="AB339" s="2388"/>
      <c r="AC339" s="2388"/>
      <c r="AD339" s="2388"/>
      <c r="AE339" s="2388"/>
      <c r="AF339" s="2388"/>
      <c r="AG339" s="2388"/>
      <c r="AH339" s="2388"/>
      <c r="AI339" s="2388"/>
      <c r="AJ339" s="2388"/>
      <c r="AK339" s="163"/>
      <c r="AL339" s="163"/>
      <c r="AM339" s="163"/>
      <c r="AN339" s="439"/>
      <c r="AO339" s="293"/>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row>
    <row r="340" spans="1:76" s="46" customFormat="1" ht="12.75" customHeight="1">
      <c r="A340" s="163"/>
      <c r="B340" s="164"/>
      <c r="C340" s="2388"/>
      <c r="D340" s="2388"/>
      <c r="E340" s="2388"/>
      <c r="F340" s="2388"/>
      <c r="G340" s="2388"/>
      <c r="H340" s="2388"/>
      <c r="I340" s="2388"/>
      <c r="J340" s="2388"/>
      <c r="K340" s="2388"/>
      <c r="L340" s="2388"/>
      <c r="M340" s="2388"/>
      <c r="N340" s="2388"/>
      <c r="O340" s="2388"/>
      <c r="P340" s="2388"/>
      <c r="Q340" s="2388"/>
      <c r="R340" s="2388"/>
      <c r="S340" s="2388"/>
      <c r="T340" s="2388"/>
      <c r="U340" s="2388"/>
      <c r="V340" s="2388"/>
      <c r="W340" s="2388"/>
      <c r="X340" s="2388"/>
      <c r="Y340" s="2388"/>
      <c r="Z340" s="2388"/>
      <c r="AA340" s="2388"/>
      <c r="AB340" s="2388"/>
      <c r="AC340" s="2388"/>
      <c r="AD340" s="2388"/>
      <c r="AE340" s="2388"/>
      <c r="AF340" s="2388"/>
      <c r="AG340" s="2388"/>
      <c r="AH340" s="2388"/>
      <c r="AI340" s="2388"/>
      <c r="AJ340" s="2388"/>
      <c r="AK340" s="163"/>
      <c r="AL340" s="163"/>
      <c r="AM340" s="163"/>
      <c r="AN340" s="439"/>
      <c r="AO340" s="293"/>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row>
    <row r="341" spans="1:76" s="46" customFormat="1" ht="12.75" customHeight="1">
      <c r="A341" s="163"/>
      <c r="B341" s="164"/>
      <c r="C341" s="2388"/>
      <c r="D341" s="2388"/>
      <c r="E341" s="2388"/>
      <c r="F341" s="2388"/>
      <c r="G341" s="2388"/>
      <c r="H341" s="2388"/>
      <c r="I341" s="2388"/>
      <c r="J341" s="2388"/>
      <c r="K341" s="2388"/>
      <c r="L341" s="2388"/>
      <c r="M341" s="2388"/>
      <c r="N341" s="2388"/>
      <c r="O341" s="2388"/>
      <c r="P341" s="2388"/>
      <c r="Q341" s="2388"/>
      <c r="R341" s="2388"/>
      <c r="S341" s="2388"/>
      <c r="T341" s="2388"/>
      <c r="U341" s="2388"/>
      <c r="V341" s="2388"/>
      <c r="W341" s="2388"/>
      <c r="X341" s="2388"/>
      <c r="Y341" s="2388"/>
      <c r="Z341" s="2388"/>
      <c r="AA341" s="2388"/>
      <c r="AB341" s="2388"/>
      <c r="AC341" s="2388"/>
      <c r="AD341" s="2388"/>
      <c r="AE341" s="2388"/>
      <c r="AF341" s="2388"/>
      <c r="AG341" s="2388"/>
      <c r="AH341" s="2388"/>
      <c r="AI341" s="2388"/>
      <c r="AJ341" s="2388"/>
      <c r="AK341" s="163"/>
      <c r="AL341" s="163"/>
      <c r="AM341" s="163"/>
      <c r="AN341" s="439"/>
      <c r="AO341" s="293"/>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row>
    <row r="342" spans="1:76" s="46" customFormat="1" ht="12.4" customHeight="1">
      <c r="A342" s="163"/>
      <c r="B342" s="164"/>
      <c r="C342" s="2388"/>
      <c r="D342" s="2388"/>
      <c r="E342" s="2388"/>
      <c r="F342" s="2388"/>
      <c r="G342" s="2388"/>
      <c r="H342" s="2388"/>
      <c r="I342" s="2388"/>
      <c r="J342" s="2388"/>
      <c r="K342" s="2388"/>
      <c r="L342" s="2388"/>
      <c r="M342" s="2388"/>
      <c r="N342" s="2388"/>
      <c r="O342" s="2388"/>
      <c r="P342" s="2388"/>
      <c r="Q342" s="2388"/>
      <c r="R342" s="2388"/>
      <c r="S342" s="2388"/>
      <c r="T342" s="2388"/>
      <c r="U342" s="2388"/>
      <c r="V342" s="2388"/>
      <c r="W342" s="2388"/>
      <c r="X342" s="2388"/>
      <c r="Y342" s="2388"/>
      <c r="Z342" s="2388"/>
      <c r="AA342" s="2388"/>
      <c r="AB342" s="2388"/>
      <c r="AC342" s="2388"/>
      <c r="AD342" s="2388"/>
      <c r="AE342" s="2388"/>
      <c r="AF342" s="2388"/>
      <c r="AG342" s="2388"/>
      <c r="AH342" s="2388"/>
      <c r="AI342" s="2388"/>
      <c r="AJ342" s="2388"/>
      <c r="AK342" s="163"/>
      <c r="AL342" s="163"/>
      <c r="AM342" s="163"/>
      <c r="AN342" s="439"/>
      <c r="AO342" s="293"/>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row>
    <row r="343" spans="1:76" s="46" customFormat="1" ht="12.4" customHeight="1">
      <c r="A343" s="163"/>
      <c r="B343" s="164"/>
      <c r="C343" s="2388"/>
      <c r="D343" s="2388"/>
      <c r="E343" s="2388"/>
      <c r="F343" s="2388"/>
      <c r="G343" s="2388"/>
      <c r="H343" s="2388"/>
      <c r="I343" s="2388"/>
      <c r="J343" s="2388"/>
      <c r="K343" s="2388"/>
      <c r="L343" s="2388"/>
      <c r="M343" s="2388"/>
      <c r="N343" s="2388"/>
      <c r="O343" s="2388"/>
      <c r="P343" s="2388"/>
      <c r="Q343" s="2388"/>
      <c r="R343" s="2388"/>
      <c r="S343" s="2388"/>
      <c r="T343" s="2388"/>
      <c r="U343" s="2388"/>
      <c r="V343" s="2388"/>
      <c r="W343" s="2388"/>
      <c r="X343" s="2388"/>
      <c r="Y343" s="2388"/>
      <c r="Z343" s="2388"/>
      <c r="AA343" s="2388"/>
      <c r="AB343" s="2388"/>
      <c r="AC343" s="2388"/>
      <c r="AD343" s="2388"/>
      <c r="AE343" s="2388"/>
      <c r="AF343" s="2388"/>
      <c r="AG343" s="2388"/>
      <c r="AH343" s="2388"/>
      <c r="AI343" s="2388"/>
      <c r="AJ343" s="2388"/>
      <c r="AK343" s="163"/>
      <c r="AL343" s="163"/>
      <c r="AM343" s="163"/>
      <c r="AN343" s="439"/>
      <c r="AO343" s="293"/>
    </row>
    <row r="344" spans="1:76" s="46" customFormat="1" ht="12.75" customHeight="1">
      <c r="A344" s="163"/>
      <c r="B344" s="164"/>
      <c r="C344" s="2388" t="s">
        <v>2018</v>
      </c>
      <c r="D344" s="2388"/>
      <c r="E344" s="2388"/>
      <c r="F344" s="2388"/>
      <c r="G344" s="2388"/>
      <c r="H344" s="2388"/>
      <c r="I344" s="2388"/>
      <c r="J344" s="2388"/>
      <c r="K344" s="2388"/>
      <c r="L344" s="2388"/>
      <c r="M344" s="2388"/>
      <c r="N344" s="2388"/>
      <c r="O344" s="2388"/>
      <c r="P344" s="2388"/>
      <c r="Q344" s="2388"/>
      <c r="R344" s="2388"/>
      <c r="S344" s="2388"/>
      <c r="T344" s="2388"/>
      <c r="U344" s="2388"/>
      <c r="V344" s="2388"/>
      <c r="W344" s="2388"/>
      <c r="X344" s="2388"/>
      <c r="Y344" s="2388"/>
      <c r="Z344" s="2388"/>
      <c r="AA344" s="2388"/>
      <c r="AB344" s="2388"/>
      <c r="AC344" s="2388"/>
      <c r="AD344" s="2388"/>
      <c r="AE344" s="2388"/>
      <c r="AF344" s="2388"/>
      <c r="AG344" s="2388"/>
      <c r="AH344" s="2388"/>
      <c r="AI344" s="2388"/>
      <c r="AJ344" s="2388"/>
      <c r="AK344" s="163"/>
      <c r="AL344" s="163"/>
      <c r="AM344" s="163"/>
      <c r="AN344" s="439"/>
    </row>
    <row r="345" spans="1:76" s="46" customFormat="1" ht="12.75" customHeight="1">
      <c r="A345" s="163"/>
      <c r="B345" s="164"/>
      <c r="C345" s="2388"/>
      <c r="D345" s="2388"/>
      <c r="E345" s="2388"/>
      <c r="F345" s="2388"/>
      <c r="G345" s="2388"/>
      <c r="H345" s="2388"/>
      <c r="I345" s="2388"/>
      <c r="J345" s="2388"/>
      <c r="K345" s="2388"/>
      <c r="L345" s="2388"/>
      <c r="M345" s="2388"/>
      <c r="N345" s="2388"/>
      <c r="O345" s="2388"/>
      <c r="P345" s="2388"/>
      <c r="Q345" s="2388"/>
      <c r="R345" s="2388"/>
      <c r="S345" s="2388"/>
      <c r="T345" s="2388"/>
      <c r="U345" s="2388"/>
      <c r="V345" s="2388"/>
      <c r="W345" s="2388"/>
      <c r="X345" s="2388"/>
      <c r="Y345" s="2388"/>
      <c r="Z345" s="2388"/>
      <c r="AA345" s="2388"/>
      <c r="AB345" s="2388"/>
      <c r="AC345" s="2388"/>
      <c r="AD345" s="2388"/>
      <c r="AE345" s="2388"/>
      <c r="AF345" s="2388"/>
      <c r="AG345" s="2388"/>
      <c r="AH345" s="2388"/>
      <c r="AI345" s="2388"/>
      <c r="AJ345" s="2388"/>
      <c r="AK345" s="163"/>
      <c r="AL345" s="163"/>
      <c r="AM345" s="163"/>
      <c r="AN345" s="439"/>
    </row>
    <row r="346" spans="1:76" s="46" customFormat="1" ht="12.75" customHeight="1">
      <c r="A346" s="163"/>
      <c r="B346" s="164"/>
      <c r="C346" s="2388"/>
      <c r="D346" s="2388"/>
      <c r="E346" s="2388"/>
      <c r="F346" s="2388"/>
      <c r="G346" s="2388"/>
      <c r="H346" s="2388"/>
      <c r="I346" s="2388"/>
      <c r="J346" s="2388"/>
      <c r="K346" s="2388"/>
      <c r="L346" s="2388"/>
      <c r="M346" s="2388"/>
      <c r="N346" s="2388"/>
      <c r="O346" s="2388"/>
      <c r="P346" s="2388"/>
      <c r="Q346" s="2388"/>
      <c r="R346" s="2388"/>
      <c r="S346" s="2388"/>
      <c r="T346" s="2388"/>
      <c r="U346" s="2388"/>
      <c r="V346" s="2388"/>
      <c r="W346" s="2388"/>
      <c r="X346" s="2388"/>
      <c r="Y346" s="2388"/>
      <c r="Z346" s="2388"/>
      <c r="AA346" s="2388"/>
      <c r="AB346" s="2388"/>
      <c r="AC346" s="2388"/>
      <c r="AD346" s="2388"/>
      <c r="AE346" s="2388"/>
      <c r="AF346" s="2388"/>
      <c r="AG346" s="2388"/>
      <c r="AH346" s="2388"/>
      <c r="AI346" s="2388"/>
      <c r="AJ346" s="2388"/>
      <c r="AK346" s="163"/>
      <c r="AL346" s="163"/>
      <c r="AM346" s="163"/>
      <c r="AN346" s="439"/>
      <c r="AQ346" s="50"/>
      <c r="AR346" s="137"/>
    </row>
    <row r="347" spans="1:76" s="46" customFormat="1" ht="12.75" customHeight="1">
      <c r="A347" s="163"/>
      <c r="B347" s="144"/>
      <c r="C347" s="2388"/>
      <c r="D347" s="2388"/>
      <c r="E347" s="2388"/>
      <c r="F347" s="2388"/>
      <c r="G347" s="2388"/>
      <c r="H347" s="2388"/>
      <c r="I347" s="2388"/>
      <c r="J347" s="2388"/>
      <c r="K347" s="2388"/>
      <c r="L347" s="2388"/>
      <c r="M347" s="2388"/>
      <c r="N347" s="2388"/>
      <c r="O347" s="2388"/>
      <c r="P347" s="2388"/>
      <c r="Q347" s="2388"/>
      <c r="R347" s="2388"/>
      <c r="S347" s="2388"/>
      <c r="T347" s="2388"/>
      <c r="U347" s="2388"/>
      <c r="V347" s="2388"/>
      <c r="W347" s="2388"/>
      <c r="X347" s="2388"/>
      <c r="Y347" s="2388"/>
      <c r="Z347" s="2388"/>
      <c r="AA347" s="2388"/>
      <c r="AB347" s="2388"/>
      <c r="AC347" s="2388"/>
      <c r="AD347" s="2388"/>
      <c r="AE347" s="2388"/>
      <c r="AF347" s="2388"/>
      <c r="AG347" s="2388"/>
      <c r="AH347" s="2388"/>
      <c r="AI347" s="2388"/>
      <c r="AJ347" s="2388"/>
      <c r="AK347" s="163"/>
      <c r="AL347" s="163"/>
      <c r="AM347" s="163"/>
      <c r="AN347" s="439"/>
      <c r="AQ347" s="50"/>
      <c r="AR347" s="137"/>
    </row>
    <row r="348" spans="1:76" s="46" customFormat="1" ht="12.4" customHeight="1">
      <c r="A348" s="163"/>
      <c r="B348" s="144"/>
      <c r="C348" s="2388"/>
      <c r="D348" s="2388"/>
      <c r="E348" s="2388"/>
      <c r="F348" s="2388"/>
      <c r="G348" s="2388"/>
      <c r="H348" s="2388"/>
      <c r="I348" s="2388"/>
      <c r="J348" s="2388"/>
      <c r="K348" s="2388"/>
      <c r="L348" s="2388"/>
      <c r="M348" s="2388"/>
      <c r="N348" s="2388"/>
      <c r="O348" s="2388"/>
      <c r="P348" s="2388"/>
      <c r="Q348" s="2388"/>
      <c r="R348" s="2388"/>
      <c r="S348" s="2388"/>
      <c r="T348" s="2388"/>
      <c r="U348" s="2388"/>
      <c r="V348" s="2388"/>
      <c r="W348" s="2388"/>
      <c r="X348" s="2388"/>
      <c r="Y348" s="2388"/>
      <c r="Z348" s="2388"/>
      <c r="AA348" s="2388"/>
      <c r="AB348" s="2388"/>
      <c r="AC348" s="2388"/>
      <c r="AD348" s="2388"/>
      <c r="AE348" s="2388"/>
      <c r="AF348" s="2388"/>
      <c r="AG348" s="2388"/>
      <c r="AH348" s="2388"/>
      <c r="AI348" s="2388"/>
      <c r="AJ348" s="2388"/>
      <c r="AK348" s="163"/>
      <c r="AL348" s="163"/>
      <c r="AM348" s="163"/>
      <c r="AN348" s="439"/>
      <c r="AQ348" s="50"/>
      <c r="AR348" s="50"/>
    </row>
    <row r="349" spans="1:76" s="46" customFormat="1" ht="12.75" customHeight="1">
      <c r="A349" s="163"/>
      <c r="B349" s="144"/>
      <c r="C349" s="2388" t="s">
        <v>2019</v>
      </c>
      <c r="D349" s="2388"/>
      <c r="E349" s="2388"/>
      <c r="F349" s="2388"/>
      <c r="G349" s="2388"/>
      <c r="H349" s="2388"/>
      <c r="I349" s="2388"/>
      <c r="J349" s="2388"/>
      <c r="K349" s="2388"/>
      <c r="L349" s="2388"/>
      <c r="M349" s="2388"/>
      <c r="N349" s="2388"/>
      <c r="O349" s="2388"/>
      <c r="P349" s="2388"/>
      <c r="Q349" s="2388"/>
      <c r="R349" s="2388"/>
      <c r="S349" s="2388"/>
      <c r="T349" s="2388"/>
      <c r="U349" s="2388"/>
      <c r="V349" s="2388"/>
      <c r="W349" s="2388"/>
      <c r="X349" s="2388"/>
      <c r="Y349" s="2388"/>
      <c r="Z349" s="2388"/>
      <c r="AA349" s="2388"/>
      <c r="AB349" s="2388"/>
      <c r="AC349" s="2388"/>
      <c r="AD349" s="2388"/>
      <c r="AE349" s="2388"/>
      <c r="AF349" s="2388"/>
      <c r="AG349" s="2388"/>
      <c r="AH349" s="2388"/>
      <c r="AI349" s="2388"/>
      <c r="AJ349" s="2388"/>
      <c r="AK349" s="163"/>
      <c r="AL349" s="163"/>
      <c r="AM349" s="163"/>
      <c r="AN349" s="439"/>
      <c r="AQ349" s="50"/>
      <c r="AR349" s="50"/>
    </row>
    <row r="350" spans="1:76" s="46" customFormat="1" ht="12.75" customHeight="1">
      <c r="A350" s="163"/>
      <c r="B350" s="144"/>
      <c r="C350" s="2388"/>
      <c r="D350" s="2388"/>
      <c r="E350" s="2388"/>
      <c r="F350" s="2388"/>
      <c r="G350" s="2388"/>
      <c r="H350" s="2388"/>
      <c r="I350" s="2388"/>
      <c r="J350" s="2388"/>
      <c r="K350" s="2388"/>
      <c r="L350" s="2388"/>
      <c r="M350" s="2388"/>
      <c r="N350" s="2388"/>
      <c r="O350" s="2388"/>
      <c r="P350" s="2388"/>
      <c r="Q350" s="2388"/>
      <c r="R350" s="2388"/>
      <c r="S350" s="2388"/>
      <c r="T350" s="2388"/>
      <c r="U350" s="2388"/>
      <c r="V350" s="2388"/>
      <c r="W350" s="2388"/>
      <c r="X350" s="2388"/>
      <c r="Y350" s="2388"/>
      <c r="Z350" s="2388"/>
      <c r="AA350" s="2388"/>
      <c r="AB350" s="2388"/>
      <c r="AC350" s="2388"/>
      <c r="AD350" s="2388"/>
      <c r="AE350" s="2388"/>
      <c r="AF350" s="2388"/>
      <c r="AG350" s="2388"/>
      <c r="AH350" s="2388"/>
      <c r="AI350" s="2388"/>
      <c r="AJ350" s="2388"/>
      <c r="AK350" s="163"/>
      <c r="AL350" s="163"/>
      <c r="AM350" s="163"/>
      <c r="AN350" s="439"/>
      <c r="AQ350" s="137"/>
      <c r="AR350" s="50"/>
    </row>
    <row r="351" spans="1:76" s="46" customFormat="1" ht="12.75" customHeight="1">
      <c r="A351" s="163"/>
      <c r="B351" s="144"/>
      <c r="C351" s="2388"/>
      <c r="D351" s="2388"/>
      <c r="E351" s="2388"/>
      <c r="F351" s="2388"/>
      <c r="G351" s="2388"/>
      <c r="H351" s="2388"/>
      <c r="I351" s="2388"/>
      <c r="J351" s="2388"/>
      <c r="K351" s="2388"/>
      <c r="L351" s="2388"/>
      <c r="M351" s="2388"/>
      <c r="N351" s="2388"/>
      <c r="O351" s="2388"/>
      <c r="P351" s="2388"/>
      <c r="Q351" s="2388"/>
      <c r="R351" s="2388"/>
      <c r="S351" s="2388"/>
      <c r="T351" s="2388"/>
      <c r="U351" s="2388"/>
      <c r="V351" s="2388"/>
      <c r="W351" s="2388"/>
      <c r="X351" s="2388"/>
      <c r="Y351" s="2388"/>
      <c r="Z351" s="2388"/>
      <c r="AA351" s="2388"/>
      <c r="AB351" s="2388"/>
      <c r="AC351" s="2388"/>
      <c r="AD351" s="2388"/>
      <c r="AE351" s="2388"/>
      <c r="AF351" s="2388"/>
      <c r="AG351" s="2388"/>
      <c r="AH351" s="2388"/>
      <c r="AI351" s="2388"/>
      <c r="AJ351" s="2388"/>
      <c r="AK351" s="163"/>
      <c r="AL351" s="163"/>
      <c r="AM351" s="163"/>
      <c r="AN351" s="439"/>
      <c r="AQ351" s="137"/>
      <c r="AR351" s="50"/>
    </row>
    <row r="352" spans="1:76" s="46" customFormat="1" ht="12.75" customHeight="1">
      <c r="A352" s="163"/>
      <c r="B352" s="144"/>
      <c r="C352" s="2388" t="s">
        <v>2020</v>
      </c>
      <c r="D352" s="2388"/>
      <c r="E352" s="2388"/>
      <c r="F352" s="2388"/>
      <c r="G352" s="2388"/>
      <c r="H352" s="2388"/>
      <c r="I352" s="2388"/>
      <c r="J352" s="2388"/>
      <c r="K352" s="2388"/>
      <c r="L352" s="2388"/>
      <c r="M352" s="2388"/>
      <c r="N352" s="2388"/>
      <c r="O352" s="2388"/>
      <c r="P352" s="2388"/>
      <c r="Q352" s="2388"/>
      <c r="R352" s="2388"/>
      <c r="S352" s="2388"/>
      <c r="T352" s="2388"/>
      <c r="U352" s="2388"/>
      <c r="V352" s="2388"/>
      <c r="W352" s="2388"/>
      <c r="X352" s="2388"/>
      <c r="Y352" s="2388"/>
      <c r="Z352" s="2388"/>
      <c r="AA352" s="2388"/>
      <c r="AB352" s="2388"/>
      <c r="AC352" s="2388"/>
      <c r="AD352" s="2388"/>
      <c r="AE352" s="2388"/>
      <c r="AF352" s="2388"/>
      <c r="AG352" s="2388"/>
      <c r="AH352" s="2388"/>
      <c r="AI352" s="2388"/>
      <c r="AJ352" s="2388"/>
      <c r="AK352" s="163"/>
      <c r="AL352" s="163"/>
      <c r="AM352" s="163"/>
      <c r="AN352" s="439"/>
      <c r="AQ352" s="50"/>
      <c r="AR352" s="50"/>
    </row>
    <row r="353" spans="1:46" s="46" customFormat="1" ht="12.75" customHeight="1">
      <c r="A353" s="163"/>
      <c r="B353" s="144"/>
      <c r="C353" s="2388"/>
      <c r="D353" s="2388"/>
      <c r="E353" s="2388"/>
      <c r="F353" s="2388"/>
      <c r="G353" s="2388"/>
      <c r="H353" s="2388"/>
      <c r="I353" s="2388"/>
      <c r="J353" s="2388"/>
      <c r="K353" s="2388"/>
      <c r="L353" s="2388"/>
      <c r="M353" s="2388"/>
      <c r="N353" s="2388"/>
      <c r="O353" s="2388"/>
      <c r="P353" s="2388"/>
      <c r="Q353" s="2388"/>
      <c r="R353" s="2388"/>
      <c r="S353" s="2388"/>
      <c r="T353" s="2388"/>
      <c r="U353" s="2388"/>
      <c r="V353" s="2388"/>
      <c r="W353" s="2388"/>
      <c r="X353" s="2388"/>
      <c r="Y353" s="2388"/>
      <c r="Z353" s="2388"/>
      <c r="AA353" s="2388"/>
      <c r="AB353" s="2388"/>
      <c r="AC353" s="2388"/>
      <c r="AD353" s="2388"/>
      <c r="AE353" s="2388"/>
      <c r="AF353" s="2388"/>
      <c r="AG353" s="2388"/>
      <c r="AH353" s="2388"/>
      <c r="AI353" s="2388"/>
      <c r="AJ353" s="2388"/>
      <c r="AK353" s="163"/>
      <c r="AL353" s="163"/>
      <c r="AM353" s="163"/>
      <c r="AN353" s="439"/>
      <c r="AQ353" s="50"/>
      <c r="AR353" s="50"/>
    </row>
    <row r="354" spans="1:46" s="46" customFormat="1" ht="13.15" customHeight="1">
      <c r="A354" s="163"/>
      <c r="B354" s="144"/>
      <c r="C354" s="2388"/>
      <c r="D354" s="2388"/>
      <c r="E354" s="2388"/>
      <c r="F354" s="2388"/>
      <c r="G354" s="2388"/>
      <c r="H354" s="2388"/>
      <c r="I354" s="2388"/>
      <c r="J354" s="2388"/>
      <c r="K354" s="2388"/>
      <c r="L354" s="2388"/>
      <c r="M354" s="2388"/>
      <c r="N354" s="2388"/>
      <c r="O354" s="2388"/>
      <c r="P354" s="2388"/>
      <c r="Q354" s="2388"/>
      <c r="R354" s="2388"/>
      <c r="S354" s="2388"/>
      <c r="T354" s="2388"/>
      <c r="U354" s="2388"/>
      <c r="V354" s="2388"/>
      <c r="W354" s="2388"/>
      <c r="X354" s="2388"/>
      <c r="Y354" s="2388"/>
      <c r="Z354" s="2388"/>
      <c r="AA354" s="2388"/>
      <c r="AB354" s="2388"/>
      <c r="AC354" s="2388"/>
      <c r="AD354" s="2388"/>
      <c r="AE354" s="2388"/>
      <c r="AF354" s="2388"/>
      <c r="AG354" s="2388"/>
      <c r="AH354" s="2388"/>
      <c r="AI354" s="2388"/>
      <c r="AJ354" s="2388"/>
      <c r="AK354" s="163"/>
      <c r="AL354" s="163"/>
      <c r="AM354" s="163"/>
      <c r="AN354" s="439"/>
      <c r="AQ354" s="50"/>
      <c r="AR354" s="50"/>
    </row>
    <row r="355" spans="1:46" s="46" customFormat="1" ht="12.75" customHeight="1">
      <c r="A355" s="163"/>
      <c r="B355" s="144"/>
      <c r="C355" s="2388"/>
      <c r="D355" s="2388"/>
      <c r="E355" s="2388"/>
      <c r="F355" s="2388"/>
      <c r="G355" s="2388"/>
      <c r="H355" s="2388"/>
      <c r="I355" s="2388"/>
      <c r="J355" s="2388"/>
      <c r="K355" s="2388"/>
      <c r="L355" s="2388"/>
      <c r="M355" s="2388"/>
      <c r="N355" s="2388"/>
      <c r="O355" s="2388"/>
      <c r="P355" s="2388"/>
      <c r="Q355" s="2388"/>
      <c r="R355" s="2388"/>
      <c r="S355" s="2388"/>
      <c r="T355" s="2388"/>
      <c r="U355" s="2388"/>
      <c r="V355" s="2388"/>
      <c r="W355" s="2388"/>
      <c r="X355" s="2388"/>
      <c r="Y355" s="2388"/>
      <c r="Z355" s="2388"/>
      <c r="AA355" s="2388"/>
      <c r="AB355" s="2388"/>
      <c r="AC355" s="2388"/>
      <c r="AD355" s="2388"/>
      <c r="AE355" s="2388"/>
      <c r="AF355" s="2388"/>
      <c r="AG355" s="2388"/>
      <c r="AH355" s="2388"/>
      <c r="AI355" s="2388"/>
      <c r="AJ355" s="2388"/>
      <c r="AK355" s="163"/>
      <c r="AL355" s="163"/>
      <c r="AM355" s="163"/>
      <c r="AN355" s="439"/>
      <c r="AO355" s="257"/>
      <c r="AP355" s="257"/>
      <c r="AQ355" s="50"/>
      <c r="AR355" s="137"/>
    </row>
    <row r="356" spans="1:46" s="46" customFormat="1" ht="11.85" customHeight="1">
      <c r="A356" s="163"/>
      <c r="B356" s="144"/>
      <c r="C356" s="2388"/>
      <c r="D356" s="2388"/>
      <c r="E356" s="2388"/>
      <c r="F356" s="2388"/>
      <c r="G356" s="2388"/>
      <c r="H356" s="2388"/>
      <c r="I356" s="2388"/>
      <c r="J356" s="2388"/>
      <c r="K356" s="2388"/>
      <c r="L356" s="2388"/>
      <c r="M356" s="2388"/>
      <c r="N356" s="2388"/>
      <c r="O356" s="2388"/>
      <c r="P356" s="2388"/>
      <c r="Q356" s="2388"/>
      <c r="R356" s="2388"/>
      <c r="S356" s="2388"/>
      <c r="T356" s="2388"/>
      <c r="U356" s="2388"/>
      <c r="V356" s="2388"/>
      <c r="W356" s="2388"/>
      <c r="X356" s="2388"/>
      <c r="Y356" s="2388"/>
      <c r="Z356" s="2388"/>
      <c r="AA356" s="2388"/>
      <c r="AB356" s="2388"/>
      <c r="AC356" s="2388"/>
      <c r="AD356" s="2388"/>
      <c r="AE356" s="2388"/>
      <c r="AF356" s="2388"/>
      <c r="AG356" s="2388"/>
      <c r="AH356" s="2388"/>
      <c r="AI356" s="2388"/>
      <c r="AJ356" s="2388"/>
      <c r="AK356" s="163"/>
      <c r="AL356" s="163"/>
      <c r="AM356" s="163"/>
      <c r="AN356" s="439"/>
      <c r="AO356" s="1116" t="s">
        <v>982</v>
      </c>
      <c r="AP356" s="1117">
        <f>IF(C381="Yes",5,0)</f>
        <v>5</v>
      </c>
      <c r="AQ356" s="137"/>
      <c r="AR356" s="137"/>
      <c r="AS356" s="63" t="s">
        <v>1945</v>
      </c>
    </row>
    <row r="357" spans="1:46" s="46" customFormat="1" ht="12.75" customHeight="1">
      <c r="A357" s="163"/>
      <c r="B357" s="144"/>
      <c r="C357" s="2388"/>
      <c r="D357" s="2388"/>
      <c r="E357" s="2388"/>
      <c r="F357" s="2388"/>
      <c r="G357" s="2388"/>
      <c r="H357" s="2388"/>
      <c r="I357" s="2388"/>
      <c r="J357" s="2388"/>
      <c r="K357" s="2388"/>
      <c r="L357" s="2388"/>
      <c r="M357" s="2388"/>
      <c r="N357" s="2388"/>
      <c r="O357" s="2388"/>
      <c r="P357" s="2388"/>
      <c r="Q357" s="2388"/>
      <c r="R357" s="2388"/>
      <c r="S357" s="2388"/>
      <c r="T357" s="2388"/>
      <c r="U357" s="2388"/>
      <c r="V357" s="2388"/>
      <c r="W357" s="2388"/>
      <c r="X357" s="2388"/>
      <c r="Y357" s="2388"/>
      <c r="Z357" s="2388"/>
      <c r="AA357" s="2388"/>
      <c r="AB357" s="2388"/>
      <c r="AC357" s="2388"/>
      <c r="AD357" s="2388"/>
      <c r="AE357" s="2388"/>
      <c r="AF357" s="2388"/>
      <c r="AG357" s="2388"/>
      <c r="AH357" s="2388"/>
      <c r="AI357" s="2388"/>
      <c r="AJ357" s="2388"/>
      <c r="AK357" s="163"/>
      <c r="AL357" s="163"/>
      <c r="AM357" s="163"/>
      <c r="AN357" s="439"/>
      <c r="AO357" s="1116"/>
      <c r="AP357" s="1117"/>
      <c r="AQ357" s="137"/>
      <c r="AR357" s="137"/>
      <c r="AS357" s="2385">
        <f>IF(AQ370=0,AQ383,AQ370)</f>
        <v>10</v>
      </c>
      <c r="AT357" s="2385"/>
    </row>
    <row r="358" spans="1:46" s="46" customFormat="1" ht="12.75" customHeight="1">
      <c r="A358" s="163"/>
      <c r="B358" s="144"/>
      <c r="C358" s="2388"/>
      <c r="D358" s="2388"/>
      <c r="E358" s="2388"/>
      <c r="F358" s="2388"/>
      <c r="G358" s="2388"/>
      <c r="H358" s="2388"/>
      <c r="I358" s="2388"/>
      <c r="J358" s="2388"/>
      <c r="K358" s="2388"/>
      <c r="L358" s="2388"/>
      <c r="M358" s="2388"/>
      <c r="N358" s="2388"/>
      <c r="O358" s="2388"/>
      <c r="P358" s="2388"/>
      <c r="Q358" s="2388"/>
      <c r="R358" s="2388"/>
      <c r="S358" s="2388"/>
      <c r="T358" s="2388"/>
      <c r="U358" s="2388"/>
      <c r="V358" s="2388"/>
      <c r="W358" s="2388"/>
      <c r="X358" s="2388"/>
      <c r="Y358" s="2388"/>
      <c r="Z358" s="2388"/>
      <c r="AA358" s="2388"/>
      <c r="AB358" s="2388"/>
      <c r="AC358" s="2388"/>
      <c r="AD358" s="2388"/>
      <c r="AE358" s="2388"/>
      <c r="AF358" s="2388"/>
      <c r="AG358" s="2388"/>
      <c r="AH358" s="2388"/>
      <c r="AI358" s="2388"/>
      <c r="AJ358" s="2388"/>
      <c r="AK358" s="163"/>
      <c r="AL358" s="163"/>
      <c r="AM358" s="163"/>
      <c r="AN358" s="439"/>
      <c r="AO358" s="1116" t="s">
        <v>983</v>
      </c>
      <c r="AP358" s="1117">
        <f>IF(C391="Yes",5,0)</f>
        <v>0</v>
      </c>
      <c r="AS358" s="63" t="s">
        <v>1979</v>
      </c>
    </row>
    <row r="359" spans="1:46" s="46" customFormat="1" ht="12.75" customHeight="1">
      <c r="A359" s="163"/>
      <c r="B359" s="144"/>
      <c r="C359" s="2388"/>
      <c r="D359" s="2388"/>
      <c r="E359" s="2388"/>
      <c r="F359" s="2388"/>
      <c r="G359" s="2388"/>
      <c r="H359" s="2388"/>
      <c r="I359" s="2388"/>
      <c r="J359" s="2388"/>
      <c r="K359" s="2388"/>
      <c r="L359" s="2388"/>
      <c r="M359" s="2388"/>
      <c r="N359" s="2388"/>
      <c r="O359" s="2388"/>
      <c r="P359" s="2388"/>
      <c r="Q359" s="2388"/>
      <c r="R359" s="2388"/>
      <c r="S359" s="2388"/>
      <c r="T359" s="2388"/>
      <c r="U359" s="2388"/>
      <c r="V359" s="2388"/>
      <c r="W359" s="2388"/>
      <c r="X359" s="2388"/>
      <c r="Y359" s="2388"/>
      <c r="Z359" s="2388"/>
      <c r="AA359" s="2388"/>
      <c r="AB359" s="2388"/>
      <c r="AC359" s="2388"/>
      <c r="AD359" s="2388"/>
      <c r="AE359" s="2388"/>
      <c r="AF359" s="2388"/>
      <c r="AG359" s="2388"/>
      <c r="AH359" s="2388"/>
      <c r="AI359" s="2388"/>
      <c r="AJ359" s="2388"/>
      <c r="AK359" s="163"/>
      <c r="AL359" s="163"/>
      <c r="AM359" s="163"/>
      <c r="AN359" s="439"/>
      <c r="AO359" s="1116"/>
      <c r="AP359" s="1117"/>
      <c r="AS359" s="2385">
        <f>IF(AND(AQ370&gt;0,AQ383&gt;0),(AQ370+AQ383)/2,0)</f>
        <v>10</v>
      </c>
      <c r="AT359" s="2385"/>
    </row>
    <row r="360" spans="1:46" s="46" customFormat="1" ht="12.75" customHeight="1">
      <c r="A360" s="163"/>
      <c r="B360" s="144"/>
      <c r="C360" s="2388"/>
      <c r="D360" s="2388"/>
      <c r="E360" s="2388"/>
      <c r="F360" s="2388"/>
      <c r="G360" s="2388"/>
      <c r="H360" s="2388"/>
      <c r="I360" s="2388"/>
      <c r="J360" s="2388"/>
      <c r="K360" s="2388"/>
      <c r="L360" s="2388"/>
      <c r="M360" s="2388"/>
      <c r="N360" s="2388"/>
      <c r="O360" s="2388"/>
      <c r="P360" s="2388"/>
      <c r="Q360" s="2388"/>
      <c r="R360" s="2388"/>
      <c r="S360" s="2388"/>
      <c r="T360" s="2388"/>
      <c r="U360" s="2388"/>
      <c r="V360" s="2388"/>
      <c r="W360" s="2388"/>
      <c r="X360" s="2388"/>
      <c r="Y360" s="2388"/>
      <c r="Z360" s="2388"/>
      <c r="AA360" s="2388"/>
      <c r="AB360" s="2388"/>
      <c r="AC360" s="2388"/>
      <c r="AD360" s="2388"/>
      <c r="AE360" s="2388"/>
      <c r="AF360" s="2388"/>
      <c r="AG360" s="2388"/>
      <c r="AH360" s="2388"/>
      <c r="AI360" s="2388"/>
      <c r="AJ360" s="2388"/>
      <c r="AK360" s="163"/>
      <c r="AL360" s="163"/>
      <c r="AM360" s="163"/>
      <c r="AN360" s="439"/>
      <c r="AO360" s="1116" t="s">
        <v>989</v>
      </c>
      <c r="AP360" s="1117">
        <f>IF(C401="Yes",7,0)</f>
        <v>0</v>
      </c>
      <c r="AQ360" s="137"/>
      <c r="AR360" s="137"/>
    </row>
    <row r="361" spans="1:46" s="46" customFormat="1" ht="12.75" customHeight="1">
      <c r="A361" s="163"/>
      <c r="B361" s="144"/>
      <c r="C361" s="2388" t="s">
        <v>2021</v>
      </c>
      <c r="D361" s="2388"/>
      <c r="E361" s="2388"/>
      <c r="F361" s="2388"/>
      <c r="G361" s="2388"/>
      <c r="H361" s="2388"/>
      <c r="I361" s="2388"/>
      <c r="J361" s="2388"/>
      <c r="K361" s="2388"/>
      <c r="L361" s="2388"/>
      <c r="M361" s="2388"/>
      <c r="N361" s="2388"/>
      <c r="O361" s="2388"/>
      <c r="P361" s="2388"/>
      <c r="Q361" s="2388"/>
      <c r="R361" s="2388"/>
      <c r="S361" s="2388"/>
      <c r="T361" s="2388"/>
      <c r="U361" s="2388"/>
      <c r="V361" s="2388"/>
      <c r="W361" s="2388"/>
      <c r="X361" s="2388"/>
      <c r="Y361" s="2388"/>
      <c r="Z361" s="2388"/>
      <c r="AA361" s="2388"/>
      <c r="AB361" s="2388"/>
      <c r="AC361" s="2388"/>
      <c r="AD361" s="2388"/>
      <c r="AE361" s="2388"/>
      <c r="AF361" s="2388"/>
      <c r="AG361" s="2388"/>
      <c r="AH361" s="2388"/>
      <c r="AI361" s="2388"/>
      <c r="AJ361" s="2388"/>
      <c r="AK361" s="163"/>
      <c r="AL361" s="163"/>
      <c r="AM361" s="163"/>
      <c r="AN361" s="439"/>
      <c r="AO361" s="439"/>
      <c r="AP361" s="1117">
        <f>IF(C403="Yes",5,0)</f>
        <v>5</v>
      </c>
    </row>
    <row r="362" spans="1:46" s="46" customFormat="1" ht="12.75" customHeight="1">
      <c r="A362" s="163"/>
      <c r="B362" s="144"/>
      <c r="C362" s="2388"/>
      <c r="D362" s="2388"/>
      <c r="E362" s="2388"/>
      <c r="F362" s="2388"/>
      <c r="G362" s="2388"/>
      <c r="H362" s="2388"/>
      <c r="I362" s="2388"/>
      <c r="J362" s="2388"/>
      <c r="K362" s="2388"/>
      <c r="L362" s="2388"/>
      <c r="M362" s="2388"/>
      <c r="N362" s="2388"/>
      <c r="O362" s="2388"/>
      <c r="P362" s="2388"/>
      <c r="Q362" s="2388"/>
      <c r="R362" s="2388"/>
      <c r="S362" s="2388"/>
      <c r="T362" s="2388"/>
      <c r="U362" s="2388"/>
      <c r="V362" s="2388"/>
      <c r="W362" s="2388"/>
      <c r="X362" s="2388"/>
      <c r="Y362" s="2388"/>
      <c r="Z362" s="2388"/>
      <c r="AA362" s="2388"/>
      <c r="AB362" s="2388"/>
      <c r="AC362" s="2388"/>
      <c r="AD362" s="2388"/>
      <c r="AE362" s="2388"/>
      <c r="AF362" s="2388"/>
      <c r="AG362" s="2388"/>
      <c r="AH362" s="2388"/>
      <c r="AI362" s="2388"/>
      <c r="AJ362" s="2388"/>
      <c r="AK362" s="163"/>
      <c r="AL362" s="163"/>
      <c r="AM362" s="163"/>
      <c r="AN362" s="439"/>
      <c r="AO362" s="439"/>
      <c r="AP362" s="1117"/>
    </row>
    <row r="363" spans="1:46" s="46" customFormat="1" ht="12.75" customHeight="1">
      <c r="A363" s="163"/>
      <c r="B363" s="144"/>
      <c r="C363" s="2388"/>
      <c r="D363" s="2388"/>
      <c r="E363" s="2388"/>
      <c r="F363" s="2388"/>
      <c r="G363" s="2388"/>
      <c r="H363" s="2388"/>
      <c r="I363" s="2388"/>
      <c r="J363" s="2388"/>
      <c r="K363" s="2388"/>
      <c r="L363" s="2388"/>
      <c r="M363" s="2388"/>
      <c r="N363" s="2388"/>
      <c r="O363" s="2388"/>
      <c r="P363" s="2388"/>
      <c r="Q363" s="2388"/>
      <c r="R363" s="2388"/>
      <c r="S363" s="2388"/>
      <c r="T363" s="2388"/>
      <c r="U363" s="2388"/>
      <c r="V363" s="2388"/>
      <c r="W363" s="2388"/>
      <c r="X363" s="2388"/>
      <c r="Y363" s="2388"/>
      <c r="Z363" s="2388"/>
      <c r="AA363" s="2388"/>
      <c r="AB363" s="2388"/>
      <c r="AC363" s="2388"/>
      <c r="AD363" s="2388"/>
      <c r="AE363" s="2388"/>
      <c r="AF363" s="2388"/>
      <c r="AG363" s="2388"/>
      <c r="AH363" s="2388"/>
      <c r="AI363" s="2388"/>
      <c r="AJ363" s="2388"/>
      <c r="AK363" s="163"/>
      <c r="AL363" s="163"/>
      <c r="AM363" s="163"/>
      <c r="AN363" s="439"/>
      <c r="AO363" s="1116" t="s">
        <v>476</v>
      </c>
      <c r="AP363" s="1117">
        <f>IF(C411="Yes",5,0)</f>
        <v>0</v>
      </c>
    </row>
    <row r="364" spans="1:46" s="46" customFormat="1" ht="11.85" customHeight="1">
      <c r="A364" s="163"/>
      <c r="B364" s="144"/>
      <c r="C364" s="2388"/>
      <c r="D364" s="2388"/>
      <c r="E364" s="2388"/>
      <c r="F364" s="2388"/>
      <c r="G364" s="2388"/>
      <c r="H364" s="2388"/>
      <c r="I364" s="2388"/>
      <c r="J364" s="2388"/>
      <c r="K364" s="2388"/>
      <c r="L364" s="2388"/>
      <c r="M364" s="2388"/>
      <c r="N364" s="2388"/>
      <c r="O364" s="2388"/>
      <c r="P364" s="2388"/>
      <c r="Q364" s="2388"/>
      <c r="R364" s="2388"/>
      <c r="S364" s="2388"/>
      <c r="T364" s="2388"/>
      <c r="U364" s="2388"/>
      <c r="V364" s="2388"/>
      <c r="W364" s="2388"/>
      <c r="X364" s="2388"/>
      <c r="Y364" s="2388"/>
      <c r="Z364" s="2388"/>
      <c r="AA364" s="2388"/>
      <c r="AB364" s="2388"/>
      <c r="AC364" s="2388"/>
      <c r="AD364" s="2388"/>
      <c r="AE364" s="2388"/>
      <c r="AF364" s="2388"/>
      <c r="AG364" s="2388"/>
      <c r="AH364" s="2388"/>
      <c r="AI364" s="2388"/>
      <c r="AJ364" s="2388"/>
      <c r="AK364" s="163"/>
      <c r="AL364" s="163"/>
      <c r="AM364" s="163"/>
      <c r="AN364" s="439"/>
      <c r="AO364" s="439"/>
      <c r="AP364" s="1117">
        <f>IF(C413="Yes",3,0)</f>
        <v>0</v>
      </c>
    </row>
    <row r="365" spans="1:46" s="46" customFormat="1" ht="12.4" customHeight="1">
      <c r="A365" s="163"/>
      <c r="B365" s="144"/>
      <c r="C365" s="2388"/>
      <c r="D365" s="2388"/>
      <c r="E365" s="2388"/>
      <c r="F365" s="2388"/>
      <c r="G365" s="2388"/>
      <c r="H365" s="2388"/>
      <c r="I365" s="2388"/>
      <c r="J365" s="2388"/>
      <c r="K365" s="2388"/>
      <c r="L365" s="2388"/>
      <c r="M365" s="2388"/>
      <c r="N365" s="2388"/>
      <c r="O365" s="2388"/>
      <c r="P365" s="2388"/>
      <c r="Q365" s="2388"/>
      <c r="R365" s="2388"/>
      <c r="S365" s="2388"/>
      <c r="T365" s="2388"/>
      <c r="U365" s="2388"/>
      <c r="V365" s="2388"/>
      <c r="W365" s="2388"/>
      <c r="X365" s="2388"/>
      <c r="Y365" s="2388"/>
      <c r="Z365" s="2388"/>
      <c r="AA365" s="2388"/>
      <c r="AB365" s="2388"/>
      <c r="AC365" s="2388"/>
      <c r="AD365" s="2388"/>
      <c r="AE365" s="2388"/>
      <c r="AF365" s="2388"/>
      <c r="AG365" s="2388"/>
      <c r="AH365" s="2388"/>
      <c r="AI365" s="2388"/>
      <c r="AJ365" s="2388"/>
      <c r="AK365" s="163"/>
      <c r="AL365" s="163"/>
      <c r="AM365" s="163"/>
      <c r="AN365" s="439"/>
      <c r="AO365" s="439"/>
      <c r="AP365" s="1117"/>
    </row>
    <row r="366" spans="1:46" s="46" customFormat="1" ht="12.75" customHeight="1">
      <c r="A366" s="163"/>
      <c r="B366" s="144"/>
      <c r="C366" s="2388"/>
      <c r="D366" s="2388"/>
      <c r="E366" s="2388"/>
      <c r="F366" s="2388"/>
      <c r="G366" s="2388"/>
      <c r="H366" s="2388"/>
      <c r="I366" s="2388"/>
      <c r="J366" s="2388"/>
      <c r="K366" s="2388"/>
      <c r="L366" s="2388"/>
      <c r="M366" s="2388"/>
      <c r="N366" s="2388"/>
      <c r="O366" s="2388"/>
      <c r="P366" s="2388"/>
      <c r="Q366" s="2388"/>
      <c r="R366" s="2388"/>
      <c r="S366" s="2388"/>
      <c r="T366" s="2388"/>
      <c r="U366" s="2388"/>
      <c r="V366" s="2388"/>
      <c r="W366" s="2388"/>
      <c r="X366" s="2388"/>
      <c r="Y366" s="2388"/>
      <c r="Z366" s="2388"/>
      <c r="AA366" s="2388"/>
      <c r="AB366" s="2388"/>
      <c r="AC366" s="2388"/>
      <c r="AD366" s="2388"/>
      <c r="AE366" s="2388"/>
      <c r="AF366" s="2388"/>
      <c r="AG366" s="2388"/>
      <c r="AH366" s="2388"/>
      <c r="AI366" s="2388"/>
      <c r="AJ366" s="2388"/>
      <c r="AK366" s="163"/>
      <c r="AL366" s="163"/>
      <c r="AM366" s="163"/>
      <c r="AN366" s="439"/>
      <c r="AO366" s="1116" t="s">
        <v>186</v>
      </c>
      <c r="AP366" s="1117">
        <f>IF(C416="Yes",5,0)</f>
        <v>0</v>
      </c>
    </row>
    <row r="367" spans="1:46" s="46" customFormat="1" ht="12.75" customHeight="1">
      <c r="A367" s="163"/>
      <c r="B367" s="144"/>
      <c r="C367" s="2388"/>
      <c r="D367" s="2388"/>
      <c r="E367" s="2388"/>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c r="AI367" s="2388"/>
      <c r="AJ367" s="2388"/>
      <c r="AK367" s="163"/>
      <c r="AL367" s="163"/>
      <c r="AM367" s="163"/>
      <c r="AN367" s="439"/>
      <c r="AO367" s="1116" t="s">
        <v>479</v>
      </c>
      <c r="AP367" s="1117">
        <f>IF(C425="Yes",5,0)</f>
        <v>0</v>
      </c>
    </row>
    <row r="368" spans="1:46" s="46" customFormat="1" ht="12.75" customHeight="1">
      <c r="A368" s="163"/>
      <c r="B368" s="144"/>
      <c r="C368" s="2388" t="s">
        <v>2022</v>
      </c>
      <c r="D368" s="2388"/>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c r="AI368" s="2388"/>
      <c r="AJ368" s="2388"/>
      <c r="AK368" s="163"/>
      <c r="AL368" s="163"/>
      <c r="AM368" s="163"/>
      <c r="AN368" s="439"/>
      <c r="AO368" s="439"/>
      <c r="AP368" s="1117">
        <f>IF(C427="Yes",3,0)</f>
        <v>0</v>
      </c>
    </row>
    <row r="369" spans="1:153" s="46" customFormat="1" ht="12.75" customHeight="1">
      <c r="A369" s="163"/>
      <c r="B369" s="144"/>
      <c r="C369" s="2388"/>
      <c r="D369" s="2388"/>
      <c r="E369" s="2388"/>
      <c r="F369" s="2388"/>
      <c r="G369" s="2388"/>
      <c r="H369" s="2388"/>
      <c r="I369" s="2388"/>
      <c r="J369" s="2388"/>
      <c r="K369" s="2388"/>
      <c r="L369" s="2388"/>
      <c r="M369" s="2388"/>
      <c r="N369" s="2388"/>
      <c r="O369" s="2388"/>
      <c r="P369" s="2388"/>
      <c r="Q369" s="2388"/>
      <c r="R369" s="2388"/>
      <c r="S369" s="2388"/>
      <c r="T369" s="2388"/>
      <c r="U369" s="2388"/>
      <c r="V369" s="2388"/>
      <c r="W369" s="2388"/>
      <c r="X369" s="2388"/>
      <c r="Y369" s="2388"/>
      <c r="Z369" s="2388"/>
      <c r="AA369" s="2388"/>
      <c r="AB369" s="2388"/>
      <c r="AC369" s="2388"/>
      <c r="AD369" s="2388"/>
      <c r="AE369" s="2388"/>
      <c r="AF369" s="2388"/>
      <c r="AG369" s="2388"/>
      <c r="AH369" s="2388"/>
      <c r="AI369" s="2388"/>
      <c r="AJ369" s="2388"/>
      <c r="AK369" s="163"/>
      <c r="AL369" s="163"/>
      <c r="AM369" s="163"/>
      <c r="AN369" s="439"/>
      <c r="AO369" s="1118"/>
      <c r="AP369" s="1119"/>
    </row>
    <row r="370" spans="1:153" s="46" customFormat="1" ht="68.099999999999994" customHeight="1">
      <c r="A370" s="163"/>
      <c r="B370" s="144"/>
      <c r="C370" s="2388"/>
      <c r="D370" s="2388"/>
      <c r="E370" s="2388"/>
      <c r="F370" s="2388"/>
      <c r="G370" s="2388"/>
      <c r="H370" s="2388"/>
      <c r="I370" s="2388"/>
      <c r="J370" s="2388"/>
      <c r="K370" s="2388"/>
      <c r="L370" s="2388"/>
      <c r="M370" s="2388"/>
      <c r="N370" s="2388"/>
      <c r="O370" s="2388"/>
      <c r="P370" s="2388"/>
      <c r="Q370" s="2388"/>
      <c r="R370" s="2388"/>
      <c r="S370" s="2388"/>
      <c r="T370" s="2388"/>
      <c r="U370" s="2388"/>
      <c r="V370" s="2388"/>
      <c r="W370" s="2388"/>
      <c r="X370" s="2388"/>
      <c r="Y370" s="2388"/>
      <c r="Z370" s="2388"/>
      <c r="AA370" s="2388"/>
      <c r="AB370" s="2388"/>
      <c r="AC370" s="2388"/>
      <c r="AD370" s="2388"/>
      <c r="AE370" s="2388"/>
      <c r="AF370" s="2388"/>
      <c r="AG370" s="2388"/>
      <c r="AH370" s="2388"/>
      <c r="AI370" s="2388"/>
      <c r="AJ370" s="2388"/>
      <c r="AK370" s="163"/>
      <c r="AL370" s="163"/>
      <c r="AM370" s="163"/>
      <c r="AN370" s="439"/>
      <c r="AO370" s="1120" t="s">
        <v>671</v>
      </c>
      <c r="AP370" s="1121">
        <f>SUM(AP356:AP369)</f>
        <v>10</v>
      </c>
      <c r="AQ370" s="2374">
        <f>IF(AP370&gt;0,AP370,0)</f>
        <v>10</v>
      </c>
      <c r="AR370" s="2374"/>
    </row>
    <row r="371" spans="1:153" s="46" customFormat="1" ht="12.4" customHeight="1">
      <c r="A371" s="163"/>
      <c r="B371" s="144"/>
      <c r="C371" s="435" t="s">
        <v>1627</v>
      </c>
      <c r="AF371" s="163"/>
      <c r="AG371" s="163"/>
      <c r="AH371" s="163"/>
      <c r="AI371" s="163"/>
      <c r="AJ371" s="163"/>
      <c r="AK371" s="163"/>
      <c r="AL371" s="163"/>
      <c r="AM371" s="163"/>
      <c r="AN371" s="439"/>
      <c r="AO371" s="1116" t="s">
        <v>804</v>
      </c>
      <c r="AP371" s="1117">
        <f>IF(C434="Yes",5,0)</f>
        <v>0</v>
      </c>
    </row>
    <row r="372" spans="1:153" s="46" customFormat="1" ht="12.75" customHeight="1">
      <c r="A372" s="163"/>
      <c r="B372" s="144"/>
      <c r="C372" s="1122" t="s">
        <v>2135</v>
      </c>
      <c r="D372" s="1123"/>
      <c r="E372" s="1123"/>
      <c r="F372" s="1123"/>
      <c r="G372" s="1123"/>
      <c r="H372" s="1123"/>
      <c r="I372" s="1123"/>
      <c r="J372" s="1123"/>
      <c r="K372" s="1123"/>
      <c r="L372" s="1123"/>
      <c r="M372" s="342"/>
      <c r="N372" s="342"/>
      <c r="O372" s="1124"/>
      <c r="P372" s="1123"/>
      <c r="Q372" s="1123"/>
      <c r="R372" s="342"/>
      <c r="S372" s="342"/>
      <c r="T372" s="1123"/>
      <c r="U372" s="2383">
        <f>Application!CQ650-U373</f>
        <v>27</v>
      </c>
      <c r="V372" s="2383"/>
      <c r="W372" s="2383"/>
      <c r="X372" s="1123"/>
      <c r="Y372" s="1123"/>
      <c r="Z372" s="1123"/>
      <c r="AA372" s="1125"/>
      <c r="AB372" s="434"/>
      <c r="AC372" s="434"/>
      <c r="AD372" s="434"/>
      <c r="AE372" s="163"/>
      <c r="AF372" s="163"/>
      <c r="AG372" s="163"/>
      <c r="AH372" s="163"/>
      <c r="AI372" s="163"/>
      <c r="AJ372" s="163"/>
      <c r="AK372" s="163"/>
      <c r="AL372" s="163"/>
      <c r="AM372" s="163"/>
      <c r="AN372" s="439"/>
      <c r="AO372" s="439"/>
      <c r="AP372" s="1117"/>
    </row>
    <row r="373" spans="1:153" s="46" customFormat="1" ht="12.75" customHeight="1">
      <c r="A373" s="163"/>
      <c r="B373" s="144"/>
      <c r="C373" s="1128" t="s">
        <v>1944</v>
      </c>
      <c r="D373" s="1126"/>
      <c r="E373" s="1126"/>
      <c r="F373" s="1126"/>
      <c r="G373" s="1126"/>
      <c r="H373" s="1126"/>
      <c r="I373" s="1126"/>
      <c r="J373" s="1126"/>
      <c r="K373" s="1126"/>
      <c r="L373" s="1126"/>
      <c r="M373" s="257"/>
      <c r="N373" s="257"/>
      <c r="O373" s="1126"/>
      <c r="P373" s="1126"/>
      <c r="Q373" s="1126"/>
      <c r="R373" s="1126"/>
      <c r="S373" s="1126"/>
      <c r="T373" s="1126"/>
      <c r="U373" s="2384">
        <f>Application!AG734</f>
        <v>26</v>
      </c>
      <c r="V373" s="2384"/>
      <c r="W373" s="2384"/>
      <c r="X373" s="1126"/>
      <c r="Y373" s="1126"/>
      <c r="Z373" s="1126"/>
      <c r="AA373" s="1127"/>
      <c r="AB373" s="435"/>
      <c r="AC373" s="433"/>
      <c r="AD373" s="433"/>
      <c r="AE373" s="163"/>
      <c r="AF373" s="163"/>
      <c r="AG373" s="163"/>
      <c r="AH373" s="163"/>
      <c r="AI373" s="163"/>
      <c r="AJ373" s="163"/>
      <c r="AK373" s="163"/>
      <c r="AL373" s="163"/>
      <c r="AM373" s="163"/>
      <c r="AN373" s="439"/>
      <c r="AO373" s="1116" t="s">
        <v>805</v>
      </c>
      <c r="AP373" s="1117">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7"/>
      <c r="AO374" s="439"/>
      <c r="AP374" s="111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6" t="s">
        <v>602</v>
      </c>
      <c r="AP375" s="1117">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7"/>
      <c r="AP376" s="111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3"/>
      <c r="D377" s="1134"/>
      <c r="E377" s="1135" t="s">
        <v>789</v>
      </c>
      <c r="F377" s="2359" t="s">
        <v>1954</v>
      </c>
      <c r="G377" s="2359"/>
      <c r="H377" s="2359"/>
      <c r="I377" s="2359"/>
      <c r="J377" s="2359"/>
      <c r="K377" s="2359"/>
      <c r="L377" s="2359"/>
      <c r="M377" s="2359"/>
      <c r="N377" s="2359"/>
      <c r="O377" s="2359"/>
      <c r="P377" s="2359"/>
      <c r="Q377" s="2359"/>
      <c r="R377" s="2359"/>
      <c r="S377" s="2359"/>
      <c r="T377" s="2359"/>
      <c r="U377" s="2359"/>
      <c r="V377" s="2359"/>
      <c r="W377" s="2359"/>
      <c r="X377" s="2359"/>
      <c r="Y377" s="2359"/>
      <c r="Z377" s="2359"/>
      <c r="AA377" s="2359"/>
      <c r="AB377" s="2359"/>
      <c r="AC377" s="2359"/>
      <c r="AD377" s="2359"/>
      <c r="AE377" s="2359"/>
      <c r="AF377" s="2359"/>
      <c r="AG377" s="1276"/>
      <c r="AH377" s="1276"/>
      <c r="AI377" s="1276"/>
      <c r="AJ377" s="1276"/>
      <c r="AK377" s="1276"/>
      <c r="AL377" s="1272"/>
      <c r="AM377" s="16"/>
      <c r="AN377" s="439"/>
      <c r="AO377" s="439"/>
      <c r="AP377" s="111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6"/>
      <c r="D378" s="71"/>
      <c r="E378" s="350"/>
      <c r="F378" s="2360"/>
      <c r="G378" s="2360"/>
      <c r="H378" s="2360"/>
      <c r="I378" s="2360"/>
      <c r="J378" s="2360"/>
      <c r="K378" s="2360"/>
      <c r="L378" s="2360"/>
      <c r="M378" s="2360"/>
      <c r="N378" s="2360"/>
      <c r="O378" s="2360"/>
      <c r="P378" s="2360"/>
      <c r="Q378" s="2360"/>
      <c r="R378" s="2360"/>
      <c r="S378" s="2360"/>
      <c r="T378" s="2360"/>
      <c r="U378" s="2360"/>
      <c r="V378" s="2360"/>
      <c r="W378" s="2360"/>
      <c r="X378" s="2360"/>
      <c r="Y378" s="2360"/>
      <c r="Z378" s="2360"/>
      <c r="AA378" s="2360"/>
      <c r="AB378" s="2360"/>
      <c r="AC378" s="2360"/>
      <c r="AD378" s="2360"/>
      <c r="AE378" s="2360"/>
      <c r="AF378" s="2360"/>
      <c r="AG378" s="659"/>
      <c r="AH378" s="659"/>
      <c r="AI378" s="659"/>
      <c r="AJ378" s="659"/>
      <c r="AK378" s="659"/>
      <c r="AL378" s="1336"/>
      <c r="AM378" s="16"/>
      <c r="AN378" s="439"/>
      <c r="AO378" s="1116" t="s">
        <v>189</v>
      </c>
      <c r="AP378" s="111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6"/>
      <c r="D379" s="71"/>
      <c r="E379" s="350"/>
      <c r="F379" s="2360"/>
      <c r="G379" s="2360"/>
      <c r="H379" s="2360"/>
      <c r="I379" s="2360"/>
      <c r="J379" s="2360"/>
      <c r="K379" s="2360"/>
      <c r="L379" s="2360"/>
      <c r="M379" s="2360"/>
      <c r="N379" s="2360"/>
      <c r="O379" s="2360"/>
      <c r="P379" s="2360"/>
      <c r="Q379" s="2360"/>
      <c r="R379" s="2360"/>
      <c r="S379" s="2360"/>
      <c r="T379" s="2360"/>
      <c r="U379" s="2360"/>
      <c r="V379" s="2360"/>
      <c r="W379" s="2360"/>
      <c r="X379" s="2360"/>
      <c r="Y379" s="2360"/>
      <c r="Z379" s="2360"/>
      <c r="AA379" s="2360"/>
      <c r="AB379" s="2360"/>
      <c r="AC379" s="2360"/>
      <c r="AD379" s="2360"/>
      <c r="AE379" s="2360"/>
      <c r="AF379" s="2360"/>
      <c r="AG379" s="659"/>
      <c r="AH379" s="659"/>
      <c r="AI379" s="659"/>
      <c r="AJ379" s="659"/>
      <c r="AK379" s="659"/>
      <c r="AL379" s="1336"/>
      <c r="AM379" s="16"/>
      <c r="AN379" s="439"/>
      <c r="AO379" s="1116" t="s">
        <v>37</v>
      </c>
      <c r="AP379" s="111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6"/>
      <c r="D380" s="71"/>
      <c r="E380" s="350"/>
      <c r="F380" s="2360"/>
      <c r="G380" s="2360"/>
      <c r="H380" s="2360"/>
      <c r="I380" s="2360"/>
      <c r="J380" s="2360"/>
      <c r="K380" s="2360"/>
      <c r="L380" s="2360"/>
      <c r="M380" s="2360"/>
      <c r="N380" s="2360"/>
      <c r="O380" s="2360"/>
      <c r="P380" s="2360"/>
      <c r="Q380" s="2360"/>
      <c r="R380" s="2360"/>
      <c r="S380" s="2360"/>
      <c r="T380" s="2360"/>
      <c r="U380" s="2360"/>
      <c r="V380" s="2360"/>
      <c r="W380" s="2360"/>
      <c r="X380" s="2360"/>
      <c r="Y380" s="2360"/>
      <c r="Z380" s="2360"/>
      <c r="AA380" s="2360"/>
      <c r="AB380" s="2360"/>
      <c r="AC380" s="2360"/>
      <c r="AD380" s="2360"/>
      <c r="AE380" s="2360"/>
      <c r="AF380" s="2360"/>
      <c r="AG380" s="659"/>
      <c r="AH380" s="659"/>
      <c r="AI380" s="659"/>
      <c r="AJ380" s="659"/>
      <c r="AK380" s="659"/>
      <c r="AL380" s="1336"/>
      <c r="AM380" s="16"/>
      <c r="AN380" s="439"/>
      <c r="AO380" s="1116" t="s">
        <v>38</v>
      </c>
      <c r="AP380" s="111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2" t="s">
        <v>118</v>
      </c>
      <c r="D381" s="1670"/>
      <c r="E381" s="350"/>
      <c r="F381" s="1131" t="s">
        <v>1946</v>
      </c>
      <c r="G381" s="1132"/>
      <c r="H381" s="1132"/>
      <c r="I381" s="1132"/>
      <c r="J381" s="1132"/>
      <c r="K381" s="1132"/>
      <c r="L381" s="1132"/>
      <c r="M381" s="1132"/>
      <c r="N381" s="1132"/>
      <c r="O381" s="1132"/>
      <c r="P381" s="1132"/>
      <c r="Q381" s="1132"/>
      <c r="R381" s="1132"/>
      <c r="S381" s="1132"/>
      <c r="T381" s="1132"/>
      <c r="U381" s="1132"/>
      <c r="V381" s="1132"/>
      <c r="W381" s="1132"/>
      <c r="X381" s="1132"/>
      <c r="Y381" s="1132"/>
      <c r="Z381" s="1132"/>
      <c r="AA381" s="1132"/>
      <c r="AB381" s="1132"/>
      <c r="AC381" s="1132"/>
      <c r="AD381" s="1132"/>
      <c r="AE381" s="162"/>
      <c r="AF381" s="2375" t="s">
        <v>353</v>
      </c>
      <c r="AG381" s="2375"/>
      <c r="AH381" s="2375"/>
      <c r="AI381" s="2375"/>
      <c r="AJ381" s="2375"/>
      <c r="AK381" s="2375"/>
      <c r="AL381" s="2376"/>
      <c r="AM381" s="1371"/>
      <c r="AO381" s="439"/>
      <c r="AP381" s="111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3"/>
      <c r="D382" s="1150"/>
      <c r="E382" s="1139"/>
      <c r="F382" s="1334"/>
      <c r="G382" s="1334"/>
      <c r="H382" s="1334"/>
      <c r="I382" s="1334"/>
      <c r="J382" s="1334"/>
      <c r="K382" s="1334"/>
      <c r="L382" s="1334"/>
      <c r="M382" s="1334"/>
      <c r="N382" s="1334"/>
      <c r="O382" s="1334"/>
      <c r="P382" s="1334"/>
      <c r="Q382" s="1334"/>
      <c r="R382" s="1334"/>
      <c r="S382" s="1334"/>
      <c r="T382" s="1334"/>
      <c r="U382" s="1334"/>
      <c r="V382" s="1334"/>
      <c r="W382" s="1334"/>
      <c r="X382" s="1334"/>
      <c r="Y382" s="1334"/>
      <c r="Z382" s="1334"/>
      <c r="AA382" s="1334"/>
      <c r="AB382" s="1334"/>
      <c r="AC382" s="1334"/>
      <c r="AD382" s="1334"/>
      <c r="AE382" s="1338"/>
      <c r="AF382" s="1338"/>
      <c r="AG382" s="1338"/>
      <c r="AH382" s="1338"/>
      <c r="AI382" s="1338"/>
      <c r="AJ382" s="1338"/>
      <c r="AK382" s="1338"/>
      <c r="AL382" s="1339"/>
      <c r="AM382" s="16"/>
      <c r="AN382" s="439"/>
      <c r="AO382" s="1118"/>
      <c r="AP382" s="111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74">
        <f>IF(AP383&gt;0,AP383,0)</f>
        <v>10</v>
      </c>
      <c r="AR383" s="237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9"/>
      <c r="D384" s="1109"/>
      <c r="E384" s="350"/>
      <c r="F384" s="1131"/>
      <c r="G384" s="1132"/>
      <c r="H384" s="1132"/>
      <c r="I384" s="1132"/>
      <c r="J384" s="1132"/>
      <c r="K384" s="1132"/>
      <c r="L384" s="1132"/>
      <c r="M384" s="1132"/>
      <c r="N384" s="1132"/>
      <c r="O384" s="1132"/>
      <c r="P384" s="1132"/>
      <c r="Q384" s="1132"/>
      <c r="R384" s="1132"/>
      <c r="S384" s="1132"/>
      <c r="T384" s="1132"/>
      <c r="U384" s="1132"/>
      <c r="V384" s="1132"/>
      <c r="W384" s="1132"/>
      <c r="X384" s="1132"/>
      <c r="Y384" s="1132"/>
      <c r="Z384" s="1132"/>
      <c r="AA384" s="1132"/>
      <c r="AB384" s="1132"/>
      <c r="AC384" s="1132"/>
      <c r="AD384" s="1132"/>
      <c r="AL384" s="124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3"/>
      <c r="D386" s="1134"/>
      <c r="E386" s="1135" t="s">
        <v>205</v>
      </c>
      <c r="F386" s="2359" t="s">
        <v>1953</v>
      </c>
      <c r="G386" s="2359"/>
      <c r="H386" s="2359"/>
      <c r="I386" s="2359"/>
      <c r="J386" s="2359"/>
      <c r="K386" s="2359"/>
      <c r="L386" s="2359"/>
      <c r="M386" s="2359"/>
      <c r="N386" s="2359"/>
      <c r="O386" s="2359"/>
      <c r="P386" s="2359"/>
      <c r="Q386" s="2359"/>
      <c r="R386" s="2359"/>
      <c r="S386" s="2359"/>
      <c r="T386" s="2359"/>
      <c r="U386" s="2359"/>
      <c r="V386" s="2359"/>
      <c r="W386" s="2359"/>
      <c r="X386" s="2359"/>
      <c r="Y386" s="2359"/>
      <c r="Z386" s="2359"/>
      <c r="AA386" s="2359"/>
      <c r="AB386" s="2359"/>
      <c r="AC386" s="2359"/>
      <c r="AD386" s="2359"/>
      <c r="AE386" s="2359"/>
      <c r="AF386" s="2359"/>
      <c r="AG386" s="1276"/>
      <c r="AH386" s="1276"/>
      <c r="AI386" s="1276"/>
      <c r="AJ386" s="1276"/>
      <c r="AK386" s="1276"/>
      <c r="AL386" s="127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1"/>
      <c r="D387" s="125"/>
      <c r="E387" s="306"/>
      <c r="F387" s="2360"/>
      <c r="G387" s="2360"/>
      <c r="H387" s="2360"/>
      <c r="I387" s="2360"/>
      <c r="J387" s="2360"/>
      <c r="K387" s="2360"/>
      <c r="L387" s="2360"/>
      <c r="M387" s="2360"/>
      <c r="N387" s="2360"/>
      <c r="O387" s="2360"/>
      <c r="P387" s="2360"/>
      <c r="Q387" s="2360"/>
      <c r="R387" s="2360"/>
      <c r="S387" s="2360"/>
      <c r="T387" s="2360"/>
      <c r="U387" s="2360"/>
      <c r="V387" s="2360"/>
      <c r="W387" s="2360"/>
      <c r="X387" s="2360"/>
      <c r="Y387" s="2360"/>
      <c r="Z387" s="2360"/>
      <c r="AA387" s="2360"/>
      <c r="AB387" s="2360"/>
      <c r="AC387" s="2360"/>
      <c r="AD387" s="2360"/>
      <c r="AE387" s="2360"/>
      <c r="AF387" s="2360"/>
      <c r="AG387" s="659"/>
      <c r="AH387" s="659"/>
      <c r="AI387" s="659"/>
      <c r="AJ387" s="659"/>
      <c r="AK387" s="659"/>
      <c r="AL387" s="126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1"/>
      <c r="D388" s="125"/>
      <c r="E388" s="306"/>
      <c r="F388" s="2360"/>
      <c r="G388" s="2360"/>
      <c r="H388" s="2360"/>
      <c r="I388" s="2360"/>
      <c r="J388" s="2360"/>
      <c r="K388" s="2360"/>
      <c r="L388" s="2360"/>
      <c r="M388" s="2360"/>
      <c r="N388" s="2360"/>
      <c r="O388" s="2360"/>
      <c r="P388" s="2360"/>
      <c r="Q388" s="2360"/>
      <c r="R388" s="2360"/>
      <c r="S388" s="2360"/>
      <c r="T388" s="2360"/>
      <c r="U388" s="2360"/>
      <c r="V388" s="2360"/>
      <c r="W388" s="2360"/>
      <c r="X388" s="2360"/>
      <c r="Y388" s="2360"/>
      <c r="Z388" s="2360"/>
      <c r="AA388" s="2360"/>
      <c r="AB388" s="2360"/>
      <c r="AC388" s="2360"/>
      <c r="AD388" s="2360"/>
      <c r="AE388" s="2360"/>
      <c r="AF388" s="2360"/>
      <c r="AG388" s="659"/>
      <c r="AH388" s="659"/>
      <c r="AI388" s="659"/>
      <c r="AJ388" s="659"/>
      <c r="AK388" s="659"/>
      <c r="AL388" s="126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1"/>
      <c r="D389" s="125"/>
      <c r="E389" s="306"/>
      <c r="F389" s="2360"/>
      <c r="G389" s="2360"/>
      <c r="H389" s="2360"/>
      <c r="I389" s="2360"/>
      <c r="J389" s="2360"/>
      <c r="K389" s="2360"/>
      <c r="L389" s="2360"/>
      <c r="M389" s="2360"/>
      <c r="N389" s="2360"/>
      <c r="O389" s="2360"/>
      <c r="P389" s="2360"/>
      <c r="Q389" s="2360"/>
      <c r="R389" s="2360"/>
      <c r="S389" s="2360"/>
      <c r="T389" s="2360"/>
      <c r="U389" s="2360"/>
      <c r="V389" s="2360"/>
      <c r="W389" s="2360"/>
      <c r="X389" s="2360"/>
      <c r="Y389" s="2360"/>
      <c r="Z389" s="2360"/>
      <c r="AA389" s="2360"/>
      <c r="AB389" s="2360"/>
      <c r="AC389" s="2360"/>
      <c r="AD389" s="2360"/>
      <c r="AE389" s="2360"/>
      <c r="AF389" s="2360"/>
      <c r="AG389" s="659"/>
      <c r="AH389" s="659"/>
      <c r="AI389" s="659"/>
      <c r="AJ389" s="659"/>
      <c r="AK389" s="659"/>
      <c r="AL389" s="126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1"/>
      <c r="D390" s="125"/>
      <c r="E390" s="306"/>
      <c r="F390" s="2360"/>
      <c r="G390" s="2360"/>
      <c r="H390" s="2360"/>
      <c r="I390" s="2360"/>
      <c r="J390" s="2360"/>
      <c r="K390" s="2360"/>
      <c r="L390" s="2360"/>
      <c r="M390" s="2360"/>
      <c r="N390" s="2360"/>
      <c r="O390" s="2360"/>
      <c r="P390" s="2360"/>
      <c r="Q390" s="2360"/>
      <c r="R390" s="2360"/>
      <c r="S390" s="2360"/>
      <c r="T390" s="2360"/>
      <c r="U390" s="2360"/>
      <c r="V390" s="2360"/>
      <c r="W390" s="2360"/>
      <c r="X390" s="2360"/>
      <c r="Y390" s="2360"/>
      <c r="Z390" s="2360"/>
      <c r="AA390" s="2360"/>
      <c r="AB390" s="2360"/>
      <c r="AC390" s="2360"/>
      <c r="AD390" s="2360"/>
      <c r="AE390" s="2360"/>
      <c r="AF390" s="2360"/>
      <c r="AG390" s="162"/>
      <c r="AH390" s="162"/>
      <c r="AI390" s="162"/>
      <c r="AJ390" s="162"/>
      <c r="AK390" s="162"/>
      <c r="AL390" s="114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2" t="s">
        <v>134</v>
      </c>
      <c r="D391" s="1670"/>
      <c r="E391" s="306"/>
      <c r="F391" s="1131" t="s">
        <v>1947</v>
      </c>
      <c r="G391" s="1132"/>
      <c r="H391" s="1132"/>
      <c r="I391" s="1132"/>
      <c r="J391" s="1132"/>
      <c r="K391" s="1132"/>
      <c r="L391" s="1132"/>
      <c r="M391" s="1132"/>
      <c r="N391" s="1132"/>
      <c r="O391" s="1132"/>
      <c r="P391" s="1132"/>
      <c r="Q391" s="1132"/>
      <c r="R391" s="1132"/>
      <c r="S391" s="1132"/>
      <c r="T391" s="1132"/>
      <c r="U391" s="1132"/>
      <c r="V391" s="1132"/>
      <c r="W391" s="1132"/>
      <c r="X391" s="1132"/>
      <c r="Y391" s="1132"/>
      <c r="Z391" s="1132"/>
      <c r="AA391" s="1132"/>
      <c r="AB391" s="1132"/>
      <c r="AC391" s="1132"/>
      <c r="AD391" s="1132"/>
      <c r="AE391" s="162"/>
      <c r="AF391" s="2375" t="s">
        <v>353</v>
      </c>
      <c r="AG391" s="2375"/>
      <c r="AH391" s="2375"/>
      <c r="AI391" s="2375"/>
      <c r="AJ391" s="2375"/>
      <c r="AK391" s="2375"/>
      <c r="AL391" s="237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3"/>
      <c r="D392" s="1150"/>
      <c r="E392" s="1139"/>
      <c r="F392" s="1334"/>
      <c r="G392" s="1334"/>
      <c r="H392" s="1334"/>
      <c r="I392" s="1334"/>
      <c r="J392" s="1334"/>
      <c r="K392" s="1334"/>
      <c r="L392" s="1334"/>
      <c r="M392" s="1334"/>
      <c r="N392" s="1334"/>
      <c r="O392" s="1334"/>
      <c r="P392" s="1334"/>
      <c r="Q392" s="1334"/>
      <c r="R392" s="1334"/>
      <c r="S392" s="1334"/>
      <c r="T392" s="1334"/>
      <c r="U392" s="1334"/>
      <c r="V392" s="1334"/>
      <c r="W392" s="1334"/>
      <c r="X392" s="1334"/>
      <c r="Y392" s="1334"/>
      <c r="Z392" s="1334"/>
      <c r="AA392" s="1334"/>
      <c r="AB392" s="1334"/>
      <c r="AC392" s="1334"/>
      <c r="AD392" s="1334"/>
      <c r="AE392" s="1338"/>
      <c r="AF392" s="1338"/>
      <c r="AG392" s="1338"/>
      <c r="AH392" s="1338"/>
      <c r="AI392" s="1338"/>
      <c r="AJ392" s="1338"/>
      <c r="AK392" s="1338"/>
      <c r="AL392" s="133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6"/>
      <c r="D393" s="1836"/>
      <c r="E393" s="350"/>
      <c r="F393" s="1374"/>
      <c r="G393" s="1375"/>
      <c r="H393" s="1375"/>
      <c r="I393" s="1375"/>
      <c r="J393" s="1375"/>
      <c r="K393" s="1375"/>
      <c r="L393" s="1375"/>
      <c r="M393" s="1375"/>
      <c r="N393" s="1375"/>
      <c r="O393" s="1375"/>
      <c r="P393" s="1375"/>
      <c r="Q393" s="1375"/>
      <c r="R393" s="1375"/>
      <c r="S393" s="1375"/>
      <c r="T393" s="1375"/>
      <c r="U393" s="1375"/>
      <c r="V393" s="1375"/>
      <c r="W393" s="1375"/>
      <c r="X393" s="1375"/>
      <c r="Y393" s="1375"/>
      <c r="Z393" s="1375"/>
      <c r="AA393" s="1375"/>
      <c r="AB393" s="1375"/>
      <c r="AC393" s="1375"/>
      <c r="AD393" s="1375"/>
      <c r="AE393" s="203"/>
      <c r="AF393" s="2409"/>
      <c r="AG393" s="2409"/>
      <c r="AH393" s="2409"/>
      <c r="AI393" s="2409"/>
      <c r="AJ393" s="2409"/>
      <c r="AK393" s="2409"/>
      <c r="AL393" s="240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3"/>
      <c r="D396" s="1134"/>
      <c r="E396" s="1135" t="s">
        <v>206</v>
      </c>
      <c r="F396" s="2573" t="s">
        <v>2155</v>
      </c>
      <c r="G396" s="2573"/>
      <c r="H396" s="2573"/>
      <c r="I396" s="2573"/>
      <c r="J396" s="2573"/>
      <c r="K396" s="2573"/>
      <c r="L396" s="2573"/>
      <c r="M396" s="2573"/>
      <c r="N396" s="2573"/>
      <c r="O396" s="2573"/>
      <c r="P396" s="2573"/>
      <c r="Q396" s="2573"/>
      <c r="R396" s="2573"/>
      <c r="S396" s="2573"/>
      <c r="T396" s="2573"/>
      <c r="U396" s="2573"/>
      <c r="V396" s="2573"/>
      <c r="W396" s="2573"/>
      <c r="X396" s="2573"/>
      <c r="Y396" s="2573"/>
      <c r="Z396" s="2573"/>
      <c r="AA396" s="2573"/>
      <c r="AB396" s="2573"/>
      <c r="AC396" s="2573"/>
      <c r="AD396" s="2573"/>
      <c r="AE396" s="2573"/>
      <c r="AF396" s="2573"/>
      <c r="AG396" s="1276"/>
      <c r="AH396" s="1276"/>
      <c r="AI396" s="1276"/>
      <c r="AJ396" s="1276"/>
      <c r="AK396" s="1276"/>
      <c r="AL396" s="127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1"/>
      <c r="D397" s="125"/>
      <c r="E397" s="306"/>
      <c r="F397" s="2574"/>
      <c r="G397" s="2574"/>
      <c r="H397" s="2574"/>
      <c r="I397" s="2574"/>
      <c r="J397" s="2574"/>
      <c r="K397" s="2574"/>
      <c r="L397" s="2574"/>
      <c r="M397" s="2574"/>
      <c r="N397" s="2574"/>
      <c r="O397" s="2574"/>
      <c r="P397" s="2574"/>
      <c r="Q397" s="2574"/>
      <c r="R397" s="2574"/>
      <c r="S397" s="2574"/>
      <c r="T397" s="2574"/>
      <c r="U397" s="2574"/>
      <c r="V397" s="2574"/>
      <c r="W397" s="2574"/>
      <c r="X397" s="2574"/>
      <c r="Y397" s="2574"/>
      <c r="Z397" s="2574"/>
      <c r="AA397" s="2574"/>
      <c r="AB397" s="2574"/>
      <c r="AC397" s="2574"/>
      <c r="AD397" s="2574"/>
      <c r="AE397" s="2574"/>
      <c r="AF397" s="2574"/>
      <c r="AG397" s="659"/>
      <c r="AH397" s="659"/>
      <c r="AI397" s="659"/>
      <c r="AJ397" s="659"/>
      <c r="AK397" s="659"/>
      <c r="AL397" s="126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1"/>
      <c r="D398" s="125"/>
      <c r="E398" s="306"/>
      <c r="F398" s="2574"/>
      <c r="G398" s="2574"/>
      <c r="H398" s="2574"/>
      <c r="I398" s="2574"/>
      <c r="J398" s="2574"/>
      <c r="K398" s="2574"/>
      <c r="L398" s="2574"/>
      <c r="M398" s="2574"/>
      <c r="N398" s="2574"/>
      <c r="O398" s="2574"/>
      <c r="P398" s="2574"/>
      <c r="Q398" s="2574"/>
      <c r="R398" s="2574"/>
      <c r="S398" s="2574"/>
      <c r="T398" s="2574"/>
      <c r="U398" s="2574"/>
      <c r="V398" s="2574"/>
      <c r="W398" s="2574"/>
      <c r="X398" s="2574"/>
      <c r="Y398" s="2574"/>
      <c r="Z398" s="2574"/>
      <c r="AA398" s="2574"/>
      <c r="AB398" s="2574"/>
      <c r="AC398" s="2574"/>
      <c r="AD398" s="2574"/>
      <c r="AE398" s="2574"/>
      <c r="AF398" s="2574"/>
      <c r="AG398" s="659"/>
      <c r="AH398" s="659"/>
      <c r="AI398" s="659"/>
      <c r="AJ398" s="659"/>
      <c r="AK398" s="659"/>
      <c r="AL398" s="133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1"/>
      <c r="D399" s="125"/>
      <c r="E399" s="306"/>
      <c r="F399" s="2574"/>
      <c r="G399" s="2574"/>
      <c r="H399" s="2574"/>
      <c r="I399" s="2574"/>
      <c r="J399" s="2574"/>
      <c r="K399" s="2574"/>
      <c r="L399" s="2574"/>
      <c r="M399" s="2574"/>
      <c r="N399" s="2574"/>
      <c r="O399" s="2574"/>
      <c r="P399" s="2574"/>
      <c r="Q399" s="2574"/>
      <c r="R399" s="2574"/>
      <c r="S399" s="2574"/>
      <c r="T399" s="2574"/>
      <c r="U399" s="2574"/>
      <c r="V399" s="2574"/>
      <c r="W399" s="2574"/>
      <c r="X399" s="2574"/>
      <c r="Y399" s="2574"/>
      <c r="Z399" s="2574"/>
      <c r="AA399" s="2574"/>
      <c r="AB399" s="2574"/>
      <c r="AC399" s="2574"/>
      <c r="AD399" s="2574"/>
      <c r="AE399" s="2574"/>
      <c r="AF399" s="2574"/>
      <c r="AG399" s="659"/>
      <c r="AH399" s="659"/>
      <c r="AI399" s="659"/>
      <c r="AJ399" s="659"/>
      <c r="AK399" s="659"/>
      <c r="AL399" s="126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1"/>
      <c r="D400" s="125"/>
      <c r="E400" s="306"/>
      <c r="F400" s="2574"/>
      <c r="G400" s="2574"/>
      <c r="H400" s="2574"/>
      <c r="I400" s="2574"/>
      <c r="J400" s="2574"/>
      <c r="K400" s="2574"/>
      <c r="L400" s="2574"/>
      <c r="M400" s="2574"/>
      <c r="N400" s="2574"/>
      <c r="O400" s="2574"/>
      <c r="P400" s="2574"/>
      <c r="Q400" s="2574"/>
      <c r="R400" s="2574"/>
      <c r="S400" s="2574"/>
      <c r="T400" s="2574"/>
      <c r="U400" s="2574"/>
      <c r="V400" s="2574"/>
      <c r="W400" s="2574"/>
      <c r="X400" s="2574"/>
      <c r="Y400" s="2574"/>
      <c r="Z400" s="2574"/>
      <c r="AA400" s="2574"/>
      <c r="AB400" s="2574"/>
      <c r="AC400" s="2574"/>
      <c r="AD400" s="2574"/>
      <c r="AE400" s="2574"/>
      <c r="AF400" s="2574"/>
      <c r="AG400" s="659"/>
      <c r="AH400" s="659"/>
      <c r="AI400" s="659"/>
      <c r="AJ400" s="659"/>
      <c r="AK400" s="659"/>
      <c r="AL400" s="126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2" t="s">
        <v>134</v>
      </c>
      <c r="D401" s="1670"/>
      <c r="E401" s="306"/>
      <c r="F401" s="1131" t="s">
        <v>1949</v>
      </c>
      <c r="G401" s="1132"/>
      <c r="H401" s="1132"/>
      <c r="I401" s="1132"/>
      <c r="J401" s="1132"/>
      <c r="K401" s="1132"/>
      <c r="L401" s="1132"/>
      <c r="M401" s="1132"/>
      <c r="N401" s="1132"/>
      <c r="O401" s="1132"/>
      <c r="P401" s="1132"/>
      <c r="Q401" s="1132"/>
      <c r="R401" s="1132"/>
      <c r="S401" s="1132"/>
      <c r="T401" s="1132"/>
      <c r="U401" s="1132"/>
      <c r="V401" s="1132"/>
      <c r="W401" s="1132"/>
      <c r="X401" s="1132"/>
      <c r="Y401" s="1132"/>
      <c r="Z401" s="1132"/>
      <c r="AA401" s="1132"/>
      <c r="AB401" s="1132"/>
      <c r="AC401" s="1132"/>
      <c r="AD401" s="1132"/>
      <c r="AE401" s="162"/>
      <c r="AF401" s="2375" t="s">
        <v>1045</v>
      </c>
      <c r="AG401" s="2375"/>
      <c r="AH401" s="2375"/>
      <c r="AI401" s="2375"/>
      <c r="AJ401" s="2375"/>
      <c r="AK401" s="2375"/>
      <c r="AL401" s="2376"/>
      <c r="AM401" s="137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1"/>
      <c r="D402" s="125"/>
      <c r="E402" s="306"/>
      <c r="F402" s="1267"/>
      <c r="G402" s="1267"/>
      <c r="H402" s="1267"/>
      <c r="I402" s="1267"/>
      <c r="J402" s="1267"/>
      <c r="K402" s="1267"/>
      <c r="L402" s="1267"/>
      <c r="M402" s="1267"/>
      <c r="N402" s="1267"/>
      <c r="O402" s="1267"/>
      <c r="P402" s="1267"/>
      <c r="Q402" s="1267"/>
      <c r="R402" s="1267"/>
      <c r="S402" s="1267"/>
      <c r="T402" s="1267"/>
      <c r="U402" s="1267"/>
      <c r="V402" s="1267"/>
      <c r="W402" s="1267"/>
      <c r="X402" s="1267"/>
      <c r="Y402" s="1267"/>
      <c r="Z402" s="1267"/>
      <c r="AA402" s="1267"/>
      <c r="AB402" s="1267"/>
      <c r="AC402" s="1267"/>
      <c r="AD402" s="1267"/>
      <c r="AE402" s="162"/>
      <c r="AF402" s="162"/>
      <c r="AG402" s="162"/>
      <c r="AH402" s="162"/>
      <c r="AI402" s="162"/>
      <c r="AJ402" s="162"/>
      <c r="AK402" s="162"/>
      <c r="AL402" s="114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2" t="s">
        <v>118</v>
      </c>
      <c r="D403" s="1670"/>
      <c r="E403" s="306"/>
      <c r="F403" s="1144" t="s">
        <v>1950</v>
      </c>
      <c r="G403" s="1267"/>
      <c r="H403" s="1267"/>
      <c r="I403" s="1267"/>
      <c r="J403" s="1267"/>
      <c r="K403" s="1267"/>
      <c r="L403" s="1267"/>
      <c r="M403" s="1267"/>
      <c r="N403" s="1267"/>
      <c r="O403" s="1267"/>
      <c r="P403" s="1267"/>
      <c r="Q403" s="1267"/>
      <c r="R403" s="1267"/>
      <c r="S403" s="1267"/>
      <c r="T403" s="1267"/>
      <c r="U403" s="1267"/>
      <c r="V403" s="1267"/>
      <c r="W403" s="1267"/>
      <c r="X403" s="1267"/>
      <c r="Y403" s="1267"/>
      <c r="Z403" s="1267"/>
      <c r="AA403" s="1267"/>
      <c r="AB403" s="1267"/>
      <c r="AC403" s="1267"/>
      <c r="AD403" s="1267"/>
      <c r="AE403" s="162"/>
      <c r="AF403" s="2375" t="s">
        <v>353</v>
      </c>
      <c r="AG403" s="2375"/>
      <c r="AH403" s="2375"/>
      <c r="AI403" s="2375"/>
      <c r="AJ403" s="2375"/>
      <c r="AK403" s="2375"/>
      <c r="AL403" s="237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1"/>
      <c r="D404" s="125"/>
      <c r="E404" s="306"/>
      <c r="F404" s="1144"/>
      <c r="G404" s="1144"/>
      <c r="H404" s="1144"/>
      <c r="I404" s="1144"/>
      <c r="J404" s="1144"/>
      <c r="K404" s="1144"/>
      <c r="L404" s="1144"/>
      <c r="M404" s="1144"/>
      <c r="N404" s="1144"/>
      <c r="O404" s="1144"/>
      <c r="P404" s="1144"/>
      <c r="Q404" s="1144"/>
      <c r="R404" s="1144"/>
      <c r="S404" s="1144"/>
      <c r="T404" s="1144"/>
      <c r="U404" s="1144"/>
      <c r="V404" s="1144"/>
      <c r="W404" s="1144"/>
      <c r="X404" s="1144"/>
      <c r="Y404" s="1144"/>
      <c r="Z404" s="1144"/>
      <c r="AA404" s="1144"/>
      <c r="AB404" s="1144"/>
      <c r="AC404" s="1144"/>
      <c r="AD404" s="1144"/>
      <c r="AE404" s="71"/>
      <c r="AF404" s="162"/>
      <c r="AG404" s="162"/>
      <c r="AH404" s="162"/>
      <c r="AI404" s="162"/>
      <c r="AJ404" s="162"/>
      <c r="AK404" s="162"/>
      <c r="AL404" s="114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6"/>
      <c r="D405" s="1147"/>
      <c r="E405" s="1148"/>
      <c r="F405" s="1149" t="s">
        <v>1948</v>
      </c>
      <c r="G405" s="1143"/>
      <c r="H405" s="1143"/>
      <c r="I405" s="1143"/>
      <c r="J405" s="1143"/>
      <c r="K405" s="1143"/>
      <c r="L405" s="1143"/>
      <c r="M405" s="1143"/>
      <c r="N405" s="1143"/>
      <c r="O405" s="1143"/>
      <c r="P405" s="1143"/>
      <c r="Q405" s="1143"/>
      <c r="R405" s="1143"/>
      <c r="S405" s="1143"/>
      <c r="T405" s="1143"/>
      <c r="U405" s="1143"/>
      <c r="V405" s="1143"/>
      <c r="W405" s="1143"/>
      <c r="X405" s="1143"/>
      <c r="Y405" s="1143"/>
      <c r="Z405" s="1143"/>
      <c r="AA405" s="1143"/>
      <c r="AB405" s="1143"/>
      <c r="AC405" s="1143"/>
      <c r="AD405" s="1143"/>
      <c r="AE405" s="1150"/>
      <c r="AF405" s="1151"/>
      <c r="AG405" s="1150"/>
      <c r="AH405" s="1152"/>
      <c r="AI405" s="1152"/>
      <c r="AJ405" s="1152"/>
      <c r="AK405" s="1152"/>
      <c r="AL405" s="115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3"/>
      <c r="D407" s="1134"/>
      <c r="E407" s="1135" t="s">
        <v>207</v>
      </c>
      <c r="F407" s="2359" t="s">
        <v>1952</v>
      </c>
      <c r="G407" s="2359"/>
      <c r="H407" s="2359"/>
      <c r="I407" s="2359"/>
      <c r="J407" s="2359"/>
      <c r="K407" s="2359"/>
      <c r="L407" s="2359"/>
      <c r="M407" s="2359"/>
      <c r="N407" s="2359"/>
      <c r="O407" s="2359"/>
      <c r="P407" s="2359"/>
      <c r="Q407" s="2359"/>
      <c r="R407" s="2359"/>
      <c r="S407" s="2359"/>
      <c r="T407" s="2359"/>
      <c r="U407" s="2359"/>
      <c r="V407" s="2359"/>
      <c r="W407" s="2359"/>
      <c r="X407" s="2359"/>
      <c r="Y407" s="2359"/>
      <c r="Z407" s="2359"/>
      <c r="AA407" s="2359"/>
      <c r="AB407" s="2359"/>
      <c r="AC407" s="2359"/>
      <c r="AD407" s="2359"/>
      <c r="AE407" s="2359"/>
      <c r="AF407" s="2359"/>
      <c r="AG407" s="1276"/>
      <c r="AH407" s="1276"/>
      <c r="AI407" s="1276"/>
      <c r="AJ407" s="1276"/>
      <c r="AK407" s="1276"/>
      <c r="AL407" s="127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1"/>
      <c r="D408" s="125"/>
      <c r="E408" s="306"/>
      <c r="F408" s="2360"/>
      <c r="G408" s="2360"/>
      <c r="H408" s="2360"/>
      <c r="I408" s="2360"/>
      <c r="J408" s="2360"/>
      <c r="K408" s="2360"/>
      <c r="L408" s="2360"/>
      <c r="M408" s="2360"/>
      <c r="N408" s="2360"/>
      <c r="O408" s="2360"/>
      <c r="P408" s="2360"/>
      <c r="Q408" s="2360"/>
      <c r="R408" s="2360"/>
      <c r="S408" s="2360"/>
      <c r="T408" s="2360"/>
      <c r="U408" s="2360"/>
      <c r="V408" s="2360"/>
      <c r="W408" s="2360"/>
      <c r="X408" s="2360"/>
      <c r="Y408" s="2360"/>
      <c r="Z408" s="2360"/>
      <c r="AA408" s="2360"/>
      <c r="AB408" s="2360"/>
      <c r="AC408" s="2360"/>
      <c r="AD408" s="2360"/>
      <c r="AE408" s="2360"/>
      <c r="AF408" s="2360"/>
      <c r="AG408" s="659"/>
      <c r="AH408" s="659"/>
      <c r="AI408" s="659"/>
      <c r="AJ408" s="659"/>
      <c r="AK408" s="659"/>
      <c r="AL408" s="126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1"/>
      <c r="D409" s="125"/>
      <c r="E409" s="306"/>
      <c r="F409" s="2360"/>
      <c r="G409" s="2360"/>
      <c r="H409" s="2360"/>
      <c r="I409" s="2360"/>
      <c r="J409" s="2360"/>
      <c r="K409" s="2360"/>
      <c r="L409" s="2360"/>
      <c r="M409" s="2360"/>
      <c r="N409" s="2360"/>
      <c r="O409" s="2360"/>
      <c r="P409" s="2360"/>
      <c r="Q409" s="2360"/>
      <c r="R409" s="2360"/>
      <c r="S409" s="2360"/>
      <c r="T409" s="2360"/>
      <c r="U409" s="2360"/>
      <c r="V409" s="2360"/>
      <c r="W409" s="2360"/>
      <c r="X409" s="2360"/>
      <c r="Y409" s="2360"/>
      <c r="Z409" s="2360"/>
      <c r="AA409" s="2360"/>
      <c r="AB409" s="2360"/>
      <c r="AC409" s="2360"/>
      <c r="AD409" s="2360"/>
      <c r="AE409" s="2360"/>
      <c r="AF409" s="2360"/>
      <c r="AG409" s="659"/>
      <c r="AH409" s="659"/>
      <c r="AI409" s="659"/>
      <c r="AJ409" s="659"/>
      <c r="AK409" s="659"/>
      <c r="AL409" s="126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1"/>
      <c r="D410" s="125"/>
      <c r="E410" s="306"/>
      <c r="F410" s="2360"/>
      <c r="G410" s="2360"/>
      <c r="H410" s="2360"/>
      <c r="I410" s="2360"/>
      <c r="J410" s="2360"/>
      <c r="K410" s="2360"/>
      <c r="L410" s="2360"/>
      <c r="M410" s="2360"/>
      <c r="N410" s="2360"/>
      <c r="O410" s="2360"/>
      <c r="P410" s="2360"/>
      <c r="Q410" s="2360"/>
      <c r="R410" s="2360"/>
      <c r="S410" s="2360"/>
      <c r="T410" s="2360"/>
      <c r="U410" s="2360"/>
      <c r="V410" s="2360"/>
      <c r="W410" s="2360"/>
      <c r="X410" s="2360"/>
      <c r="Y410" s="2360"/>
      <c r="Z410" s="2360"/>
      <c r="AA410" s="2360"/>
      <c r="AB410" s="2360"/>
      <c r="AC410" s="2360"/>
      <c r="AD410" s="2360"/>
      <c r="AE410" s="2360"/>
      <c r="AF410" s="2360"/>
      <c r="AG410" s="659"/>
      <c r="AH410" s="659"/>
      <c r="AI410" s="659"/>
      <c r="AJ410" s="659"/>
      <c r="AK410" s="659"/>
      <c r="AL410" s="126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2" t="s">
        <v>134</v>
      </c>
      <c r="D411" s="1670"/>
      <c r="E411" s="306"/>
      <c r="F411" s="1131" t="s">
        <v>1951</v>
      </c>
      <c r="G411" s="1132"/>
      <c r="H411" s="1132"/>
      <c r="I411" s="1132"/>
      <c r="J411" s="1132"/>
      <c r="K411" s="1132"/>
      <c r="L411" s="1132"/>
      <c r="M411" s="1132"/>
      <c r="N411" s="1132"/>
      <c r="O411" s="1132"/>
      <c r="P411" s="1132"/>
      <c r="Q411" s="1132"/>
      <c r="R411" s="1132"/>
      <c r="S411" s="1132"/>
      <c r="T411" s="1132"/>
      <c r="U411" s="1132"/>
      <c r="V411" s="1132"/>
      <c r="W411" s="1132"/>
      <c r="X411" s="1132"/>
      <c r="Y411" s="1132"/>
      <c r="Z411" s="1132"/>
      <c r="AA411" s="1132"/>
      <c r="AB411" s="1132"/>
      <c r="AC411" s="1132"/>
      <c r="AD411" s="1132"/>
      <c r="AE411" s="162"/>
      <c r="AF411" s="2375" t="s">
        <v>353</v>
      </c>
      <c r="AG411" s="2375"/>
      <c r="AH411" s="2375"/>
      <c r="AI411" s="2375"/>
      <c r="AJ411" s="2375"/>
      <c r="AK411" s="2375"/>
      <c r="AL411" s="237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1"/>
      <c r="D412" s="125"/>
      <c r="E412" s="306"/>
      <c r="F412" s="162"/>
      <c r="G412" s="1132"/>
      <c r="H412" s="1132"/>
      <c r="I412" s="1132"/>
      <c r="J412" s="1132"/>
      <c r="K412" s="1132"/>
      <c r="L412" s="1132"/>
      <c r="M412" s="1132"/>
      <c r="N412" s="1132"/>
      <c r="O412" s="1132"/>
      <c r="P412" s="1132"/>
      <c r="Q412" s="1132"/>
      <c r="R412" s="1132"/>
      <c r="S412" s="1132"/>
      <c r="T412" s="1132"/>
      <c r="U412" s="1132"/>
      <c r="V412" s="1132"/>
      <c r="W412" s="1132"/>
      <c r="X412" s="1132"/>
      <c r="Y412" s="1132"/>
      <c r="Z412" s="1132"/>
      <c r="AA412" s="1132"/>
      <c r="AB412" s="1132"/>
      <c r="AC412" s="1132"/>
      <c r="AD412" s="1132"/>
      <c r="AE412" s="162"/>
      <c r="AF412" s="162"/>
      <c r="AG412" s="162"/>
      <c r="AH412" s="162"/>
      <c r="AI412" s="162"/>
      <c r="AJ412" s="162"/>
      <c r="AK412" s="162"/>
      <c r="AL412" s="114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2" t="s">
        <v>134</v>
      </c>
      <c r="D413" s="1670"/>
      <c r="E413" s="350"/>
      <c r="F413" s="1131" t="s">
        <v>1046</v>
      </c>
      <c r="G413" s="1132"/>
      <c r="H413" s="1132"/>
      <c r="I413" s="1132"/>
      <c r="J413" s="1132"/>
      <c r="K413" s="1132"/>
      <c r="L413" s="1132"/>
      <c r="M413" s="1132"/>
      <c r="N413" s="1132"/>
      <c r="O413" s="1132"/>
      <c r="P413" s="1132"/>
      <c r="Q413" s="1132"/>
      <c r="R413" s="1132"/>
      <c r="S413" s="1132"/>
      <c r="T413" s="1132"/>
      <c r="U413" s="1132"/>
      <c r="V413" s="1132"/>
      <c r="W413" s="1132"/>
      <c r="X413" s="1132"/>
      <c r="Y413" s="1132"/>
      <c r="Z413" s="1132"/>
      <c r="AA413" s="1132"/>
      <c r="AB413" s="1132"/>
      <c r="AC413" s="1132"/>
      <c r="AD413" s="1132"/>
      <c r="AE413" s="162"/>
      <c r="AF413" s="2375" t="s">
        <v>1044</v>
      </c>
      <c r="AG413" s="2375"/>
      <c r="AH413" s="2375"/>
      <c r="AI413" s="2375"/>
      <c r="AJ413" s="2375"/>
      <c r="AK413" s="2375"/>
      <c r="AL413" s="237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4"/>
      <c r="D414" s="1152"/>
      <c r="E414" s="1139"/>
      <c r="F414" s="1152"/>
      <c r="G414" s="1140"/>
      <c r="H414" s="1140"/>
      <c r="I414" s="1140"/>
      <c r="J414" s="1140"/>
      <c r="K414" s="1140"/>
      <c r="L414" s="1140"/>
      <c r="M414" s="1140"/>
      <c r="N414" s="1140"/>
      <c r="O414" s="1140"/>
      <c r="P414" s="1140"/>
      <c r="Q414" s="1140"/>
      <c r="R414" s="1140"/>
      <c r="S414" s="1140"/>
      <c r="T414" s="1140"/>
      <c r="U414" s="1140"/>
      <c r="V414" s="1140"/>
      <c r="W414" s="1140"/>
      <c r="X414" s="1140"/>
      <c r="Y414" s="1140"/>
      <c r="Z414" s="1140"/>
      <c r="AA414" s="1140"/>
      <c r="AB414" s="1140"/>
      <c r="AC414" s="1140"/>
      <c r="AD414" s="1140"/>
      <c r="AE414" s="1152"/>
      <c r="AF414" s="1152"/>
      <c r="AG414" s="1152"/>
      <c r="AH414" s="1152"/>
      <c r="AI414" s="1152"/>
      <c r="AJ414" s="1152"/>
      <c r="AK414" s="1152"/>
      <c r="AL414" s="115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2" t="s">
        <v>134</v>
      </c>
      <c r="D416" s="1670"/>
      <c r="E416" s="1135" t="s">
        <v>208</v>
      </c>
      <c r="F416" s="2359" t="s">
        <v>1956</v>
      </c>
      <c r="G416" s="2359"/>
      <c r="H416" s="2359"/>
      <c r="I416" s="2359"/>
      <c r="J416" s="2359"/>
      <c r="K416" s="2359"/>
      <c r="L416" s="2359"/>
      <c r="M416" s="2359"/>
      <c r="N416" s="2359"/>
      <c r="O416" s="2359"/>
      <c r="P416" s="2359"/>
      <c r="Q416" s="2359"/>
      <c r="R416" s="2359"/>
      <c r="S416" s="2359"/>
      <c r="T416" s="2359"/>
      <c r="U416" s="2359"/>
      <c r="V416" s="2359"/>
      <c r="W416" s="2359"/>
      <c r="X416" s="2359"/>
      <c r="Y416" s="2359"/>
      <c r="Z416" s="2359"/>
      <c r="AA416" s="2359"/>
      <c r="AB416" s="2359"/>
      <c r="AC416" s="2359"/>
      <c r="AD416" s="2359"/>
      <c r="AE416" s="2359"/>
      <c r="AF416" s="1189"/>
      <c r="AG416" s="1277"/>
      <c r="AH416" s="1134"/>
      <c r="AI416" s="1134"/>
      <c r="AJ416" s="1134"/>
      <c r="AK416" s="1134"/>
      <c r="AL416" s="116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5"/>
      <c r="D417" s="162"/>
      <c r="E417" s="162"/>
      <c r="F417" s="2360"/>
      <c r="G417" s="2360"/>
      <c r="H417" s="2360"/>
      <c r="I417" s="2360"/>
      <c r="J417" s="2360"/>
      <c r="K417" s="2360"/>
      <c r="L417" s="2360"/>
      <c r="M417" s="2360"/>
      <c r="N417" s="2360"/>
      <c r="O417" s="2360"/>
      <c r="P417" s="2360"/>
      <c r="Q417" s="2360"/>
      <c r="R417" s="2360"/>
      <c r="S417" s="2360"/>
      <c r="T417" s="2360"/>
      <c r="U417" s="2360"/>
      <c r="V417" s="2360"/>
      <c r="W417" s="2360"/>
      <c r="X417" s="2360"/>
      <c r="Y417" s="2360"/>
      <c r="Z417" s="2360"/>
      <c r="AA417" s="2360"/>
      <c r="AB417" s="2360"/>
      <c r="AC417" s="2360"/>
      <c r="AD417" s="2360"/>
      <c r="AE417" s="2360"/>
      <c r="AF417" s="2377" t="s">
        <v>353</v>
      </c>
      <c r="AG417" s="2377"/>
      <c r="AH417" s="2377"/>
      <c r="AI417" s="2377"/>
      <c r="AJ417" s="2377"/>
      <c r="AK417" s="2377"/>
      <c r="AL417" s="237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1"/>
      <c r="D418" s="125"/>
      <c r="E418" s="306"/>
      <c r="F418" s="2360"/>
      <c r="G418" s="2360"/>
      <c r="H418" s="2360"/>
      <c r="I418" s="2360"/>
      <c r="J418" s="2360"/>
      <c r="K418" s="2360"/>
      <c r="L418" s="2360"/>
      <c r="M418" s="2360"/>
      <c r="N418" s="2360"/>
      <c r="O418" s="2360"/>
      <c r="P418" s="2360"/>
      <c r="Q418" s="2360"/>
      <c r="R418" s="2360"/>
      <c r="S418" s="2360"/>
      <c r="T418" s="2360"/>
      <c r="U418" s="2360"/>
      <c r="V418" s="2360"/>
      <c r="W418" s="2360"/>
      <c r="X418" s="2360"/>
      <c r="Y418" s="2360"/>
      <c r="Z418" s="2360"/>
      <c r="AA418" s="2360"/>
      <c r="AB418" s="2360"/>
      <c r="AC418" s="2360"/>
      <c r="AD418" s="2360"/>
      <c r="AE418" s="2360"/>
      <c r="AF418" s="162"/>
      <c r="AG418" s="162"/>
      <c r="AH418" s="162"/>
      <c r="AI418" s="162"/>
      <c r="AJ418" s="162"/>
      <c r="AK418" s="162"/>
      <c r="AL418" s="114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6"/>
      <c r="D419" s="1147"/>
      <c r="E419" s="1148"/>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c r="AA419" s="2361"/>
      <c r="AB419" s="2361"/>
      <c r="AC419" s="2361"/>
      <c r="AD419" s="2361"/>
      <c r="AE419" s="2361"/>
      <c r="AF419" s="1151"/>
      <c r="AG419" s="1150"/>
      <c r="AH419" s="1152"/>
      <c r="AI419" s="1152"/>
      <c r="AJ419" s="1152"/>
      <c r="AK419" s="1152"/>
      <c r="AL419" s="1153"/>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5"/>
      <c r="D421" s="1156"/>
      <c r="E421" s="1135" t="s">
        <v>209</v>
      </c>
      <c r="F421" s="2379" t="s">
        <v>1958</v>
      </c>
      <c r="G421" s="2379"/>
      <c r="H421" s="2379"/>
      <c r="I421" s="2379"/>
      <c r="J421" s="2379"/>
      <c r="K421" s="2379"/>
      <c r="L421" s="2379"/>
      <c r="M421" s="2379"/>
      <c r="N421" s="2379"/>
      <c r="O421" s="2379"/>
      <c r="P421" s="2379"/>
      <c r="Q421" s="2379"/>
      <c r="R421" s="2379"/>
      <c r="S421" s="2379"/>
      <c r="T421" s="2379"/>
      <c r="U421" s="2379"/>
      <c r="V421" s="2379"/>
      <c r="W421" s="2379"/>
      <c r="X421" s="2379"/>
      <c r="Y421" s="2379"/>
      <c r="Z421" s="2379"/>
      <c r="AA421" s="2379"/>
      <c r="AB421" s="2379"/>
      <c r="AC421" s="2379"/>
      <c r="AD421" s="2379"/>
      <c r="AE421" s="2379"/>
      <c r="AF421" s="1156"/>
      <c r="AG421" s="1156"/>
      <c r="AH421" s="1156"/>
      <c r="AI421" s="1156"/>
      <c r="AJ421" s="1156"/>
      <c r="AK421" s="1156"/>
      <c r="AL421" s="1157"/>
      <c r="AM421" s="16"/>
    </row>
    <row r="422" spans="1:153">
      <c r="A422" s="8"/>
      <c r="C422" s="1141"/>
      <c r="D422" s="125"/>
      <c r="E422" s="306"/>
      <c r="F422" s="2380"/>
      <c r="G422" s="2380"/>
      <c r="H422" s="2380"/>
      <c r="I422" s="2380"/>
      <c r="J422" s="2380"/>
      <c r="K422" s="2380"/>
      <c r="L422" s="2380"/>
      <c r="M422" s="2380"/>
      <c r="N422" s="2380"/>
      <c r="O422" s="2380"/>
      <c r="P422" s="2380"/>
      <c r="Q422" s="2380"/>
      <c r="R422" s="2380"/>
      <c r="S422" s="2380"/>
      <c r="T422" s="2380"/>
      <c r="U422" s="2380"/>
      <c r="V422" s="2380"/>
      <c r="W422" s="2380"/>
      <c r="X422" s="2380"/>
      <c r="Y422" s="2380"/>
      <c r="Z422" s="2380"/>
      <c r="AA422" s="2380"/>
      <c r="AB422" s="2380"/>
      <c r="AC422" s="2380"/>
      <c r="AD422" s="2380"/>
      <c r="AE422" s="2380"/>
      <c r="AF422" s="62"/>
      <c r="AG422" s="71"/>
      <c r="AH422" s="162"/>
      <c r="AI422" s="162"/>
      <c r="AJ422" s="162"/>
      <c r="AK422" s="162"/>
      <c r="AL422" s="1142"/>
      <c r="AM422" s="16"/>
    </row>
    <row r="423" spans="1:153" s="46" customFormat="1" ht="12.75" customHeight="1">
      <c r="A423" s="8"/>
      <c r="B423" s="65"/>
      <c r="C423" s="1141"/>
      <c r="D423" s="125"/>
      <c r="E423" s="306"/>
      <c r="F423" s="2380"/>
      <c r="G423" s="2380"/>
      <c r="H423" s="2380"/>
      <c r="I423" s="2380"/>
      <c r="J423" s="2380"/>
      <c r="K423" s="2380"/>
      <c r="L423" s="2380"/>
      <c r="M423" s="2380"/>
      <c r="N423" s="2380"/>
      <c r="O423" s="2380"/>
      <c r="P423" s="2380"/>
      <c r="Q423" s="2380"/>
      <c r="R423" s="2380"/>
      <c r="S423" s="2380"/>
      <c r="T423" s="2380"/>
      <c r="U423" s="2380"/>
      <c r="V423" s="2380"/>
      <c r="W423" s="2380"/>
      <c r="X423" s="2380"/>
      <c r="Y423" s="2380"/>
      <c r="Z423" s="2380"/>
      <c r="AA423" s="2380"/>
      <c r="AB423" s="2380"/>
      <c r="AC423" s="2380"/>
      <c r="AD423" s="2380"/>
      <c r="AE423" s="2380"/>
      <c r="AF423" s="162"/>
      <c r="AG423" s="162"/>
      <c r="AH423" s="162"/>
      <c r="AI423" s="162"/>
      <c r="AJ423" s="162"/>
      <c r="AK423" s="162"/>
      <c r="AL423" s="1142"/>
      <c r="AM423" s="16"/>
      <c r="AN423" s="439"/>
    </row>
    <row r="424" spans="1:153" s="46" customFormat="1" ht="12.75" customHeight="1">
      <c r="A424" s="8"/>
      <c r="B424" s="65"/>
      <c r="C424" s="1145"/>
      <c r="D424" s="162"/>
      <c r="E424" s="162"/>
      <c r="F424" s="2380"/>
      <c r="G424" s="2380"/>
      <c r="H424" s="2380"/>
      <c r="I424" s="2380"/>
      <c r="J424" s="2380"/>
      <c r="K424" s="2380"/>
      <c r="L424" s="2380"/>
      <c r="M424" s="2380"/>
      <c r="N424" s="2380"/>
      <c r="O424" s="2380"/>
      <c r="P424" s="2380"/>
      <c r="Q424" s="2380"/>
      <c r="R424" s="2380"/>
      <c r="S424" s="2380"/>
      <c r="T424" s="2380"/>
      <c r="U424" s="2380"/>
      <c r="V424" s="2380"/>
      <c r="W424" s="2380"/>
      <c r="X424" s="2380"/>
      <c r="Y424" s="2380"/>
      <c r="Z424" s="2380"/>
      <c r="AA424" s="2380"/>
      <c r="AB424" s="2380"/>
      <c r="AC424" s="2380"/>
      <c r="AD424" s="2380"/>
      <c r="AE424" s="2380"/>
      <c r="AF424" s="162"/>
      <c r="AG424" s="162"/>
      <c r="AH424" s="162"/>
      <c r="AI424" s="162"/>
      <c r="AJ424" s="162"/>
      <c r="AK424" s="162"/>
      <c r="AL424" s="1142"/>
      <c r="AM424" s="16"/>
      <c r="AN424" s="439"/>
    </row>
    <row r="425" spans="1:153" s="46" customFormat="1" ht="12.75" customHeight="1">
      <c r="A425" s="8"/>
      <c r="B425" s="65"/>
      <c r="C425" s="2362" t="s">
        <v>134</v>
      </c>
      <c r="D425" s="1670"/>
      <c r="E425" s="306"/>
      <c r="F425" s="1158" t="s">
        <v>1955</v>
      </c>
      <c r="G425" s="1159"/>
      <c r="H425" s="1159"/>
      <c r="I425" s="1159"/>
      <c r="J425" s="1159"/>
      <c r="K425" s="1159"/>
      <c r="L425" s="1159"/>
      <c r="M425" s="1159"/>
      <c r="N425" s="1159"/>
      <c r="O425" s="1159"/>
      <c r="P425" s="1159"/>
      <c r="Q425" s="1159"/>
      <c r="R425" s="1159"/>
      <c r="S425" s="1159"/>
      <c r="T425" s="1159"/>
      <c r="U425" s="1159"/>
      <c r="V425" s="1159"/>
      <c r="W425" s="1159"/>
      <c r="X425" s="1159"/>
      <c r="Y425" s="1159"/>
      <c r="Z425" s="1159"/>
      <c r="AA425" s="1159"/>
      <c r="AB425" s="1159"/>
      <c r="AC425" s="1159"/>
      <c r="AD425" s="1159"/>
      <c r="AE425" s="162"/>
      <c r="AF425" s="2377" t="s">
        <v>353</v>
      </c>
      <c r="AG425" s="2377"/>
      <c r="AH425" s="2377"/>
      <c r="AI425" s="2377"/>
      <c r="AJ425" s="2377"/>
      <c r="AK425" s="2377"/>
      <c r="AL425" s="2378"/>
      <c r="AM425" s="16"/>
      <c r="AN425" s="439"/>
      <c r="AO425" s="162"/>
      <c r="AP425" s="162"/>
    </row>
    <row r="426" spans="1:153" s="46" customFormat="1" ht="12.75" customHeight="1">
      <c r="A426" s="8"/>
      <c r="B426" s="65"/>
      <c r="C426" s="114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2"/>
      <c r="AM426" s="16"/>
      <c r="AN426" s="439"/>
      <c r="AO426" s="162"/>
      <c r="AP426" s="162"/>
    </row>
    <row r="427" spans="1:153" s="46" customFormat="1" ht="12.75" customHeight="1">
      <c r="A427" s="8"/>
      <c r="B427" s="65"/>
      <c r="C427" s="2362" t="s">
        <v>134</v>
      </c>
      <c r="D427" s="1670"/>
      <c r="E427" s="350"/>
      <c r="F427" s="1158" t="s">
        <v>1047</v>
      </c>
      <c r="G427" s="1159"/>
      <c r="H427" s="1159"/>
      <c r="I427" s="1159"/>
      <c r="J427" s="1159"/>
      <c r="K427" s="1159"/>
      <c r="L427" s="1159"/>
      <c r="M427" s="1159"/>
      <c r="N427" s="1159"/>
      <c r="O427" s="1159"/>
      <c r="P427" s="1159"/>
      <c r="Q427" s="1159"/>
      <c r="R427" s="1159"/>
      <c r="S427" s="1159"/>
      <c r="T427" s="1159"/>
      <c r="U427" s="1159"/>
      <c r="V427" s="1159"/>
      <c r="W427" s="1159"/>
      <c r="X427" s="1159"/>
      <c r="Y427" s="1159"/>
      <c r="Z427" s="1159"/>
      <c r="AA427" s="1159"/>
      <c r="AB427" s="1159"/>
      <c r="AC427" s="1159"/>
      <c r="AD427" s="1159"/>
      <c r="AE427" s="162"/>
      <c r="AF427" s="2377" t="s">
        <v>1044</v>
      </c>
      <c r="AG427" s="2377"/>
      <c r="AH427" s="2377"/>
      <c r="AI427" s="2377"/>
      <c r="AJ427" s="2377"/>
      <c r="AK427" s="2377"/>
      <c r="AL427" s="2378"/>
      <c r="AM427" s="16"/>
      <c r="AN427" s="439"/>
      <c r="AO427" s="458"/>
      <c r="AP427" s="458"/>
      <c r="BC427" s="65"/>
    </row>
    <row r="428" spans="1:153" s="46" customFormat="1" ht="12.75" customHeight="1">
      <c r="A428" s="8"/>
      <c r="B428" s="65"/>
      <c r="C428" s="1146"/>
      <c r="D428" s="1147"/>
      <c r="E428" s="1148"/>
      <c r="F428" s="1160"/>
      <c r="G428" s="1161"/>
      <c r="H428" s="1161"/>
      <c r="I428" s="1161"/>
      <c r="J428" s="1161"/>
      <c r="K428" s="1161"/>
      <c r="L428" s="1161"/>
      <c r="M428" s="1161"/>
      <c r="N428" s="1161"/>
      <c r="O428" s="1161"/>
      <c r="P428" s="1161"/>
      <c r="Q428" s="1161"/>
      <c r="R428" s="1161"/>
      <c r="S428" s="1161"/>
      <c r="T428" s="1161"/>
      <c r="U428" s="1161"/>
      <c r="V428" s="1161"/>
      <c r="W428" s="1161"/>
      <c r="X428" s="1161"/>
      <c r="Y428" s="1161"/>
      <c r="Z428" s="1161"/>
      <c r="AA428" s="1161"/>
      <c r="AB428" s="1161"/>
      <c r="AC428" s="1161"/>
      <c r="AD428" s="1161"/>
      <c r="AE428" s="1150"/>
      <c r="AF428" s="1151"/>
      <c r="AG428" s="1150"/>
      <c r="AH428" s="1152"/>
      <c r="AI428" s="1152"/>
      <c r="AJ428" s="1152"/>
      <c r="AK428" s="1152"/>
      <c r="AL428" s="1153"/>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3"/>
      <c r="D431" s="1134"/>
      <c r="E431" s="1135" t="s">
        <v>731</v>
      </c>
      <c r="F431" s="2359" t="s">
        <v>1959</v>
      </c>
      <c r="G431" s="2359"/>
      <c r="H431" s="2359"/>
      <c r="I431" s="2359"/>
      <c r="J431" s="2359"/>
      <c r="K431" s="2359"/>
      <c r="L431" s="2359"/>
      <c r="M431" s="2359"/>
      <c r="N431" s="2359"/>
      <c r="O431" s="2359"/>
      <c r="P431" s="2359"/>
      <c r="Q431" s="2359"/>
      <c r="R431" s="2359"/>
      <c r="S431" s="2359"/>
      <c r="T431" s="2359"/>
      <c r="U431" s="2359"/>
      <c r="V431" s="2359"/>
      <c r="W431" s="2359"/>
      <c r="X431" s="2359"/>
      <c r="Y431" s="2359"/>
      <c r="Z431" s="2359"/>
      <c r="AA431" s="2359"/>
      <c r="AB431" s="2359"/>
      <c r="AC431" s="2359"/>
      <c r="AD431" s="2359"/>
      <c r="AE431" s="2359"/>
      <c r="AF431" s="1134"/>
      <c r="AG431" s="1134"/>
      <c r="AH431" s="1134"/>
      <c r="AI431" s="1134"/>
      <c r="AJ431" s="1134"/>
      <c r="AK431" s="1134"/>
      <c r="AL431" s="1162"/>
      <c r="AM431" s="16"/>
      <c r="AN431" s="439"/>
      <c r="AO431" s="162"/>
      <c r="AP431" s="162"/>
    </row>
    <row r="432" spans="1:153" s="137" customFormat="1" ht="12.75" customHeight="1">
      <c r="A432" s="8"/>
      <c r="B432" s="118"/>
      <c r="C432" s="1163"/>
      <c r="D432" s="1164"/>
      <c r="E432" s="306"/>
      <c r="F432" s="2360"/>
      <c r="G432" s="2360"/>
      <c r="H432" s="2360"/>
      <c r="I432" s="2360"/>
      <c r="J432" s="2360"/>
      <c r="K432" s="2360"/>
      <c r="L432" s="2360"/>
      <c r="M432" s="2360"/>
      <c r="N432" s="2360"/>
      <c r="O432" s="2360"/>
      <c r="P432" s="2360"/>
      <c r="Q432" s="2360"/>
      <c r="R432" s="2360"/>
      <c r="S432" s="2360"/>
      <c r="T432" s="2360"/>
      <c r="U432" s="2360"/>
      <c r="V432" s="2360"/>
      <c r="W432" s="2360"/>
      <c r="X432" s="2360"/>
      <c r="Y432" s="2360"/>
      <c r="Z432" s="2360"/>
      <c r="AA432" s="2360"/>
      <c r="AB432" s="2360"/>
      <c r="AC432" s="2360"/>
      <c r="AD432" s="2360"/>
      <c r="AE432" s="2360"/>
      <c r="AF432" s="62"/>
      <c r="AG432" s="71"/>
      <c r="AH432" s="162"/>
      <c r="AI432" s="162"/>
      <c r="AJ432" s="162"/>
      <c r="AK432" s="162"/>
      <c r="AL432" s="1142"/>
      <c r="AM432" s="16"/>
      <c r="AN432" s="1087"/>
      <c r="AO432" s="162"/>
      <c r="AP432" s="162"/>
    </row>
    <row r="433" spans="1:60" s="46" customFormat="1" ht="12.4" customHeight="1">
      <c r="A433" s="8"/>
      <c r="B433" s="118"/>
      <c r="C433" s="1163"/>
      <c r="D433" s="1164"/>
      <c r="E433" s="306"/>
      <c r="F433" s="2360"/>
      <c r="G433" s="2360"/>
      <c r="H433" s="2360"/>
      <c r="I433" s="2360"/>
      <c r="J433" s="2360"/>
      <c r="K433" s="2360"/>
      <c r="L433" s="2360"/>
      <c r="M433" s="2360"/>
      <c r="N433" s="2360"/>
      <c r="O433" s="2360"/>
      <c r="P433" s="2360"/>
      <c r="Q433" s="2360"/>
      <c r="R433" s="2360"/>
      <c r="S433" s="2360"/>
      <c r="T433" s="2360"/>
      <c r="U433" s="2360"/>
      <c r="V433" s="2360"/>
      <c r="W433" s="2360"/>
      <c r="X433" s="2360"/>
      <c r="Y433" s="2360"/>
      <c r="Z433" s="2360"/>
      <c r="AA433" s="2360"/>
      <c r="AB433" s="2360"/>
      <c r="AC433" s="2360"/>
      <c r="AD433" s="2360"/>
      <c r="AE433" s="2360"/>
      <c r="AF433" s="162"/>
      <c r="AG433" s="162"/>
      <c r="AH433" s="162"/>
      <c r="AI433" s="162"/>
      <c r="AJ433" s="162"/>
      <c r="AK433" s="162"/>
      <c r="AL433" s="1142"/>
      <c r="AM433" s="16"/>
      <c r="AN433" s="439"/>
      <c r="AO433" s="162"/>
      <c r="AP433" s="162"/>
    </row>
    <row r="434" spans="1:60" s="46" customFormat="1" ht="12.75" customHeight="1">
      <c r="A434" s="8"/>
      <c r="B434" s="118"/>
      <c r="C434" s="2362" t="s">
        <v>134</v>
      </c>
      <c r="D434" s="1670"/>
      <c r="E434" s="306"/>
      <c r="F434" s="1131" t="s">
        <v>1957</v>
      </c>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62"/>
      <c r="AF434" s="2377" t="s">
        <v>353</v>
      </c>
      <c r="AG434" s="2377"/>
      <c r="AH434" s="2377"/>
      <c r="AI434" s="2377"/>
      <c r="AJ434" s="2377"/>
      <c r="AK434" s="2377"/>
      <c r="AL434" s="2378"/>
      <c r="AM434" s="16"/>
      <c r="AN434" s="439"/>
      <c r="AO434" s="162"/>
      <c r="AP434" s="162"/>
    </row>
    <row r="435" spans="1:60" s="46" customFormat="1" ht="12.75" customHeight="1">
      <c r="A435" s="8"/>
      <c r="B435" s="118"/>
      <c r="C435" s="1377"/>
      <c r="D435" s="1173"/>
      <c r="E435" s="1139"/>
      <c r="F435" s="1378"/>
      <c r="G435" s="1198"/>
      <c r="H435" s="1198"/>
      <c r="I435" s="1198"/>
      <c r="J435" s="1198"/>
      <c r="K435" s="1198"/>
      <c r="L435" s="1198"/>
      <c r="M435" s="1198"/>
      <c r="N435" s="1198"/>
      <c r="O435" s="1198"/>
      <c r="P435" s="1198"/>
      <c r="Q435" s="1198"/>
      <c r="R435" s="1198"/>
      <c r="S435" s="1198"/>
      <c r="T435" s="1198"/>
      <c r="U435" s="1198"/>
      <c r="V435" s="1198"/>
      <c r="W435" s="1198"/>
      <c r="X435" s="1198"/>
      <c r="Y435" s="1198"/>
      <c r="Z435" s="1198"/>
      <c r="AA435" s="1198"/>
      <c r="AB435" s="1198"/>
      <c r="AC435" s="1198"/>
      <c r="AD435" s="1198"/>
      <c r="AE435" s="1190"/>
      <c r="AF435" s="1175"/>
      <c r="AG435" s="1175"/>
      <c r="AH435" s="1175"/>
      <c r="AI435" s="1175"/>
      <c r="AJ435" s="1175"/>
      <c r="AK435" s="1175"/>
      <c r="AL435" s="1376"/>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5"/>
      <c r="D437" s="1156"/>
      <c r="E437" s="1135" t="s">
        <v>728</v>
      </c>
      <c r="F437" s="2359" t="s">
        <v>1960</v>
      </c>
      <c r="G437" s="2359"/>
      <c r="H437" s="2359"/>
      <c r="I437" s="2359"/>
      <c r="J437" s="2359"/>
      <c r="K437" s="2359"/>
      <c r="L437" s="2359"/>
      <c r="M437" s="2359"/>
      <c r="N437" s="2359"/>
      <c r="O437" s="2359"/>
      <c r="P437" s="2359"/>
      <c r="Q437" s="2359"/>
      <c r="R437" s="2359"/>
      <c r="S437" s="2359"/>
      <c r="T437" s="2359"/>
      <c r="U437" s="2359"/>
      <c r="V437" s="2359"/>
      <c r="W437" s="2359"/>
      <c r="X437" s="2359"/>
      <c r="Y437" s="2359"/>
      <c r="Z437" s="2359"/>
      <c r="AA437" s="2359"/>
      <c r="AB437" s="2359"/>
      <c r="AC437" s="2359"/>
      <c r="AD437" s="2359"/>
      <c r="AE437" s="2359"/>
      <c r="AF437" s="1156"/>
      <c r="AG437" s="1156"/>
      <c r="AH437" s="1156"/>
      <c r="AI437" s="1156"/>
      <c r="AJ437" s="1156"/>
      <c r="AK437" s="1156"/>
      <c r="AL437" s="1157"/>
      <c r="AM437" s="16"/>
      <c r="AO437" s="162"/>
      <c r="AP437" s="162"/>
      <c r="BD437" s="65"/>
      <c r="BE437" s="65"/>
      <c r="BF437" s="65"/>
      <c r="BG437" s="65"/>
      <c r="BH437" s="65"/>
    </row>
    <row r="438" spans="1:60">
      <c r="A438" s="8"/>
      <c r="B438" s="118"/>
      <c r="C438" s="1163"/>
      <c r="D438" s="1164"/>
      <c r="E438" s="306"/>
      <c r="F438" s="2360"/>
      <c r="G438" s="2360"/>
      <c r="H438" s="2360"/>
      <c r="I438" s="2360"/>
      <c r="J438" s="2360"/>
      <c r="K438" s="2360"/>
      <c r="L438" s="2360"/>
      <c r="M438" s="2360"/>
      <c r="N438" s="2360"/>
      <c r="O438" s="2360"/>
      <c r="P438" s="2360"/>
      <c r="Q438" s="2360"/>
      <c r="R438" s="2360"/>
      <c r="S438" s="2360"/>
      <c r="T438" s="2360"/>
      <c r="U438" s="2360"/>
      <c r="V438" s="2360"/>
      <c r="W438" s="2360"/>
      <c r="X438" s="2360"/>
      <c r="Y438" s="2360"/>
      <c r="Z438" s="2360"/>
      <c r="AA438" s="2360"/>
      <c r="AB438" s="2360"/>
      <c r="AC438" s="2360"/>
      <c r="AD438" s="2360"/>
      <c r="AE438" s="2360"/>
      <c r="AF438" s="1263"/>
      <c r="AG438" s="1263"/>
      <c r="AH438" s="1263"/>
      <c r="AI438" s="1263"/>
      <c r="AJ438" s="1263"/>
      <c r="AK438" s="1263"/>
      <c r="AL438" s="1270"/>
      <c r="AM438" s="16"/>
      <c r="AO438" s="162"/>
      <c r="AP438" s="162"/>
    </row>
    <row r="439" spans="1:60" s="46" customFormat="1" ht="12.75" customHeight="1">
      <c r="A439" s="8"/>
      <c r="B439" s="118"/>
      <c r="C439" s="1163"/>
      <c r="D439" s="1164"/>
      <c r="E439" s="306"/>
      <c r="F439" s="2360"/>
      <c r="G439" s="2360"/>
      <c r="H439" s="2360"/>
      <c r="I439" s="2360"/>
      <c r="J439" s="2360"/>
      <c r="K439" s="2360"/>
      <c r="L439" s="2360"/>
      <c r="M439" s="2360"/>
      <c r="N439" s="2360"/>
      <c r="O439" s="2360"/>
      <c r="P439" s="2360"/>
      <c r="Q439" s="2360"/>
      <c r="R439" s="2360"/>
      <c r="S439" s="2360"/>
      <c r="T439" s="2360"/>
      <c r="U439" s="2360"/>
      <c r="V439" s="2360"/>
      <c r="W439" s="2360"/>
      <c r="X439" s="2360"/>
      <c r="Y439" s="2360"/>
      <c r="Z439" s="2360"/>
      <c r="AA439" s="2360"/>
      <c r="AB439" s="2360"/>
      <c r="AC439" s="2360"/>
      <c r="AD439" s="2360"/>
      <c r="AE439" s="2360"/>
      <c r="AF439" s="1263"/>
      <c r="AG439" s="1263"/>
      <c r="AH439" s="1263"/>
      <c r="AI439" s="1263"/>
      <c r="AJ439" s="1263"/>
      <c r="AK439" s="1263"/>
      <c r="AL439" s="1270"/>
      <c r="AM439" s="16"/>
      <c r="AN439" s="439"/>
      <c r="AO439" s="162"/>
      <c r="AP439" s="162"/>
    </row>
    <row r="440" spans="1:60" s="46" customFormat="1" ht="12.75" customHeight="1">
      <c r="A440" s="8"/>
      <c r="B440" s="118"/>
      <c r="C440" s="1271"/>
      <c r="D440" s="1264"/>
      <c r="E440" s="350"/>
      <c r="F440" s="2360"/>
      <c r="G440" s="2360"/>
      <c r="H440" s="2360"/>
      <c r="I440" s="2360"/>
      <c r="J440" s="2360"/>
      <c r="K440" s="2360"/>
      <c r="L440" s="2360"/>
      <c r="M440" s="2360"/>
      <c r="N440" s="2360"/>
      <c r="O440" s="2360"/>
      <c r="P440" s="2360"/>
      <c r="Q440" s="2360"/>
      <c r="R440" s="2360"/>
      <c r="S440" s="2360"/>
      <c r="T440" s="2360"/>
      <c r="U440" s="2360"/>
      <c r="V440" s="2360"/>
      <c r="W440" s="2360"/>
      <c r="X440" s="2360"/>
      <c r="Y440" s="2360"/>
      <c r="Z440" s="2360"/>
      <c r="AA440" s="2360"/>
      <c r="AB440" s="2360"/>
      <c r="AC440" s="2360"/>
      <c r="AD440" s="2360"/>
      <c r="AE440" s="2360"/>
      <c r="AF440" s="1263"/>
      <c r="AG440" s="1263"/>
      <c r="AH440" s="1263"/>
      <c r="AI440" s="1263"/>
      <c r="AJ440" s="1263"/>
      <c r="AK440" s="1263"/>
      <c r="AL440" s="1270"/>
      <c r="AM440" s="16"/>
      <c r="AN440" s="439"/>
      <c r="AO440" s="536"/>
      <c r="AP440" s="125"/>
    </row>
    <row r="441" spans="1:60" s="46" customFormat="1" ht="12.75" customHeight="1">
      <c r="A441" s="8"/>
      <c r="B441" s="118"/>
      <c r="C441" s="1271"/>
      <c r="D441" s="1264"/>
      <c r="E441" s="350"/>
      <c r="F441" s="2360"/>
      <c r="G441" s="2360"/>
      <c r="H441" s="2360"/>
      <c r="I441" s="2360"/>
      <c r="J441" s="2360"/>
      <c r="K441" s="2360"/>
      <c r="L441" s="2360"/>
      <c r="M441" s="2360"/>
      <c r="N441" s="2360"/>
      <c r="O441" s="2360"/>
      <c r="P441" s="2360"/>
      <c r="Q441" s="2360"/>
      <c r="R441" s="2360"/>
      <c r="S441" s="2360"/>
      <c r="T441" s="2360"/>
      <c r="U441" s="2360"/>
      <c r="V441" s="2360"/>
      <c r="W441" s="2360"/>
      <c r="X441" s="2360"/>
      <c r="Y441" s="2360"/>
      <c r="Z441" s="2360"/>
      <c r="AA441" s="2360"/>
      <c r="AB441" s="2360"/>
      <c r="AC441" s="2360"/>
      <c r="AD441" s="2360"/>
      <c r="AE441" s="2360"/>
      <c r="AF441" s="1263"/>
      <c r="AG441" s="1263"/>
      <c r="AH441" s="1263"/>
      <c r="AI441" s="1263"/>
      <c r="AJ441" s="1263"/>
      <c r="AK441" s="1263"/>
      <c r="AL441" s="1270"/>
      <c r="AM441" s="16"/>
      <c r="AN441" s="439"/>
      <c r="AO441" s="162"/>
      <c r="AP441" s="162"/>
    </row>
    <row r="442" spans="1:60" s="46" customFormat="1" ht="12.75" customHeight="1">
      <c r="A442" s="8"/>
      <c r="B442" s="118"/>
      <c r="C442" s="1271"/>
      <c r="D442" s="1264"/>
      <c r="E442" s="350"/>
      <c r="F442" s="2360"/>
      <c r="G442" s="2360"/>
      <c r="H442" s="2360"/>
      <c r="I442" s="2360"/>
      <c r="J442" s="2360"/>
      <c r="K442" s="2360"/>
      <c r="L442" s="2360"/>
      <c r="M442" s="2360"/>
      <c r="N442" s="2360"/>
      <c r="O442" s="2360"/>
      <c r="P442" s="2360"/>
      <c r="Q442" s="2360"/>
      <c r="R442" s="2360"/>
      <c r="S442" s="2360"/>
      <c r="T442" s="2360"/>
      <c r="U442" s="2360"/>
      <c r="V442" s="2360"/>
      <c r="W442" s="2360"/>
      <c r="X442" s="2360"/>
      <c r="Y442" s="2360"/>
      <c r="Z442" s="2360"/>
      <c r="AA442" s="2360"/>
      <c r="AB442" s="2360"/>
      <c r="AC442" s="2360"/>
      <c r="AD442" s="2360"/>
      <c r="AE442" s="2360"/>
      <c r="AF442" s="1263"/>
      <c r="AG442" s="1263"/>
      <c r="AH442" s="1263"/>
      <c r="AI442" s="1263"/>
      <c r="AJ442" s="1263"/>
      <c r="AK442" s="1263"/>
      <c r="AL442" s="1270"/>
      <c r="AM442" s="16"/>
      <c r="AN442" s="439"/>
    </row>
    <row r="443" spans="1:60" s="46" customFormat="1" ht="12.75" customHeight="1">
      <c r="A443" s="8"/>
      <c r="B443" s="118"/>
      <c r="C443" s="1271"/>
      <c r="D443" s="1264"/>
      <c r="E443" s="350"/>
      <c r="F443" s="2360"/>
      <c r="G443" s="2360"/>
      <c r="H443" s="2360"/>
      <c r="I443" s="2360"/>
      <c r="J443" s="2360"/>
      <c r="K443" s="2360"/>
      <c r="L443" s="2360"/>
      <c r="M443" s="2360"/>
      <c r="N443" s="2360"/>
      <c r="O443" s="2360"/>
      <c r="P443" s="2360"/>
      <c r="Q443" s="2360"/>
      <c r="R443" s="2360"/>
      <c r="S443" s="2360"/>
      <c r="T443" s="2360"/>
      <c r="U443" s="2360"/>
      <c r="V443" s="2360"/>
      <c r="W443" s="2360"/>
      <c r="X443" s="2360"/>
      <c r="Y443" s="2360"/>
      <c r="Z443" s="2360"/>
      <c r="AA443" s="2360"/>
      <c r="AB443" s="2360"/>
      <c r="AC443" s="2360"/>
      <c r="AD443" s="2360"/>
      <c r="AE443" s="2360"/>
      <c r="AF443" s="1263"/>
      <c r="AG443" s="1263"/>
      <c r="AH443" s="1263"/>
      <c r="AI443" s="1263"/>
      <c r="AJ443" s="1263"/>
      <c r="AK443" s="1263"/>
      <c r="AL443" s="1270"/>
      <c r="AM443" s="16"/>
      <c r="AN443" s="439"/>
    </row>
    <row r="444" spans="1:60" s="46" customFormat="1" ht="12.75" customHeight="1">
      <c r="A444" s="8"/>
      <c r="B444" s="118"/>
      <c r="C444" s="1271"/>
      <c r="D444" s="1264"/>
      <c r="E444" s="350"/>
      <c r="F444" s="2360"/>
      <c r="G444" s="2360"/>
      <c r="H444" s="2360"/>
      <c r="I444" s="2360"/>
      <c r="J444" s="2360"/>
      <c r="K444" s="2360"/>
      <c r="L444" s="2360"/>
      <c r="M444" s="2360"/>
      <c r="N444" s="2360"/>
      <c r="O444" s="2360"/>
      <c r="P444" s="2360"/>
      <c r="Q444" s="2360"/>
      <c r="R444" s="2360"/>
      <c r="S444" s="2360"/>
      <c r="T444" s="2360"/>
      <c r="U444" s="2360"/>
      <c r="V444" s="2360"/>
      <c r="W444" s="2360"/>
      <c r="X444" s="2360"/>
      <c r="Y444" s="2360"/>
      <c r="Z444" s="2360"/>
      <c r="AA444" s="2360"/>
      <c r="AB444" s="2360"/>
      <c r="AC444" s="2360"/>
      <c r="AD444" s="2360"/>
      <c r="AE444" s="2360"/>
      <c r="AF444" s="1263"/>
      <c r="AG444" s="1263"/>
      <c r="AH444" s="1263"/>
      <c r="AI444" s="1263"/>
      <c r="AJ444" s="1263"/>
      <c r="AK444" s="1263"/>
      <c r="AL444" s="1270"/>
      <c r="AM444" s="16"/>
      <c r="AN444" s="439"/>
    </row>
    <row r="445" spans="1:60" s="46" customFormat="1" ht="17.25" customHeight="1">
      <c r="A445" s="8"/>
      <c r="B445" s="118"/>
      <c r="C445" s="1271"/>
      <c r="D445" s="1264"/>
      <c r="E445" s="350"/>
      <c r="F445" s="2360"/>
      <c r="G445" s="2360"/>
      <c r="H445" s="2360"/>
      <c r="I445" s="2360"/>
      <c r="J445" s="2360"/>
      <c r="K445" s="2360"/>
      <c r="L445" s="2360"/>
      <c r="M445" s="2360"/>
      <c r="N445" s="2360"/>
      <c r="O445" s="2360"/>
      <c r="P445" s="2360"/>
      <c r="Q445" s="2360"/>
      <c r="R445" s="2360"/>
      <c r="S445" s="2360"/>
      <c r="T445" s="2360"/>
      <c r="U445" s="2360"/>
      <c r="V445" s="2360"/>
      <c r="W445" s="2360"/>
      <c r="X445" s="2360"/>
      <c r="Y445" s="2360"/>
      <c r="Z445" s="2360"/>
      <c r="AA445" s="2360"/>
      <c r="AB445" s="2360"/>
      <c r="AC445" s="2360"/>
      <c r="AD445" s="2360"/>
      <c r="AE445" s="2360"/>
      <c r="AF445" s="162"/>
      <c r="AG445" s="162"/>
      <c r="AH445" s="162"/>
      <c r="AI445" s="162"/>
      <c r="AJ445" s="162"/>
      <c r="AK445" s="162"/>
      <c r="AL445" s="1142"/>
      <c r="AM445" s="16"/>
      <c r="AN445" s="439"/>
    </row>
    <row r="446" spans="1:60" s="46" customFormat="1" ht="12.75" customHeight="1">
      <c r="A446" s="8"/>
      <c r="B446" s="65"/>
      <c r="C446" s="2362" t="s">
        <v>118</v>
      </c>
      <c r="D446" s="1670"/>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7" t="s">
        <v>353</v>
      </c>
      <c r="AG446" s="2377"/>
      <c r="AH446" s="2377"/>
      <c r="AI446" s="2377"/>
      <c r="AJ446" s="2377"/>
      <c r="AK446" s="2377"/>
      <c r="AL446" s="2378"/>
      <c r="AM446" s="16"/>
      <c r="AN446" s="439"/>
    </row>
    <row r="447" spans="1:60" s="46" customFormat="1" ht="12.75" customHeight="1">
      <c r="A447" s="8"/>
      <c r="B447" s="118"/>
      <c r="C447" s="1154"/>
      <c r="D447" s="1152"/>
      <c r="E447" s="1139"/>
      <c r="F447" s="1149"/>
      <c r="G447" s="1140"/>
      <c r="H447" s="1140"/>
      <c r="I447" s="1140"/>
      <c r="J447" s="1140"/>
      <c r="K447" s="1140"/>
      <c r="L447" s="1140"/>
      <c r="M447" s="1140"/>
      <c r="N447" s="1140"/>
      <c r="O447" s="1140"/>
      <c r="P447" s="1140"/>
      <c r="Q447" s="1140"/>
      <c r="R447" s="1140"/>
      <c r="S447" s="1140"/>
      <c r="T447" s="1140"/>
      <c r="U447" s="1140"/>
      <c r="V447" s="1140"/>
      <c r="W447" s="1140"/>
      <c r="X447" s="1140"/>
      <c r="Y447" s="1140"/>
      <c r="Z447" s="1140"/>
      <c r="AA447" s="1140"/>
      <c r="AB447" s="1140"/>
      <c r="AC447" s="1140"/>
      <c r="AD447" s="1140"/>
      <c r="AE447" s="1152"/>
      <c r="AF447" s="1152"/>
      <c r="AG447" s="1152"/>
      <c r="AH447" s="1152"/>
      <c r="AI447" s="1152"/>
      <c r="AJ447" s="1152"/>
      <c r="AK447" s="1152"/>
      <c r="AL447" s="1153"/>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2"/>
      <c r="AM448" s="16"/>
      <c r="AN448" s="439"/>
    </row>
    <row r="449" spans="1:49" s="46" customFormat="1" ht="12.75" customHeight="1">
      <c r="A449" s="8"/>
      <c r="B449" s="118"/>
      <c r="C449" s="1133"/>
      <c r="D449" s="1134"/>
      <c r="E449" s="1135" t="s">
        <v>729</v>
      </c>
      <c r="F449" s="2359" t="s">
        <v>1963</v>
      </c>
      <c r="G449" s="2359"/>
      <c r="H449" s="2359"/>
      <c r="I449" s="2359"/>
      <c r="J449" s="2359"/>
      <c r="K449" s="2359"/>
      <c r="L449" s="2359"/>
      <c r="M449" s="2359"/>
      <c r="N449" s="2359"/>
      <c r="O449" s="2359"/>
      <c r="P449" s="2359"/>
      <c r="Q449" s="2359"/>
      <c r="R449" s="2359"/>
      <c r="S449" s="2359"/>
      <c r="T449" s="2359"/>
      <c r="U449" s="2359"/>
      <c r="V449" s="2359"/>
      <c r="W449" s="2359"/>
      <c r="X449" s="2359"/>
      <c r="Y449" s="2359"/>
      <c r="Z449" s="2359"/>
      <c r="AA449" s="2359"/>
      <c r="AB449" s="2359"/>
      <c r="AC449" s="2359"/>
      <c r="AD449" s="2359"/>
      <c r="AE449" s="2359"/>
      <c r="AF449" s="1134"/>
      <c r="AG449" s="1134"/>
      <c r="AH449" s="1134"/>
      <c r="AI449" s="1134"/>
      <c r="AJ449" s="1134"/>
      <c r="AK449" s="1134"/>
      <c r="AL449" s="1162"/>
      <c r="AM449" s="16"/>
      <c r="AN449" s="439"/>
    </row>
    <row r="450" spans="1:49" s="46" customFormat="1" ht="12.75" customHeight="1">
      <c r="A450" s="8"/>
      <c r="B450" s="118"/>
      <c r="C450" s="1271"/>
      <c r="D450" s="1264"/>
      <c r="E450" s="350"/>
      <c r="F450" s="2360"/>
      <c r="G450" s="2360"/>
      <c r="H450" s="2360"/>
      <c r="I450" s="2360"/>
      <c r="J450" s="2360"/>
      <c r="K450" s="2360"/>
      <c r="L450" s="2360"/>
      <c r="M450" s="2360"/>
      <c r="N450" s="2360"/>
      <c r="O450" s="2360"/>
      <c r="P450" s="2360"/>
      <c r="Q450" s="2360"/>
      <c r="R450" s="2360"/>
      <c r="S450" s="2360"/>
      <c r="T450" s="2360"/>
      <c r="U450" s="2360"/>
      <c r="V450" s="2360"/>
      <c r="W450" s="2360"/>
      <c r="X450" s="2360"/>
      <c r="Y450" s="2360"/>
      <c r="Z450" s="2360"/>
      <c r="AA450" s="2360"/>
      <c r="AB450" s="2360"/>
      <c r="AC450" s="2360"/>
      <c r="AD450" s="2360"/>
      <c r="AE450" s="2360"/>
      <c r="AF450" s="1335"/>
      <c r="AG450" s="1265"/>
      <c r="AH450" s="1265"/>
      <c r="AI450" s="1265"/>
      <c r="AJ450" s="1265"/>
      <c r="AK450" s="1265"/>
      <c r="AL450" s="1266"/>
      <c r="AM450" s="16"/>
      <c r="AN450" s="439"/>
    </row>
    <row r="451" spans="1:49" s="46" customFormat="1" ht="12.75" customHeight="1">
      <c r="A451" s="8"/>
      <c r="B451" s="118"/>
      <c r="C451" s="1271"/>
      <c r="D451" s="1264"/>
      <c r="E451" s="350"/>
      <c r="F451" s="2360"/>
      <c r="G451" s="2360"/>
      <c r="H451" s="2360"/>
      <c r="I451" s="2360"/>
      <c r="J451" s="2360"/>
      <c r="K451" s="2360"/>
      <c r="L451" s="2360"/>
      <c r="M451" s="2360"/>
      <c r="N451" s="2360"/>
      <c r="O451" s="2360"/>
      <c r="P451" s="2360"/>
      <c r="Q451" s="2360"/>
      <c r="R451" s="2360"/>
      <c r="S451" s="2360"/>
      <c r="T451" s="2360"/>
      <c r="U451" s="2360"/>
      <c r="V451" s="2360"/>
      <c r="W451" s="2360"/>
      <c r="X451" s="2360"/>
      <c r="Y451" s="2360"/>
      <c r="Z451" s="2360"/>
      <c r="AA451" s="2360"/>
      <c r="AB451" s="2360"/>
      <c r="AC451" s="2360"/>
      <c r="AD451" s="2360"/>
      <c r="AE451" s="2360"/>
      <c r="AF451" s="1335"/>
      <c r="AG451" s="1265"/>
      <c r="AH451" s="1265"/>
      <c r="AI451" s="1265"/>
      <c r="AJ451" s="1265"/>
      <c r="AK451" s="1265"/>
      <c r="AL451" s="1266"/>
      <c r="AM451" s="16"/>
      <c r="AN451" s="439"/>
    </row>
    <row r="452" spans="1:49" s="46" customFormat="1" ht="12.75" customHeight="1">
      <c r="A452" s="8"/>
      <c r="B452" s="118"/>
      <c r="C452" s="1271"/>
      <c r="D452" s="1264"/>
      <c r="E452" s="350"/>
      <c r="F452" s="2360"/>
      <c r="G452" s="2360"/>
      <c r="H452" s="2360"/>
      <c r="I452" s="2360"/>
      <c r="J452" s="2360"/>
      <c r="K452" s="2360"/>
      <c r="L452" s="2360"/>
      <c r="M452" s="2360"/>
      <c r="N452" s="2360"/>
      <c r="O452" s="2360"/>
      <c r="P452" s="2360"/>
      <c r="Q452" s="2360"/>
      <c r="R452" s="2360"/>
      <c r="S452" s="2360"/>
      <c r="T452" s="2360"/>
      <c r="U452" s="2360"/>
      <c r="V452" s="2360"/>
      <c r="W452" s="2360"/>
      <c r="X452" s="2360"/>
      <c r="Y452" s="2360"/>
      <c r="Z452" s="2360"/>
      <c r="AA452" s="2360"/>
      <c r="AB452" s="2360"/>
      <c r="AC452" s="2360"/>
      <c r="AD452" s="2360"/>
      <c r="AE452" s="2360"/>
      <c r="AF452" s="162"/>
      <c r="AG452" s="162"/>
      <c r="AH452" s="162"/>
      <c r="AI452" s="162"/>
      <c r="AJ452" s="162"/>
      <c r="AK452" s="162"/>
      <c r="AL452" s="1142"/>
      <c r="AM452" s="16"/>
      <c r="AN452" s="439"/>
    </row>
    <row r="453" spans="1:49" s="162" customFormat="1" ht="12.75" customHeight="1">
      <c r="A453" s="8"/>
      <c r="B453" s="118"/>
      <c r="C453" s="2362" t="s">
        <v>118</v>
      </c>
      <c r="D453" s="1670"/>
      <c r="E453" s="350"/>
      <c r="F453" s="1131" t="s">
        <v>1962</v>
      </c>
      <c r="G453" s="1132"/>
      <c r="H453" s="1132"/>
      <c r="I453" s="1132"/>
      <c r="J453" s="1132"/>
      <c r="K453" s="1132"/>
      <c r="L453" s="1132"/>
      <c r="M453" s="1132"/>
      <c r="N453" s="1132"/>
      <c r="O453" s="1132"/>
      <c r="P453" s="1132"/>
      <c r="Q453" s="1132"/>
      <c r="R453" s="1132"/>
      <c r="S453" s="1132"/>
      <c r="T453" s="1132"/>
      <c r="U453" s="1132"/>
      <c r="V453" s="1132"/>
      <c r="W453" s="1132"/>
      <c r="X453" s="1132"/>
      <c r="Y453" s="1132"/>
      <c r="Z453" s="1132"/>
      <c r="AA453" s="1132"/>
      <c r="AB453" s="1132"/>
      <c r="AC453" s="1132"/>
      <c r="AD453" s="1132"/>
      <c r="AF453" s="2377" t="s">
        <v>353</v>
      </c>
      <c r="AG453" s="2377"/>
      <c r="AH453" s="2377"/>
      <c r="AI453" s="2377"/>
      <c r="AJ453" s="2377"/>
      <c r="AK453" s="2377"/>
      <c r="AL453" s="2378"/>
      <c r="AM453" s="16"/>
      <c r="AN453" s="1092"/>
      <c r="AP453" s="125"/>
      <c r="AQ453" s="249"/>
      <c r="AR453" s="249"/>
      <c r="AS453" s="249"/>
      <c r="AT453" s="249"/>
      <c r="AU453" s="249"/>
      <c r="AV453" s="249"/>
      <c r="AW453" s="249"/>
    </row>
    <row r="454" spans="1:49" s="46" customFormat="1" ht="12.75" customHeight="1">
      <c r="A454" s="8"/>
      <c r="B454" s="118"/>
      <c r="C454" s="1145"/>
      <c r="D454" s="162"/>
      <c r="E454" s="306"/>
      <c r="F454" s="1167"/>
      <c r="G454" s="1267"/>
      <c r="H454" s="1267"/>
      <c r="I454" s="1267"/>
      <c r="J454" s="1267"/>
      <c r="K454" s="1267"/>
      <c r="L454" s="1267"/>
      <c r="M454" s="1267"/>
      <c r="N454" s="1267"/>
      <c r="O454" s="1267"/>
      <c r="P454" s="1267"/>
      <c r="Q454" s="1267"/>
      <c r="R454" s="1267"/>
      <c r="S454" s="1267"/>
      <c r="T454" s="1267"/>
      <c r="U454" s="1267"/>
      <c r="V454" s="1267"/>
      <c r="W454" s="1267"/>
      <c r="X454" s="1267"/>
      <c r="Y454" s="1267"/>
      <c r="Z454" s="1267"/>
      <c r="AA454" s="1267"/>
      <c r="AB454" s="1267"/>
      <c r="AC454" s="1267"/>
      <c r="AD454" s="1267"/>
      <c r="AE454" s="162"/>
      <c r="AF454" s="162"/>
      <c r="AG454" s="162"/>
      <c r="AH454" s="162"/>
      <c r="AI454" s="162"/>
      <c r="AJ454" s="162"/>
      <c r="AK454" s="162"/>
      <c r="AL454" s="1142"/>
      <c r="AM454" s="16"/>
      <c r="AN454" s="1092"/>
      <c r="AO454" s="162"/>
      <c r="AP454" s="162"/>
      <c r="AQ454" s="249"/>
      <c r="AR454" s="249"/>
      <c r="AS454" s="249"/>
      <c r="AT454" s="249"/>
      <c r="AU454" s="249"/>
      <c r="AV454" s="249"/>
      <c r="AW454" s="249"/>
    </row>
    <row r="455" spans="1:49" s="46" customFormat="1" ht="12.75" customHeight="1">
      <c r="A455" s="8"/>
      <c r="B455" s="118"/>
      <c r="C455" s="1168"/>
      <c r="D455" s="1169"/>
      <c r="E455" s="1148"/>
      <c r="F455" s="1152" t="s">
        <v>1948</v>
      </c>
      <c r="G455" s="1143"/>
      <c r="H455" s="1143"/>
      <c r="I455" s="1143"/>
      <c r="J455" s="1143"/>
      <c r="K455" s="1143"/>
      <c r="L455" s="1143"/>
      <c r="M455" s="1143"/>
      <c r="N455" s="1143"/>
      <c r="O455" s="1143"/>
      <c r="P455" s="1143"/>
      <c r="Q455" s="1143"/>
      <c r="R455" s="1143"/>
      <c r="S455" s="1143"/>
      <c r="T455" s="1143"/>
      <c r="U455" s="1143"/>
      <c r="V455" s="1143"/>
      <c r="W455" s="1143"/>
      <c r="X455" s="1143"/>
      <c r="Y455" s="1143"/>
      <c r="Z455" s="1143"/>
      <c r="AA455" s="1143"/>
      <c r="AB455" s="1143"/>
      <c r="AC455" s="1143"/>
      <c r="AD455" s="1143"/>
      <c r="AE455" s="1150"/>
      <c r="AF455" s="1151"/>
      <c r="AG455" s="1150"/>
      <c r="AH455" s="1152"/>
      <c r="AI455" s="1152"/>
      <c r="AJ455" s="1152"/>
      <c r="AK455" s="1152"/>
      <c r="AL455" s="1153"/>
      <c r="AM455" s="16"/>
      <c r="AN455" s="1092"/>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2"/>
      <c r="AO456" s="162"/>
      <c r="AP456" s="162"/>
      <c r="AQ456" s="249"/>
      <c r="AR456" s="249"/>
      <c r="AS456" s="249"/>
      <c r="AT456" s="249"/>
      <c r="AU456" s="249"/>
      <c r="AV456" s="249"/>
      <c r="AW456" s="249"/>
    </row>
    <row r="457" spans="1:49" s="137" customFormat="1" ht="12.75" customHeight="1">
      <c r="A457" s="8"/>
      <c r="B457" s="118"/>
      <c r="C457" s="2370" t="s">
        <v>134</v>
      </c>
      <c r="D457" s="2371"/>
      <c r="E457" s="1135" t="s">
        <v>1049</v>
      </c>
      <c r="F457" s="2359" t="s">
        <v>1051</v>
      </c>
      <c r="G457" s="2359"/>
      <c r="H457" s="2359"/>
      <c r="I457" s="2359"/>
      <c r="J457" s="2359"/>
      <c r="K457" s="2359"/>
      <c r="L457" s="2359"/>
      <c r="M457" s="2359"/>
      <c r="N457" s="2359"/>
      <c r="O457" s="2359"/>
      <c r="P457" s="2359"/>
      <c r="Q457" s="2359"/>
      <c r="R457" s="2359"/>
      <c r="S457" s="2359"/>
      <c r="T457" s="2359"/>
      <c r="U457" s="2359"/>
      <c r="V457" s="2359"/>
      <c r="W457" s="2359"/>
      <c r="X457" s="2359"/>
      <c r="Y457" s="2359"/>
      <c r="Z457" s="2359"/>
      <c r="AA457" s="2359"/>
      <c r="AB457" s="2359"/>
      <c r="AC457" s="2359"/>
      <c r="AD457" s="2359"/>
      <c r="AE457" s="2359"/>
      <c r="AF457" s="2381" t="s">
        <v>353</v>
      </c>
      <c r="AG457" s="2381"/>
      <c r="AH457" s="2381"/>
      <c r="AI457" s="2381"/>
      <c r="AJ457" s="2381"/>
      <c r="AK457" s="2381"/>
      <c r="AL457" s="2382"/>
      <c r="AM457" s="16"/>
      <c r="AN457" s="1092"/>
      <c r="AO457" s="162"/>
      <c r="AP457" s="162"/>
      <c r="AQ457" s="249"/>
    </row>
    <row r="458" spans="1:49" s="137" customFormat="1" ht="12.75" customHeight="1">
      <c r="A458" s="8"/>
      <c r="B458" s="118"/>
      <c r="C458" s="1271"/>
      <c r="D458" s="1264"/>
      <c r="E458" s="350"/>
      <c r="F458" s="2360"/>
      <c r="G458" s="2360"/>
      <c r="H458" s="2360"/>
      <c r="I458" s="2360"/>
      <c r="J458" s="2360"/>
      <c r="K458" s="2360"/>
      <c r="L458" s="2360"/>
      <c r="M458" s="2360"/>
      <c r="N458" s="2360"/>
      <c r="O458" s="2360"/>
      <c r="P458" s="2360"/>
      <c r="Q458" s="2360"/>
      <c r="R458" s="2360"/>
      <c r="S458" s="2360"/>
      <c r="T458" s="2360"/>
      <c r="U458" s="2360"/>
      <c r="V458" s="2360"/>
      <c r="W458" s="2360"/>
      <c r="X458" s="2360"/>
      <c r="Y458" s="2360"/>
      <c r="Z458" s="2360"/>
      <c r="AA458" s="2360"/>
      <c r="AB458" s="2360"/>
      <c r="AC458" s="2360"/>
      <c r="AD458" s="2360"/>
      <c r="AE458" s="2360"/>
      <c r="AF458" s="1265"/>
      <c r="AG458" s="1265"/>
      <c r="AH458" s="1265"/>
      <c r="AI458" s="1265"/>
      <c r="AJ458" s="1265"/>
      <c r="AK458" s="1265"/>
      <c r="AL458" s="1266"/>
      <c r="AM458" s="16"/>
      <c r="AN458" s="1093"/>
      <c r="AO458" s="46" t="s">
        <v>134</v>
      </c>
      <c r="AP458" s="162">
        <v>0</v>
      </c>
      <c r="AQ458" s="249"/>
    </row>
    <row r="459" spans="1:49" s="46" customFormat="1" ht="17.649999999999999" customHeight="1">
      <c r="A459" s="8"/>
      <c r="B459" s="118"/>
      <c r="C459" s="1137"/>
      <c r="D459" s="1138"/>
      <c r="E459" s="1139"/>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c r="AA459" s="2361"/>
      <c r="AB459" s="2361"/>
      <c r="AC459" s="2361"/>
      <c r="AD459" s="2361"/>
      <c r="AE459" s="2361"/>
      <c r="AF459" s="1268"/>
      <c r="AG459" s="1268"/>
      <c r="AH459" s="1268"/>
      <c r="AI459" s="1268"/>
      <c r="AJ459" s="1268"/>
      <c r="AK459" s="1268"/>
      <c r="AL459" s="1269"/>
      <c r="AM459" s="16"/>
      <c r="AN459" s="1094"/>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5"/>
      <c r="AO460" s="46" t="s">
        <v>1053</v>
      </c>
      <c r="AP460" s="46">
        <v>5</v>
      </c>
      <c r="AQ460" s="250"/>
    </row>
    <row r="461" spans="1:49" s="46" customFormat="1" ht="12.75" customHeight="1">
      <c r="A461" s="8"/>
      <c r="B461" s="65"/>
      <c r="C461" s="2370" t="s">
        <v>134</v>
      </c>
      <c r="D461" s="2371"/>
      <c r="E461" s="1135" t="s">
        <v>1050</v>
      </c>
      <c r="F461" s="2359" t="s">
        <v>2004</v>
      </c>
      <c r="G461" s="2359"/>
      <c r="H461" s="2359"/>
      <c r="I461" s="2359"/>
      <c r="J461" s="2359"/>
      <c r="K461" s="2359"/>
      <c r="L461" s="2359"/>
      <c r="M461" s="2359"/>
      <c r="N461" s="2359"/>
      <c r="O461" s="2359"/>
      <c r="P461" s="2359"/>
      <c r="Q461" s="2359"/>
      <c r="R461" s="2359"/>
      <c r="S461" s="2359"/>
      <c r="T461" s="2359"/>
      <c r="U461" s="2359"/>
      <c r="V461" s="2359"/>
      <c r="W461" s="2359"/>
      <c r="X461" s="2359"/>
      <c r="Y461" s="2359"/>
      <c r="Z461" s="2359"/>
      <c r="AA461" s="2359"/>
      <c r="AB461" s="2359"/>
      <c r="AC461" s="2359"/>
      <c r="AD461" s="2359"/>
      <c r="AE461" s="2359"/>
      <c r="AF461" s="2381" t="s">
        <v>353</v>
      </c>
      <c r="AG461" s="2381"/>
      <c r="AH461" s="2381"/>
      <c r="AI461" s="2381"/>
      <c r="AJ461" s="2381"/>
      <c r="AK461" s="2381"/>
      <c r="AL461" s="2382"/>
      <c r="AM461" s="16"/>
      <c r="AN461" s="1095"/>
      <c r="AO461" s="46" t="s">
        <v>1442</v>
      </c>
      <c r="AP461" s="46">
        <v>5</v>
      </c>
      <c r="AQ461" s="251"/>
    </row>
    <row r="462" spans="1:49" s="46" customFormat="1" ht="12.75" customHeight="1">
      <c r="A462" s="8"/>
      <c r="B462" s="65"/>
      <c r="C462" s="1141"/>
      <c r="D462" s="125"/>
      <c r="E462" s="306"/>
      <c r="F462" s="2360"/>
      <c r="G462" s="2360"/>
      <c r="H462" s="2360"/>
      <c r="I462" s="2360"/>
      <c r="J462" s="2360"/>
      <c r="K462" s="2360"/>
      <c r="L462" s="2360"/>
      <c r="M462" s="2360"/>
      <c r="N462" s="2360"/>
      <c r="O462" s="2360"/>
      <c r="P462" s="2360"/>
      <c r="Q462" s="2360"/>
      <c r="R462" s="2360"/>
      <c r="S462" s="2360"/>
      <c r="T462" s="2360"/>
      <c r="U462" s="2360"/>
      <c r="V462" s="2360"/>
      <c r="W462" s="2360"/>
      <c r="X462" s="2360"/>
      <c r="Y462" s="2360"/>
      <c r="Z462" s="2360"/>
      <c r="AA462" s="2360"/>
      <c r="AB462" s="2360"/>
      <c r="AC462" s="2360"/>
      <c r="AD462" s="2360"/>
      <c r="AE462" s="2360"/>
      <c r="AF462" s="62"/>
      <c r="AG462" s="71"/>
      <c r="AH462" s="162"/>
      <c r="AI462" s="162"/>
      <c r="AJ462" s="162"/>
      <c r="AK462" s="162"/>
      <c r="AL462" s="1142"/>
      <c r="AM462" s="16"/>
      <c r="AN462" s="1095"/>
      <c r="AO462" s="46" t="s">
        <v>1438</v>
      </c>
      <c r="AP462" s="46">
        <v>5</v>
      </c>
    </row>
    <row r="463" spans="1:49" s="46" customFormat="1" ht="12.75" customHeight="1">
      <c r="A463" s="8"/>
      <c r="B463" s="65"/>
      <c r="C463" s="1141"/>
      <c r="D463" s="125"/>
      <c r="E463" s="306"/>
      <c r="F463" s="2360"/>
      <c r="G463" s="2360"/>
      <c r="H463" s="2360"/>
      <c r="I463" s="2360"/>
      <c r="J463" s="2360"/>
      <c r="K463" s="2360"/>
      <c r="L463" s="2360"/>
      <c r="M463" s="2360"/>
      <c r="N463" s="2360"/>
      <c r="O463" s="2360"/>
      <c r="P463" s="2360"/>
      <c r="Q463" s="2360"/>
      <c r="R463" s="2360"/>
      <c r="S463" s="2360"/>
      <c r="T463" s="2360"/>
      <c r="U463" s="2360"/>
      <c r="V463" s="2360"/>
      <c r="W463" s="2360"/>
      <c r="X463" s="2360"/>
      <c r="Y463" s="2360"/>
      <c r="Z463" s="2360"/>
      <c r="AA463" s="2360"/>
      <c r="AB463" s="2360"/>
      <c r="AC463" s="2360"/>
      <c r="AD463" s="2360"/>
      <c r="AE463" s="2360"/>
      <c r="AF463" s="62"/>
      <c r="AG463" s="71"/>
      <c r="AH463" s="162"/>
      <c r="AI463" s="162"/>
      <c r="AJ463" s="162"/>
      <c r="AK463" s="162"/>
      <c r="AL463" s="1142"/>
      <c r="AM463" s="16"/>
      <c r="AN463" s="1095"/>
      <c r="AO463" s="46" t="s">
        <v>1439</v>
      </c>
      <c r="AP463" s="46">
        <v>5</v>
      </c>
    </row>
    <row r="464" spans="1:49" s="46" customFormat="1" ht="12.75" customHeight="1">
      <c r="A464" s="8"/>
      <c r="B464" s="118"/>
      <c r="C464" s="1137"/>
      <c r="D464" s="1138"/>
      <c r="E464" s="1139"/>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c r="AA464" s="2361"/>
      <c r="AB464" s="2361"/>
      <c r="AC464" s="2361"/>
      <c r="AD464" s="2361"/>
      <c r="AE464" s="2361"/>
      <c r="AF464" s="1268"/>
      <c r="AG464" s="1268"/>
      <c r="AH464" s="1268"/>
      <c r="AI464" s="1268"/>
      <c r="AJ464" s="1268"/>
      <c r="AK464" s="1268"/>
      <c r="AL464" s="1269"/>
      <c r="AM464" s="16"/>
      <c r="AN464" s="439"/>
      <c r="AO464" s="46" t="s">
        <v>1440</v>
      </c>
      <c r="AP464" s="46">
        <v>5</v>
      </c>
    </row>
    <row r="465" spans="1:54" s="46" customFormat="1" ht="12.75" customHeight="1">
      <c r="A465" s="8"/>
      <c r="B465" s="65"/>
      <c r="C465" s="162"/>
      <c r="D465" s="162"/>
      <c r="E465" s="162"/>
      <c r="F465" s="162"/>
      <c r="G465" s="1159"/>
      <c r="H465" s="1159"/>
      <c r="I465" s="1159"/>
      <c r="J465" s="1159"/>
      <c r="K465" s="1159"/>
      <c r="L465" s="1159"/>
      <c r="M465" s="1159"/>
      <c r="N465" s="1159"/>
      <c r="O465" s="1159"/>
      <c r="P465" s="1159"/>
      <c r="Q465" s="1159"/>
      <c r="R465" s="1159"/>
      <c r="S465" s="1159"/>
      <c r="T465" s="1159"/>
      <c r="U465" s="1159"/>
      <c r="V465" s="1159"/>
      <c r="W465" s="1159"/>
      <c r="X465" s="1159"/>
      <c r="Y465" s="1159"/>
      <c r="Z465" s="1159"/>
      <c r="AA465" s="1159"/>
      <c r="AB465" s="1159"/>
      <c r="AC465" s="1159"/>
      <c r="AD465" s="1159"/>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8"/>
      <c r="D466" s="1203"/>
      <c r="E466" s="1135" t="s">
        <v>1048</v>
      </c>
      <c r="F466" s="2379" t="s">
        <v>2005</v>
      </c>
      <c r="G466" s="2379"/>
      <c r="H466" s="2379"/>
      <c r="I466" s="2379"/>
      <c r="J466" s="2379"/>
      <c r="K466" s="2379"/>
      <c r="L466" s="2379"/>
      <c r="M466" s="2379"/>
      <c r="N466" s="2379"/>
      <c r="O466" s="2379"/>
      <c r="P466" s="2379"/>
      <c r="Q466" s="2379"/>
      <c r="R466" s="2379"/>
      <c r="S466" s="2379"/>
      <c r="T466" s="2379"/>
      <c r="U466" s="2379"/>
      <c r="V466" s="2379"/>
      <c r="W466" s="2379"/>
      <c r="X466" s="2379"/>
      <c r="Y466" s="2379"/>
      <c r="Z466" s="2379"/>
      <c r="AA466" s="2379"/>
      <c r="AB466" s="2379"/>
      <c r="AC466" s="2379"/>
      <c r="AD466" s="2379"/>
      <c r="AE466" s="2379"/>
      <c r="AF466" s="2379"/>
      <c r="AG466" s="1277"/>
      <c r="AH466" s="1134"/>
      <c r="AI466" s="1134"/>
      <c r="AJ466" s="1134"/>
      <c r="AK466" s="1134"/>
      <c r="AL466" s="1162"/>
      <c r="AM466" s="16"/>
      <c r="AN466" s="439"/>
      <c r="AO466" s="46" t="s">
        <v>1441</v>
      </c>
      <c r="AP466" s="46">
        <v>1</v>
      </c>
    </row>
    <row r="467" spans="1:54" s="46" customFormat="1" ht="12.75" customHeight="1">
      <c r="A467" s="8"/>
      <c r="B467" s="65"/>
      <c r="C467" s="1141"/>
      <c r="D467" s="125"/>
      <c r="E467" s="306"/>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c r="AA467" s="2380"/>
      <c r="AB467" s="2380"/>
      <c r="AC467" s="2380"/>
      <c r="AD467" s="2380"/>
      <c r="AE467" s="2380"/>
      <c r="AF467" s="2380"/>
      <c r="AG467" s="162"/>
      <c r="AH467" s="162"/>
      <c r="AI467" s="162"/>
      <c r="AJ467" s="162"/>
      <c r="AK467" s="162"/>
      <c r="AL467" s="1142"/>
      <c r="AM467" s="16"/>
      <c r="AN467" s="439"/>
      <c r="AS467" s="525"/>
      <c r="AW467" s="525" t="s">
        <v>1057</v>
      </c>
      <c r="BA467" s="525" t="s">
        <v>1058</v>
      </c>
    </row>
    <row r="468" spans="1:54" s="46" customFormat="1" ht="12.75" customHeight="1">
      <c r="A468" s="8"/>
      <c r="B468" s="65"/>
      <c r="C468" s="1145"/>
      <c r="D468" s="162"/>
      <c r="E468" s="162"/>
      <c r="F468" s="2380"/>
      <c r="G468" s="2380"/>
      <c r="H468" s="2380"/>
      <c r="I468" s="2380"/>
      <c r="J468" s="2380"/>
      <c r="K468" s="2380"/>
      <c r="L468" s="2380"/>
      <c r="M468" s="2380"/>
      <c r="N468" s="2380"/>
      <c r="O468" s="2380"/>
      <c r="P468" s="2380"/>
      <c r="Q468" s="2380"/>
      <c r="R468" s="2380"/>
      <c r="S468" s="2380"/>
      <c r="T468" s="2380"/>
      <c r="U468" s="2380"/>
      <c r="V468" s="2380"/>
      <c r="W468" s="2380"/>
      <c r="X468" s="2380"/>
      <c r="Y468" s="2380"/>
      <c r="Z468" s="2380"/>
      <c r="AA468" s="2380"/>
      <c r="AB468" s="2380"/>
      <c r="AC468" s="2380"/>
      <c r="AD468" s="2380"/>
      <c r="AE468" s="2380"/>
      <c r="AF468" s="2380"/>
      <c r="AG468" s="162"/>
      <c r="AH468" s="162"/>
      <c r="AI468" s="162"/>
      <c r="AJ468" s="162"/>
      <c r="AK468" s="162"/>
      <c r="AL468" s="1142"/>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5"/>
      <c r="D469" s="162"/>
      <c r="E469" s="162"/>
      <c r="F469" s="2380"/>
      <c r="G469" s="2380"/>
      <c r="H469" s="2380"/>
      <c r="I469" s="2380"/>
      <c r="J469" s="2380"/>
      <c r="K469" s="2380"/>
      <c r="L469" s="2380"/>
      <c r="M469" s="2380"/>
      <c r="N469" s="2380"/>
      <c r="O469" s="2380"/>
      <c r="P469" s="2380"/>
      <c r="Q469" s="2380"/>
      <c r="R469" s="2380"/>
      <c r="S469" s="2380"/>
      <c r="T469" s="2380"/>
      <c r="U469" s="2380"/>
      <c r="V469" s="2380"/>
      <c r="W469" s="2380"/>
      <c r="X469" s="2380"/>
      <c r="Y469" s="2380"/>
      <c r="Z469" s="2380"/>
      <c r="AA469" s="2380"/>
      <c r="AB469" s="2380"/>
      <c r="AC469" s="2380"/>
      <c r="AD469" s="2380"/>
      <c r="AE469" s="2380"/>
      <c r="AF469" s="2380"/>
      <c r="AG469" s="162"/>
      <c r="AH469" s="162"/>
      <c r="AI469" s="162"/>
      <c r="AJ469" s="162"/>
      <c r="AK469" s="162"/>
      <c r="AL469" s="1142"/>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62" t="s">
        <v>134</v>
      </c>
      <c r="D470" s="1670"/>
      <c r="E470" s="350"/>
      <c r="F470" s="1158" t="s">
        <v>1955</v>
      </c>
      <c r="G470" s="1159"/>
      <c r="H470" s="1159"/>
      <c r="I470" s="1159"/>
      <c r="J470" s="1159"/>
      <c r="K470" s="1159"/>
      <c r="L470" s="1159"/>
      <c r="M470" s="1159"/>
      <c r="N470" s="1159"/>
      <c r="O470" s="1159"/>
      <c r="P470" s="1159"/>
      <c r="Q470" s="1159"/>
      <c r="R470" s="1159"/>
      <c r="S470" s="1159"/>
      <c r="T470" s="1159"/>
      <c r="U470" s="1159"/>
      <c r="V470" s="1159"/>
      <c r="W470" s="1159"/>
      <c r="X470" s="1159"/>
      <c r="Y470" s="1159"/>
      <c r="Z470" s="1159"/>
      <c r="AA470" s="1159"/>
      <c r="AB470" s="1159"/>
      <c r="AC470" s="1159"/>
      <c r="AD470" s="1159"/>
      <c r="AE470" s="162"/>
      <c r="AF470" s="2375" t="s">
        <v>353</v>
      </c>
      <c r="AG470" s="2375"/>
      <c r="AH470" s="2375"/>
      <c r="AI470" s="2375"/>
      <c r="AJ470" s="2375"/>
      <c r="AK470" s="2375"/>
      <c r="AL470" s="2376"/>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6"/>
      <c r="D471" s="1147"/>
      <c r="E471" s="1148"/>
      <c r="F471" s="1152"/>
      <c r="G471" s="1152"/>
      <c r="H471" s="1152"/>
      <c r="I471" s="1152"/>
      <c r="J471" s="1152"/>
      <c r="K471" s="1152"/>
      <c r="L471" s="1152"/>
      <c r="M471" s="1152"/>
      <c r="N471" s="1152"/>
      <c r="O471" s="1152"/>
      <c r="P471" s="1152"/>
      <c r="Q471" s="1152"/>
      <c r="R471" s="1152"/>
      <c r="S471" s="1152"/>
      <c r="T471" s="1152"/>
      <c r="U471" s="1152"/>
      <c r="V471" s="1152"/>
      <c r="W471" s="1152"/>
      <c r="X471" s="1152"/>
      <c r="Y471" s="1152"/>
      <c r="Z471" s="1152"/>
      <c r="AA471" s="1152"/>
      <c r="AB471" s="1152"/>
      <c r="AC471" s="1152"/>
      <c r="AD471" s="1152"/>
      <c r="AE471" s="1152"/>
      <c r="AF471" s="1152"/>
      <c r="AG471" s="1152"/>
      <c r="AH471" s="1152"/>
      <c r="AI471" s="1152"/>
      <c r="AJ471" s="1152"/>
      <c r="AK471" s="1152"/>
      <c r="AL471" s="1153"/>
      <c r="AN471" s="439"/>
      <c r="AO471" s="534"/>
      <c r="AP471" s="43"/>
      <c r="AS471" s="534"/>
      <c r="AT471" s="43"/>
      <c r="AW471" s="534">
        <v>0.8</v>
      </c>
      <c r="AX471" s="43">
        <v>5</v>
      </c>
      <c r="BA471" s="534"/>
      <c r="BB471" s="43"/>
    </row>
    <row r="472" spans="1:54" s="46" customFormat="1" ht="12.75" customHeight="1">
      <c r="A472" s="8"/>
      <c r="B472" s="65"/>
      <c r="C472" s="102"/>
      <c r="D472" s="102"/>
      <c r="E472" s="153"/>
      <c r="F472" s="1379"/>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9"/>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6" t="s">
        <v>784</v>
      </c>
      <c r="AK476" s="2332">
        <f>IF(AS359=0,AS357,AS359)</f>
        <v>10</v>
      </c>
      <c r="AL476" s="2333"/>
      <c r="AM476" s="233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9" t="s">
        <v>1358</v>
      </c>
      <c r="AF479" s="2409"/>
      <c r="AG479" s="2409"/>
      <c r="AH479" s="2409"/>
      <c r="AI479" s="2409"/>
      <c r="AJ479" s="2409"/>
      <c r="AK479" s="2409"/>
      <c r="AL479" s="1248"/>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8"/>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8"/>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8"/>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8"/>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08" t="s">
        <v>134</v>
      </c>
      <c r="D485" s="2309"/>
      <c r="E485" s="1201" t="s">
        <v>210</v>
      </c>
      <c r="F485" s="2339" t="s">
        <v>1054</v>
      </c>
      <c r="G485" s="2339"/>
      <c r="H485" s="2339"/>
      <c r="I485" s="2339"/>
      <c r="J485" s="2339"/>
      <c r="K485" s="2339"/>
      <c r="L485" s="2339"/>
      <c r="M485" s="2339"/>
      <c r="N485" s="2339"/>
      <c r="O485" s="2339"/>
      <c r="P485" s="2339"/>
      <c r="Q485" s="2339"/>
      <c r="R485" s="2339"/>
      <c r="S485" s="2339"/>
      <c r="T485" s="2339"/>
      <c r="U485" s="2339"/>
      <c r="V485" s="2339"/>
      <c r="W485" s="2339"/>
      <c r="X485" s="2339"/>
      <c r="Y485" s="2339"/>
      <c r="Z485" s="2339"/>
      <c r="AA485" s="2339"/>
      <c r="AB485" s="2339"/>
      <c r="AC485" s="2339"/>
      <c r="AD485" s="2339"/>
      <c r="AE485" s="2339"/>
      <c r="AF485" s="1134"/>
      <c r="AG485" s="1134"/>
      <c r="AH485" s="1134"/>
      <c r="AI485" s="1134"/>
      <c r="AJ485" s="1134"/>
      <c r="AK485" s="1162"/>
      <c r="AL485" s="162"/>
      <c r="AN485" s="439"/>
      <c r="AO485" s="46" t="s">
        <v>2114</v>
      </c>
      <c r="AP485" s="46">
        <v>5</v>
      </c>
      <c r="AS485" s="534"/>
      <c r="AT485" s="43"/>
      <c r="AW485" s="710"/>
      <c r="AX485" s="64"/>
    </row>
    <row r="486" spans="1:50" s="46" customFormat="1" ht="12.75" hidden="1" customHeight="1">
      <c r="A486" s="28"/>
      <c r="C486" s="1170"/>
      <c r="D486" s="162"/>
      <c r="E486" s="225"/>
      <c r="F486" s="2340"/>
      <c r="G486" s="2340"/>
      <c r="H486" s="2340"/>
      <c r="I486" s="2340"/>
      <c r="J486" s="2340"/>
      <c r="K486" s="2340"/>
      <c r="L486" s="2340"/>
      <c r="M486" s="2340"/>
      <c r="N486" s="2340"/>
      <c r="O486" s="2340"/>
      <c r="P486" s="2340"/>
      <c r="Q486" s="2340"/>
      <c r="R486" s="2340"/>
      <c r="S486" s="2340"/>
      <c r="T486" s="2340"/>
      <c r="U486" s="2340"/>
      <c r="V486" s="2340"/>
      <c r="W486" s="2340"/>
      <c r="X486" s="2340"/>
      <c r="Y486" s="2340"/>
      <c r="Z486" s="2340"/>
      <c r="AA486" s="2340"/>
      <c r="AB486" s="2340"/>
      <c r="AC486" s="2340"/>
      <c r="AD486" s="2340"/>
      <c r="AE486" s="2340"/>
      <c r="AF486" s="162"/>
      <c r="AG486" s="27"/>
      <c r="AH486" s="27"/>
      <c r="AI486" s="27"/>
      <c r="AJ486" s="27"/>
      <c r="AK486" s="1142"/>
      <c r="AL486" s="162"/>
      <c r="AN486" s="439"/>
      <c r="AO486" s="46" t="s">
        <v>1441</v>
      </c>
      <c r="AP486" s="46">
        <v>1</v>
      </c>
    </row>
    <row r="487" spans="1:50" s="46" customFormat="1" ht="12.75" hidden="1" customHeight="1">
      <c r="A487" s="28"/>
      <c r="C487" s="1171"/>
      <c r="D487" s="1152"/>
      <c r="E487" s="1172"/>
      <c r="F487" s="2313" t="s">
        <v>134</v>
      </c>
      <c r="G487" s="2313"/>
      <c r="H487" s="2313"/>
      <c r="I487" s="2313"/>
      <c r="J487" s="2313"/>
      <c r="K487" s="2313"/>
      <c r="L487" s="2313"/>
      <c r="M487" s="2313"/>
      <c r="N487" s="2313"/>
      <c r="O487" s="2313"/>
      <c r="P487" s="2313"/>
      <c r="Q487" s="2313"/>
      <c r="R487" s="2313"/>
      <c r="S487" s="2313"/>
      <c r="T487" s="2313"/>
      <c r="U487" s="2313"/>
      <c r="V487" s="2313"/>
      <c r="W487" s="2313"/>
      <c r="X487" s="2313"/>
      <c r="Y487" s="2313"/>
      <c r="Z487" s="2313"/>
      <c r="AA487" s="1173"/>
      <c r="AB487" s="1174"/>
      <c r="AC487" s="1174"/>
      <c r="AD487" s="1152"/>
      <c r="AE487" s="1152"/>
      <c r="AF487" s="1152"/>
      <c r="AG487" s="1175">
        <f>IF($C$485="Yes",(VLOOKUP($F$487,$AO$458:$AP$466,2,FALSE)),0)</f>
        <v>0</v>
      </c>
      <c r="AH487" s="1176" t="s">
        <v>1056</v>
      </c>
      <c r="AI487" s="1175"/>
      <c r="AJ487" s="1175"/>
      <c r="AK487" s="1153"/>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70" t="s">
        <v>118</v>
      </c>
      <c r="D489" s="2371"/>
      <c r="E489" s="1201" t="s">
        <v>334</v>
      </c>
      <c r="F489" s="1177" t="s">
        <v>1446</v>
      </c>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c r="AA489" s="1178"/>
      <c r="AB489" s="1178"/>
      <c r="AC489" s="1178"/>
      <c r="AD489" s="1134"/>
      <c r="AE489" s="1134"/>
      <c r="AF489" s="1134"/>
      <c r="AG489" s="1178"/>
      <c r="AH489" s="1178"/>
      <c r="AI489" s="1178"/>
      <c r="AJ489" s="1178"/>
      <c r="AK489" s="1162"/>
      <c r="AL489" s="162"/>
      <c r="AN489" s="439"/>
      <c r="AO489" s="534">
        <v>0.15</v>
      </c>
      <c r="AP489" s="64">
        <v>3</v>
      </c>
    </row>
    <row r="490" spans="1:50" s="46" customFormat="1" ht="12.75" hidden="1" customHeight="1">
      <c r="A490" s="28"/>
      <c r="C490" s="1179"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5"/>
      <c r="AD490" s="162"/>
      <c r="AE490" s="162"/>
      <c r="AF490" s="162"/>
      <c r="AG490" s="175"/>
      <c r="AH490" s="175"/>
      <c r="AI490" s="175"/>
      <c r="AJ490" s="175"/>
      <c r="AK490" s="1142"/>
      <c r="AL490" s="162"/>
      <c r="AN490" s="439"/>
      <c r="AO490" s="534">
        <v>0.2</v>
      </c>
      <c r="AP490" s="64">
        <v>5</v>
      </c>
    </row>
    <row r="491" spans="1:50" s="46" customFormat="1" ht="12.75" hidden="1" customHeight="1">
      <c r="A491" s="28"/>
      <c r="C491" s="1166"/>
      <c r="D491" s="1109"/>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2"/>
      <c r="AL491" s="162"/>
      <c r="AN491" s="459"/>
      <c r="AO491" s="534"/>
      <c r="AP491" s="43"/>
    </row>
    <row r="492" spans="1:50" s="205" customFormat="1" ht="12.75" hidden="1" customHeight="1">
      <c r="A492" s="57"/>
      <c r="B492" s="46"/>
      <c r="C492" s="1170"/>
      <c r="D492" s="162"/>
      <c r="E492" s="225"/>
      <c r="F492" s="1180" t="s">
        <v>1055</v>
      </c>
      <c r="G492" s="162"/>
      <c r="H492" s="162"/>
      <c r="I492" s="867"/>
      <c r="J492" s="867"/>
      <c r="K492" s="867"/>
      <c r="L492" s="867"/>
      <c r="M492" s="867"/>
      <c r="N492" s="867"/>
      <c r="O492" s="867"/>
      <c r="P492" s="867"/>
      <c r="Q492" s="867"/>
      <c r="R492" s="867"/>
      <c r="S492" s="867"/>
      <c r="T492" s="867"/>
      <c r="U492" s="867"/>
      <c r="V492" s="2310" t="s">
        <v>134</v>
      </c>
      <c r="W492" s="2310"/>
      <c r="X492" s="2310"/>
      <c r="Y492" s="867"/>
      <c r="Z492" s="867"/>
      <c r="AA492" s="867"/>
      <c r="AB492" s="867"/>
      <c r="AC492" s="867"/>
      <c r="AD492" s="943"/>
      <c r="AE492" s="943"/>
      <c r="AF492" s="943"/>
      <c r="AG492" s="175">
        <f>IF(AND($C$489="Yes",$V$494="N/A",$V$499="N/A",$V$503="N/A",$V$505="N/A"),(VLOOKUP(V492,$AR$468:$AS$470,2,FALSE)),0)</f>
        <v>0</v>
      </c>
      <c r="AH492" s="1108" t="s">
        <v>1056</v>
      </c>
      <c r="AI492" s="27"/>
      <c r="AJ492" s="27"/>
      <c r="AK492" s="1142"/>
      <c r="AL492" s="162"/>
      <c r="AM492" s="46"/>
      <c r="AN492" s="439"/>
    </row>
    <row r="493" spans="1:50" s="205" customFormat="1" ht="12.75" hidden="1" customHeight="1">
      <c r="A493" s="57"/>
      <c r="B493" s="46"/>
      <c r="C493" s="1170"/>
      <c r="D493" s="162"/>
      <c r="E493" s="225"/>
      <c r="F493" s="1180"/>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3"/>
      <c r="AI493" s="27"/>
      <c r="AJ493" s="27"/>
      <c r="AK493" s="1142"/>
      <c r="AL493" s="162"/>
      <c r="AM493" s="46"/>
      <c r="AN493" s="439"/>
    </row>
    <row r="494" spans="1:50" s="205" customFormat="1" ht="12.75" hidden="1" customHeight="1">
      <c r="A494" s="57"/>
      <c r="B494" s="46"/>
      <c r="C494" s="1170"/>
      <c r="D494" s="162"/>
      <c r="E494" s="225"/>
      <c r="F494" s="1180" t="s">
        <v>2130</v>
      </c>
      <c r="G494" s="162"/>
      <c r="H494" s="162"/>
      <c r="I494" s="867"/>
      <c r="J494" s="867"/>
      <c r="K494" s="867"/>
      <c r="L494" s="867"/>
      <c r="M494" s="867"/>
      <c r="N494" s="867"/>
      <c r="O494" s="867"/>
      <c r="P494" s="867"/>
      <c r="Q494" s="867"/>
      <c r="R494" s="867"/>
      <c r="S494" s="867"/>
      <c r="T494" s="867"/>
      <c r="U494" s="867"/>
      <c r="V494" s="2310" t="s">
        <v>134</v>
      </c>
      <c r="W494" s="2310"/>
      <c r="X494" s="2310"/>
      <c r="Y494" s="867"/>
      <c r="Z494" s="867"/>
      <c r="AA494" s="867"/>
      <c r="AB494" s="867"/>
      <c r="AC494" s="867"/>
      <c r="AD494" s="943"/>
      <c r="AE494" s="943"/>
      <c r="AF494" s="943"/>
      <c r="AG494" s="175">
        <f>IF(AND($C$489="Yes",$V$492="N/A", $V$499="N/A",$V$503="N/A",$V$505="N/A"),(VLOOKUP(V494,$AO$468:$AP$470,2,FALSE)),0)</f>
        <v>0</v>
      </c>
      <c r="AH494" s="1303" t="s">
        <v>1056</v>
      </c>
      <c r="AI494" s="27"/>
      <c r="AJ494" s="27"/>
      <c r="AK494" s="1142"/>
      <c r="AL494" s="162"/>
      <c r="AM494" s="46"/>
      <c r="AN494" s="439"/>
    </row>
    <row r="495" spans="1:50" s="46" customFormat="1" ht="12.75" hidden="1" customHeight="1">
      <c r="A495" s="28"/>
      <c r="C495" s="1170"/>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2"/>
      <c r="AL495" s="162"/>
      <c r="AN495" s="439"/>
      <c r="AO495" s="46" t="s">
        <v>134</v>
      </c>
      <c r="AP495" s="46">
        <v>0</v>
      </c>
    </row>
    <row r="496" spans="1:50" s="46" customFormat="1" ht="12.75" hidden="1" customHeight="1">
      <c r="A496" s="28"/>
      <c r="C496" s="1170"/>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2"/>
      <c r="AL496" s="162"/>
      <c r="AN496" s="439"/>
      <c r="AO496" s="46" t="s">
        <v>1448</v>
      </c>
      <c r="AP496" s="64">
        <v>2</v>
      </c>
    </row>
    <row r="497" spans="1:147" s="46" customFormat="1" ht="12.75" hidden="1" customHeight="1">
      <c r="A497" s="28"/>
      <c r="C497" s="1170"/>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8"/>
      <c r="AI497" s="27"/>
      <c r="AJ497" s="27"/>
      <c r="AK497" s="1142"/>
      <c r="AL497" s="162"/>
      <c r="AN497" s="439"/>
      <c r="AO497" s="46" t="s">
        <v>1063</v>
      </c>
      <c r="AP497" s="46">
        <v>2</v>
      </c>
    </row>
    <row r="498" spans="1:147" s="205" customFormat="1" ht="12.75" hidden="1" customHeight="1">
      <c r="A498" s="28"/>
      <c r="B498" s="46"/>
      <c r="C498" s="1145"/>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8"/>
      <c r="AI498" s="27"/>
      <c r="AJ498" s="27"/>
      <c r="AK498" s="1142"/>
      <c r="AL498" s="162"/>
      <c r="AM498" s="46"/>
      <c r="AN498" s="459"/>
      <c r="AO498" s="46" t="s">
        <v>1064</v>
      </c>
      <c r="AP498" s="46">
        <v>2</v>
      </c>
    </row>
    <row r="499" spans="1:147" s="46" customFormat="1" ht="12.75" hidden="1" customHeight="1">
      <c r="A499" s="28"/>
      <c r="C499" s="1181"/>
      <c r="D499" s="28"/>
      <c r="E499" s="28"/>
      <c r="F499" s="1180" t="s">
        <v>1447</v>
      </c>
      <c r="G499" s="28"/>
      <c r="H499" s="28"/>
      <c r="I499" s="28"/>
      <c r="J499" s="28"/>
      <c r="K499" s="28"/>
      <c r="L499" s="28"/>
      <c r="M499" s="225"/>
      <c r="N499" s="225"/>
      <c r="O499" s="225"/>
      <c r="P499" s="225"/>
      <c r="Q499" s="27"/>
      <c r="R499" s="27"/>
      <c r="S499" s="27"/>
      <c r="T499" s="27"/>
      <c r="U499" s="27"/>
      <c r="V499" s="2310" t="s">
        <v>134</v>
      </c>
      <c r="W499" s="2310"/>
      <c r="X499" s="2310"/>
      <c r="Y499" s="27"/>
      <c r="Z499" s="27"/>
      <c r="AA499" s="27"/>
      <c r="AB499" s="27"/>
      <c r="AC499" s="27"/>
      <c r="AD499" s="162"/>
      <c r="AE499" s="162"/>
      <c r="AF499" s="162"/>
      <c r="AG499" s="175">
        <f>IF(AND($C$489="Yes",$V$492="N/A",$V$494="N/A", $V$503="N/A",$V$505="N/A"),(VLOOKUP($V$499,$AO$472:$AP$474,2,FALSE)),0)</f>
        <v>0</v>
      </c>
      <c r="AH499" s="1108" t="s">
        <v>1056</v>
      </c>
      <c r="AI499" s="27"/>
      <c r="AJ499" s="27"/>
      <c r="AK499" s="1142"/>
      <c r="AL499" s="162"/>
      <c r="AN499" s="1083"/>
    </row>
    <row r="500" spans="1:147" s="46" customFormat="1" ht="12.75" hidden="1" customHeight="1">
      <c r="A500" s="28"/>
      <c r="C500" s="117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2"/>
      <c r="AL500" s="162"/>
      <c r="AN500" s="1096"/>
    </row>
    <row r="501" spans="1:147" s="205" customFormat="1" ht="12.75" hidden="1" customHeight="1">
      <c r="A501" s="28"/>
      <c r="B501" s="153"/>
      <c r="C501" s="1185" t="s">
        <v>1321</v>
      </c>
      <c r="D501" s="1186"/>
      <c r="E501" s="1186"/>
      <c r="F501" s="1187" t="s">
        <v>1444</v>
      </c>
      <c r="G501" s="1134"/>
      <c r="H501" s="1134"/>
      <c r="I501" s="1186"/>
      <c r="J501" s="1186"/>
      <c r="K501" s="1186"/>
      <c r="L501" s="1186"/>
      <c r="M501" s="1186"/>
      <c r="N501" s="1186"/>
      <c r="O501" s="1186"/>
      <c r="P501" s="1186"/>
      <c r="Q501" s="1186"/>
      <c r="R501" s="1186"/>
      <c r="S501" s="1186"/>
      <c r="T501" s="1186"/>
      <c r="U501" s="1186"/>
      <c r="V501" s="1186"/>
      <c r="W501" s="1186"/>
      <c r="X501" s="1186"/>
      <c r="Y501" s="1186"/>
      <c r="Z501" s="1186"/>
      <c r="AA501" s="1186"/>
      <c r="AB501" s="1186"/>
      <c r="AC501" s="1186"/>
      <c r="AD501" s="1134"/>
      <c r="AE501" s="1134"/>
      <c r="AF501" s="1134"/>
      <c r="AG501" s="1134"/>
      <c r="AH501" s="1134"/>
      <c r="AI501" s="1134"/>
      <c r="AJ501" s="1186"/>
      <c r="AK501" s="1162"/>
      <c r="AL501" s="162"/>
      <c r="AM501" s="46"/>
      <c r="AN501" s="1084"/>
      <c r="AO501" s="46" t="s">
        <v>134</v>
      </c>
      <c r="AP501" s="46">
        <v>0</v>
      </c>
      <c r="AQ501" s="62"/>
    </row>
    <row r="502" spans="1:147" s="205" customFormat="1" ht="12.75" hidden="1" customHeight="1">
      <c r="A502" s="28"/>
      <c r="B502" s="153"/>
      <c r="C502" s="1182"/>
      <c r="D502" s="2085"/>
      <c r="E502" s="2085"/>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2"/>
      <c r="AL502" s="162"/>
      <c r="AM502" s="46"/>
      <c r="AN502" s="1084"/>
      <c r="AO502" s="46" t="s">
        <v>1456</v>
      </c>
      <c r="AP502" s="64">
        <v>5</v>
      </c>
      <c r="AQ502" s="63"/>
    </row>
    <row r="503" spans="1:147" s="16" customFormat="1" ht="12.75" hidden="1" customHeight="1">
      <c r="A503" s="195"/>
      <c r="B503" s="153"/>
      <c r="C503" s="1170"/>
      <c r="D503" s="162"/>
      <c r="E503" s="162"/>
      <c r="F503" s="870" t="s">
        <v>1055</v>
      </c>
      <c r="G503" s="162"/>
      <c r="H503" s="162"/>
      <c r="I503" s="162"/>
      <c r="J503" s="162"/>
      <c r="K503" s="162"/>
      <c r="L503" s="162"/>
      <c r="M503" s="162"/>
      <c r="N503" s="162"/>
      <c r="O503" s="162"/>
      <c r="P503" s="162"/>
      <c r="Q503" s="162"/>
      <c r="R503" s="162"/>
      <c r="S503" s="162"/>
      <c r="T503" s="162"/>
      <c r="U503" s="162"/>
      <c r="V503" s="2310" t="s">
        <v>134</v>
      </c>
      <c r="W503" s="2310"/>
      <c r="X503" s="2310"/>
      <c r="Y503" s="162"/>
      <c r="Z503" s="162"/>
      <c r="AA503" s="162"/>
      <c r="AB503" s="162"/>
      <c r="AC503" s="162"/>
      <c r="AD503" s="162"/>
      <c r="AE503" s="162"/>
      <c r="AF503" s="162"/>
      <c r="AG503" s="175">
        <f>IF(AND($C$489="Yes",$V$492="N/A",V494="N/A",$V$499="N/A",$V$505="N/A"),(VLOOKUP($V$503,$AW$468:$AX$471,2,FALSE)),0)</f>
        <v>0</v>
      </c>
      <c r="AH503" s="1108" t="s">
        <v>1056</v>
      </c>
      <c r="AI503" s="27"/>
      <c r="AJ503" s="162"/>
      <c r="AK503" s="1142"/>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2"/>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1"/>
      <c r="D505" s="1152"/>
      <c r="E505" s="1152"/>
      <c r="F505" s="1180" t="s">
        <v>2130</v>
      </c>
      <c r="G505" s="1183"/>
      <c r="H505" s="1183"/>
      <c r="I505" s="1152"/>
      <c r="J505" s="1152"/>
      <c r="K505" s="1152"/>
      <c r="L505" s="1152"/>
      <c r="M505" s="1152"/>
      <c r="N505" s="1152"/>
      <c r="O505" s="1152"/>
      <c r="P505" s="1152"/>
      <c r="Q505" s="1152"/>
      <c r="R505" s="1152"/>
      <c r="S505" s="1152"/>
      <c r="T505" s="1152"/>
      <c r="U505" s="1152"/>
      <c r="V505" s="2310" t="s">
        <v>134</v>
      </c>
      <c r="W505" s="2310"/>
      <c r="X505" s="2310"/>
      <c r="Y505" s="1152"/>
      <c r="Z505" s="1152"/>
      <c r="AA505" s="1152"/>
      <c r="AB505" s="1152"/>
      <c r="AC505" s="1152"/>
      <c r="AD505" s="1152"/>
      <c r="AE505" s="1152"/>
      <c r="AF505" s="1152"/>
      <c r="AG505" s="1184">
        <f>IF(AND($C$489="Yes",$V$492="N/A",$V$494="N/A",$V$499="N/A",$V$503="N/A"),(VLOOKUP($V$505,$BA$468:$BB$470,2,FALSE)),0)</f>
        <v>0</v>
      </c>
      <c r="AH505" s="1176" t="s">
        <v>1056</v>
      </c>
      <c r="AI505" s="1152"/>
      <c r="AJ505" s="1152"/>
      <c r="AK505" s="1153"/>
      <c r="AL505" s="162"/>
      <c r="AM505" s="46"/>
      <c r="AN505" s="109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7"/>
      <c r="AO506" s="400"/>
      <c r="AP506" s="46"/>
      <c r="AQ506" s="46"/>
      <c r="AR506" s="46"/>
      <c r="AS506" s="46"/>
      <c r="AT506" s="46"/>
      <c r="AU506" s="2575" t="s">
        <v>718</v>
      </c>
      <c r="AV506" s="2576"/>
      <c r="AW506" s="2576"/>
      <c r="AX506" s="2576"/>
      <c r="AY506" s="2576"/>
      <c r="AZ506" s="2576"/>
      <c r="BA506" s="2576"/>
      <c r="BB506" s="205"/>
      <c r="BC506" s="205"/>
      <c r="BE506" s="46"/>
      <c r="BF506" s="46"/>
      <c r="BG506" s="46"/>
      <c r="BH506" s="46"/>
      <c r="BI506" s="46"/>
      <c r="BJ506" s="2501" t="s">
        <v>35</v>
      </c>
      <c r="BK506" s="2502"/>
      <c r="BL506" s="2502"/>
      <c r="BM506" s="2502"/>
      <c r="BN506" s="2502"/>
      <c r="BO506" s="2502"/>
      <c r="BP506" s="250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7"/>
      <c r="AO507" s="400"/>
      <c r="AP507" s="46"/>
      <c r="AQ507" s="46"/>
      <c r="AR507" s="46"/>
      <c r="AS507" s="46"/>
      <c r="AT507" s="46"/>
      <c r="AU507" s="2575"/>
      <c r="AV507" s="2576"/>
      <c r="AW507" s="2576"/>
      <c r="AX507" s="2576"/>
      <c r="AY507" s="2576"/>
      <c r="AZ507" s="2576"/>
      <c r="BA507" s="2576"/>
      <c r="BB507" s="205"/>
      <c r="BC507" s="205"/>
      <c r="BE507" s="46"/>
      <c r="BF507" s="46"/>
      <c r="BG507" s="46"/>
      <c r="BH507" s="46"/>
      <c r="BI507" s="46"/>
      <c r="BJ507" s="2501"/>
      <c r="BK507" s="2502"/>
      <c r="BL507" s="2502"/>
      <c r="BM507" s="2502"/>
      <c r="BN507" s="2502"/>
      <c r="BO507" s="2502"/>
      <c r="BP507" s="2502"/>
      <c r="BQ507" s="205"/>
      <c r="BR507" s="46"/>
    </row>
    <row r="508" spans="1:147" s="16" customFormat="1" ht="12.75" hidden="1" customHeight="1">
      <c r="A508" s="195"/>
      <c r="B508" s="46"/>
      <c r="C508" s="2308" t="s">
        <v>134</v>
      </c>
      <c r="D508" s="2309"/>
      <c r="E508" s="1188" t="s">
        <v>210</v>
      </c>
      <c r="F508" s="2339" t="s">
        <v>1054</v>
      </c>
      <c r="G508" s="2339"/>
      <c r="H508" s="2339"/>
      <c r="I508" s="2339"/>
      <c r="J508" s="2339"/>
      <c r="K508" s="2339"/>
      <c r="L508" s="2339"/>
      <c r="M508" s="2339"/>
      <c r="N508" s="2339"/>
      <c r="O508" s="2339"/>
      <c r="P508" s="2339"/>
      <c r="Q508" s="2339"/>
      <c r="R508" s="2339"/>
      <c r="S508" s="2339"/>
      <c r="T508" s="2339"/>
      <c r="U508" s="2339"/>
      <c r="V508" s="2339"/>
      <c r="W508" s="2339"/>
      <c r="X508" s="2339"/>
      <c r="Y508" s="2339"/>
      <c r="Z508" s="2339"/>
      <c r="AA508" s="2339"/>
      <c r="AB508" s="2339"/>
      <c r="AC508" s="2339"/>
      <c r="AD508" s="2339"/>
      <c r="AE508" s="2339"/>
      <c r="AF508" s="1134"/>
      <c r="AG508" s="1189"/>
      <c r="AH508" s="1189"/>
      <c r="AI508" s="1189"/>
      <c r="AJ508" s="1189"/>
      <c r="AK508" s="1162"/>
      <c r="AL508" s="162"/>
      <c r="AM508" s="46"/>
      <c r="AN508" s="108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0"/>
      <c r="D509" s="162"/>
      <c r="E509" s="225"/>
      <c r="F509" s="2340"/>
      <c r="G509" s="2340"/>
      <c r="H509" s="2340"/>
      <c r="I509" s="2340"/>
      <c r="J509" s="2340"/>
      <c r="K509" s="2340"/>
      <c r="L509" s="2340"/>
      <c r="M509" s="2340"/>
      <c r="N509" s="2340"/>
      <c r="O509" s="2340"/>
      <c r="P509" s="2340"/>
      <c r="Q509" s="2340"/>
      <c r="R509" s="2340"/>
      <c r="S509" s="2340"/>
      <c r="T509" s="2340"/>
      <c r="U509" s="2340"/>
      <c r="V509" s="2340"/>
      <c r="W509" s="2340"/>
      <c r="X509" s="2340"/>
      <c r="Y509" s="2340"/>
      <c r="Z509" s="2340"/>
      <c r="AA509" s="2340"/>
      <c r="AB509" s="2340"/>
      <c r="AC509" s="2340"/>
      <c r="AD509" s="2340"/>
      <c r="AE509" s="2340"/>
      <c r="AF509" s="162"/>
      <c r="AG509" s="27"/>
      <c r="AH509" s="27"/>
      <c r="AI509" s="27"/>
      <c r="AJ509" s="27"/>
      <c r="AK509" s="1142"/>
      <c r="AL509" s="162"/>
      <c r="AM509" s="46"/>
      <c r="AN509" s="1082"/>
      <c r="AO509" s="132"/>
      <c r="AP509" s="2544" t="s">
        <v>1635</v>
      </c>
      <c r="AQ509" s="2545"/>
      <c r="AR509" s="2546"/>
      <c r="AS509" s="951">
        <v>80</v>
      </c>
      <c r="AT509" s="46">
        <v>0</v>
      </c>
      <c r="AU509" s="243">
        <v>10</v>
      </c>
      <c r="AV509" s="243">
        <v>25</v>
      </c>
      <c r="AW509" s="243">
        <v>37.5</v>
      </c>
      <c r="AX509" s="243">
        <v>35</v>
      </c>
      <c r="AY509" s="243">
        <v>37.5</v>
      </c>
      <c r="AZ509" s="243">
        <v>50</v>
      </c>
      <c r="BA509" s="243">
        <v>50</v>
      </c>
      <c r="BB509" s="65"/>
      <c r="BC509" s="65"/>
      <c r="BE509" s="2544" t="s">
        <v>1635</v>
      </c>
      <c r="BF509" s="2545"/>
      <c r="BG509" s="254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1"/>
      <c r="D510" s="1152"/>
      <c r="E510" s="1172"/>
      <c r="F510" s="2337" t="s">
        <v>134</v>
      </c>
      <c r="G510" s="2337"/>
      <c r="H510" s="2337"/>
      <c r="I510" s="2337"/>
      <c r="J510" s="2337"/>
      <c r="K510" s="2337"/>
      <c r="L510" s="2337"/>
      <c r="M510" s="2337"/>
      <c r="N510" s="2337"/>
      <c r="O510" s="2337"/>
      <c r="P510" s="2337"/>
      <c r="Q510" s="2337"/>
      <c r="R510" s="2337"/>
      <c r="S510" s="2337"/>
      <c r="T510" s="2337"/>
      <c r="U510" s="2337"/>
      <c r="V510" s="2337"/>
      <c r="W510" s="2337"/>
      <c r="X510" s="2337"/>
      <c r="Y510" s="2337"/>
      <c r="Z510" s="2337"/>
      <c r="AA510" s="1173"/>
      <c r="AB510" s="1174"/>
      <c r="AC510" s="1174"/>
      <c r="AD510" s="1152"/>
      <c r="AE510" s="1152"/>
      <c r="AF510" s="1152"/>
      <c r="AG510" s="1175">
        <f>IF($C$508="Yes",(VLOOKUP($F$510,$AO$478:$AP$486,2,FALSE)),0)</f>
        <v>0</v>
      </c>
      <c r="AH510" s="1176" t="s">
        <v>1056</v>
      </c>
      <c r="AI510" s="1175"/>
      <c r="AJ510" s="1174"/>
      <c r="AK510" s="1153"/>
      <c r="AL510" s="162"/>
      <c r="AM510" s="46"/>
      <c r="AN510" s="1082"/>
      <c r="AO510" s="132"/>
      <c r="AP510" s="2363"/>
      <c r="AQ510" s="2364"/>
      <c r="AR510" s="2365"/>
      <c r="AS510" s="951">
        <v>75</v>
      </c>
      <c r="AT510" s="46">
        <v>0</v>
      </c>
      <c r="AU510" s="243">
        <v>10</v>
      </c>
      <c r="AV510" s="243">
        <v>25</v>
      </c>
      <c r="AW510" s="243">
        <v>37.5</v>
      </c>
      <c r="AX510" s="243">
        <v>35</v>
      </c>
      <c r="AY510" s="243">
        <v>37.5</v>
      </c>
      <c r="AZ510" s="243">
        <v>50</v>
      </c>
      <c r="BA510" s="243">
        <v>50</v>
      </c>
      <c r="BB510" s="65"/>
      <c r="BC510" s="65"/>
      <c r="BE510" s="2363"/>
      <c r="BF510" s="2364"/>
      <c r="BG510" s="2365"/>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2"/>
      <c r="AO511" s="132"/>
      <c r="AP511" s="2363"/>
      <c r="AQ511" s="2364"/>
      <c r="AR511" s="2365"/>
      <c r="AS511" s="951">
        <v>70</v>
      </c>
      <c r="AT511" s="46">
        <v>0</v>
      </c>
      <c r="AU511" s="243">
        <v>10</v>
      </c>
      <c r="AV511" s="243">
        <v>25</v>
      </c>
      <c r="AW511" s="243">
        <v>37.5</v>
      </c>
      <c r="AX511" s="243">
        <v>35</v>
      </c>
      <c r="AY511" s="243">
        <v>37.5</v>
      </c>
      <c r="AZ511" s="243">
        <v>50</v>
      </c>
      <c r="BA511" s="243">
        <v>50</v>
      </c>
      <c r="BB511" s="65"/>
      <c r="BC511" s="65"/>
      <c r="BE511" s="2363"/>
      <c r="BF511" s="2364"/>
      <c r="BG511" s="2365"/>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8" t="s">
        <v>134</v>
      </c>
      <c r="D512" s="2309"/>
      <c r="E512" s="1188" t="s">
        <v>334</v>
      </c>
      <c r="F512" s="2372" t="s">
        <v>1252</v>
      </c>
      <c r="G512" s="2372"/>
      <c r="H512" s="2372"/>
      <c r="I512" s="2372"/>
      <c r="J512" s="2372"/>
      <c r="K512" s="2372"/>
      <c r="L512" s="2372"/>
      <c r="M512" s="2372"/>
      <c r="N512" s="2372"/>
      <c r="O512" s="2372"/>
      <c r="P512" s="2372"/>
      <c r="Q512" s="2372"/>
      <c r="R512" s="2372"/>
      <c r="S512" s="2372"/>
      <c r="T512" s="2372"/>
      <c r="U512" s="2372"/>
      <c r="V512" s="2372"/>
      <c r="W512" s="2372"/>
      <c r="X512" s="2372"/>
      <c r="Y512" s="2372"/>
      <c r="Z512" s="2372"/>
      <c r="AA512" s="2372"/>
      <c r="AB512" s="2372"/>
      <c r="AC512" s="2372"/>
      <c r="AD512" s="2372"/>
      <c r="AE512" s="2372"/>
      <c r="AF512" s="1134"/>
      <c r="AG512" s="1178"/>
      <c r="AH512" s="1178"/>
      <c r="AI512" s="1178"/>
      <c r="AJ512" s="1178"/>
      <c r="AK512" s="1162"/>
      <c r="AL512" s="162"/>
      <c r="AM512" s="46"/>
      <c r="AN512" s="1082"/>
      <c r="AO512" s="132"/>
      <c r="AP512" s="2363"/>
      <c r="AQ512" s="2364"/>
      <c r="AR512" s="2365"/>
      <c r="AS512" s="951">
        <v>65</v>
      </c>
      <c r="AT512" s="46">
        <v>0</v>
      </c>
      <c r="AU512" s="243">
        <v>10</v>
      </c>
      <c r="AV512" s="243">
        <v>25</v>
      </c>
      <c r="AW512" s="243">
        <v>37.5</v>
      </c>
      <c r="AX512" s="243">
        <v>35</v>
      </c>
      <c r="AY512" s="243">
        <v>37.5</v>
      </c>
      <c r="AZ512" s="243">
        <v>50</v>
      </c>
      <c r="BA512" s="243">
        <v>50</v>
      </c>
      <c r="BB512" s="65"/>
      <c r="BC512" s="65"/>
      <c r="BE512" s="2363"/>
      <c r="BF512" s="2364"/>
      <c r="BG512" s="2365"/>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0"/>
      <c r="D513" s="162"/>
      <c r="E513" s="225"/>
      <c r="F513" s="2373"/>
      <c r="G513" s="2373"/>
      <c r="H513" s="2373"/>
      <c r="I513" s="2373"/>
      <c r="J513" s="2373"/>
      <c r="K513" s="2373"/>
      <c r="L513" s="2373"/>
      <c r="M513" s="2373"/>
      <c r="N513" s="2373"/>
      <c r="O513" s="2373"/>
      <c r="P513" s="2373"/>
      <c r="Q513" s="2373"/>
      <c r="R513" s="2373"/>
      <c r="S513" s="2373"/>
      <c r="T513" s="2373"/>
      <c r="U513" s="2373"/>
      <c r="V513" s="2373"/>
      <c r="W513" s="2373"/>
      <c r="X513" s="2373"/>
      <c r="Y513" s="2373"/>
      <c r="Z513" s="2373"/>
      <c r="AA513" s="2373"/>
      <c r="AB513" s="2373"/>
      <c r="AC513" s="2373"/>
      <c r="AD513" s="2373"/>
      <c r="AE513" s="2373"/>
      <c r="AF513" s="162"/>
      <c r="AG513" s="27"/>
      <c r="AH513" s="27"/>
      <c r="AI513" s="27"/>
      <c r="AJ513" s="27"/>
      <c r="AK513" s="1142"/>
      <c r="AL513" s="162"/>
      <c r="AM513" s="46"/>
      <c r="AN513" s="1082"/>
      <c r="AO513" s="132"/>
      <c r="AP513" s="2363"/>
      <c r="AQ513" s="2364"/>
      <c r="AR513" s="2365"/>
      <c r="AS513" s="951">
        <v>60</v>
      </c>
      <c r="AT513" s="46">
        <v>0</v>
      </c>
      <c r="AU513" s="243">
        <v>10</v>
      </c>
      <c r="AV513" s="243">
        <v>25</v>
      </c>
      <c r="AW513" s="243">
        <v>37.5</v>
      </c>
      <c r="AX513" s="243">
        <v>35</v>
      </c>
      <c r="AY513" s="243">
        <v>37.5</v>
      </c>
      <c r="AZ513" s="243">
        <v>50</v>
      </c>
      <c r="BA513" s="243">
        <v>50</v>
      </c>
      <c r="BB513" s="65"/>
      <c r="BC513" s="65"/>
      <c r="BE513" s="2363"/>
      <c r="BF513" s="2364"/>
      <c r="BG513" s="2365"/>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5"/>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5"/>
      <c r="AD514" s="162"/>
      <c r="AE514" s="162"/>
      <c r="AF514" s="162"/>
      <c r="AG514" s="175"/>
      <c r="AH514" s="175"/>
      <c r="AI514" s="175"/>
      <c r="AJ514" s="175"/>
      <c r="AK514" s="1142"/>
      <c r="AL514" s="162"/>
      <c r="AM514" s="46"/>
      <c r="AN514" s="1082"/>
      <c r="AP514" s="2363"/>
      <c r="AQ514" s="2364"/>
      <c r="AR514" s="2365"/>
      <c r="AS514" s="951">
        <v>55</v>
      </c>
      <c r="AT514" s="46">
        <v>0</v>
      </c>
      <c r="AU514" s="243">
        <v>10</v>
      </c>
      <c r="AV514" s="243">
        <v>25</v>
      </c>
      <c r="AW514" s="243">
        <v>37.5</v>
      </c>
      <c r="AX514" s="243">
        <v>35</v>
      </c>
      <c r="AY514" s="243">
        <v>37.5</v>
      </c>
      <c r="AZ514" s="243">
        <v>50</v>
      </c>
      <c r="BA514" s="243">
        <v>50</v>
      </c>
      <c r="BE514" s="2363"/>
      <c r="BF514" s="2364"/>
      <c r="BG514" s="2365"/>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1"/>
      <c r="D515" s="1152"/>
      <c r="E515" s="1172"/>
      <c r="F515" s="2338" t="s">
        <v>134</v>
      </c>
      <c r="G515" s="2338"/>
      <c r="H515" s="2338"/>
      <c r="I515" s="1174"/>
      <c r="J515" s="1174"/>
      <c r="K515" s="1174"/>
      <c r="L515" s="1174"/>
      <c r="M515" s="1174"/>
      <c r="N515" s="1174"/>
      <c r="O515" s="1174"/>
      <c r="P515" s="1174"/>
      <c r="Q515" s="1174"/>
      <c r="R515" s="1174"/>
      <c r="S515" s="1174"/>
      <c r="T515" s="1174"/>
      <c r="U515" s="1174"/>
      <c r="V515" s="1174"/>
      <c r="W515" s="1174"/>
      <c r="X515" s="1174"/>
      <c r="Y515" s="1174"/>
      <c r="Z515" s="1174"/>
      <c r="AA515" s="1174"/>
      <c r="AB515" s="1174"/>
      <c r="AC515" s="1174"/>
      <c r="AD515" s="1152"/>
      <c r="AE515" s="1152"/>
      <c r="AF515" s="1152"/>
      <c r="AG515" s="1175">
        <f>IF($C$512="Yes",(VLOOKUP($F$515,$AO$488:$AP$490,2,FALSE)),0)</f>
        <v>0</v>
      </c>
      <c r="AH515" s="1176" t="s">
        <v>1056</v>
      </c>
      <c r="AI515" s="1174"/>
      <c r="AJ515" s="1174"/>
      <c r="AK515" s="1153"/>
      <c r="AL515" s="162"/>
      <c r="AM515" s="46"/>
      <c r="AN515" s="1082"/>
      <c r="AP515" s="2363"/>
      <c r="AQ515" s="2364"/>
      <c r="AR515" s="2365"/>
      <c r="AS515" s="242">
        <v>50</v>
      </c>
      <c r="AT515" s="46">
        <v>0</v>
      </c>
      <c r="AU515" s="243">
        <v>10</v>
      </c>
      <c r="AV515" s="243">
        <v>25</v>
      </c>
      <c r="AW515" s="243">
        <v>37.5</v>
      </c>
      <c r="AX515" s="243">
        <v>35</v>
      </c>
      <c r="AY515" s="243">
        <v>37.5</v>
      </c>
      <c r="AZ515" s="243">
        <v>50</v>
      </c>
      <c r="BA515" s="243">
        <v>50</v>
      </c>
      <c r="BE515" s="2363"/>
      <c r="BF515" s="2364"/>
      <c r="BG515" s="236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8"/>
      <c r="AI516" s="27"/>
      <c r="AJ516" s="27"/>
      <c r="AK516" s="162"/>
      <c r="AL516" s="162"/>
      <c r="AM516" s="46"/>
      <c r="AN516" s="1082"/>
      <c r="AP516" s="2363"/>
      <c r="AQ516" s="2364"/>
      <c r="AR516" s="2365"/>
      <c r="AS516" s="242">
        <v>45</v>
      </c>
      <c r="AT516" s="46">
        <v>0</v>
      </c>
      <c r="AU516" s="243">
        <v>10</v>
      </c>
      <c r="AV516" s="243">
        <v>22.5</v>
      </c>
      <c r="AW516" s="243">
        <v>33.799999999999997</v>
      </c>
      <c r="AX516" s="243">
        <v>35</v>
      </c>
      <c r="AY516" s="243">
        <v>37.5</v>
      </c>
      <c r="AZ516" s="243">
        <v>50</v>
      </c>
      <c r="BA516" s="243">
        <v>50</v>
      </c>
      <c r="BE516" s="2363"/>
      <c r="BF516" s="2364"/>
      <c r="BG516" s="236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8" t="s">
        <v>134</v>
      </c>
      <c r="D517" s="2309"/>
      <c r="E517" s="1188" t="s">
        <v>1361</v>
      </c>
      <c r="F517" s="1187" t="s">
        <v>1061</v>
      </c>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c r="AA517" s="1178"/>
      <c r="AB517" s="1178"/>
      <c r="AC517" s="1191"/>
      <c r="AD517" s="1134"/>
      <c r="AE517" s="1134"/>
      <c r="AF517" s="1134"/>
      <c r="AG517" s="1192"/>
      <c r="AH517" s="1192"/>
      <c r="AI517" s="1192"/>
      <c r="AJ517" s="1192"/>
      <c r="AK517" s="1162"/>
      <c r="AL517" s="162"/>
      <c r="AM517" s="46"/>
      <c r="AN517" s="1082"/>
      <c r="AP517" s="2363"/>
      <c r="AQ517" s="2364"/>
      <c r="AR517" s="2365"/>
      <c r="AS517" s="242">
        <v>40</v>
      </c>
      <c r="AT517" s="46">
        <v>0</v>
      </c>
      <c r="AU517" s="243">
        <v>10</v>
      </c>
      <c r="AV517" s="243">
        <v>20</v>
      </c>
      <c r="AW517" s="243">
        <v>30</v>
      </c>
      <c r="AX517" s="243">
        <v>35</v>
      </c>
      <c r="AY517" s="243">
        <v>37.5</v>
      </c>
      <c r="AZ517" s="243">
        <v>50</v>
      </c>
      <c r="BA517" s="243">
        <v>50</v>
      </c>
      <c r="BE517" s="2363"/>
      <c r="BF517" s="2364"/>
      <c r="BG517" s="236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2"/>
      <c r="AL518" s="162"/>
      <c r="AM518" s="46"/>
      <c r="AN518" s="1082"/>
      <c r="AP518" s="2363"/>
      <c r="AQ518" s="2364"/>
      <c r="AR518" s="2365"/>
      <c r="AS518" s="242">
        <v>35</v>
      </c>
      <c r="AT518" s="46">
        <v>0</v>
      </c>
      <c r="AU518" s="243">
        <v>8.8000000000000007</v>
      </c>
      <c r="AV518" s="243">
        <v>17.5</v>
      </c>
      <c r="AW518" s="243">
        <v>26.3</v>
      </c>
      <c r="AX518" s="243">
        <v>35</v>
      </c>
      <c r="AY518" s="243">
        <v>37.5</v>
      </c>
      <c r="AZ518" s="243">
        <v>50</v>
      </c>
      <c r="BA518" s="243">
        <v>50</v>
      </c>
      <c r="BE518" s="2363"/>
      <c r="BF518" s="2364"/>
      <c r="BG518" s="236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1"/>
      <c r="D519" s="2085"/>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5"/>
      <c r="AD519" s="162"/>
      <c r="AE519" s="162"/>
      <c r="AF519" s="162"/>
      <c r="AG519" s="175">
        <f>IF($C$517="Yes",(VLOOKUP($G$520,$AO$495:$AP$498,2,FALSE)),0)</f>
        <v>0</v>
      </c>
      <c r="AH519" s="1108" t="s">
        <v>1056</v>
      </c>
      <c r="AI519" s="27"/>
      <c r="AJ519" s="175"/>
      <c r="AK519" s="1142"/>
      <c r="AL519" s="162"/>
      <c r="AM519" s="46"/>
      <c r="AN519" s="1082"/>
      <c r="AP519" s="2363"/>
      <c r="AQ519" s="2364"/>
      <c r="AR519" s="2365"/>
      <c r="AS519" s="242">
        <v>30</v>
      </c>
      <c r="AT519" s="46">
        <v>0</v>
      </c>
      <c r="AU519" s="243">
        <v>7.5</v>
      </c>
      <c r="AV519" s="243">
        <v>15</v>
      </c>
      <c r="AW519" s="243">
        <v>22.5</v>
      </c>
      <c r="AX519" s="243">
        <v>30</v>
      </c>
      <c r="AY519" s="243">
        <v>37.5</v>
      </c>
      <c r="AZ519" s="243">
        <v>45</v>
      </c>
      <c r="BA519" s="243">
        <v>50</v>
      </c>
      <c r="BE519" s="2363"/>
      <c r="BF519" s="2364"/>
      <c r="BG519" s="236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0"/>
      <c r="D520" s="153"/>
      <c r="E520" s="225"/>
      <c r="F520" s="27"/>
      <c r="G520" s="2577" t="s">
        <v>134</v>
      </c>
      <c r="H520" s="2577"/>
      <c r="I520" s="2577"/>
      <c r="J520" s="2577"/>
      <c r="K520" s="2577"/>
      <c r="L520" s="2577"/>
      <c r="M520" s="2577"/>
      <c r="N520" s="2577"/>
      <c r="O520" s="2577"/>
      <c r="P520" s="2577"/>
      <c r="Q520" s="2577"/>
      <c r="R520" s="2577"/>
      <c r="S520" s="2577"/>
      <c r="T520" s="2577"/>
      <c r="U520" s="2577"/>
      <c r="V520" s="2577"/>
      <c r="W520" s="2577"/>
      <c r="X520" s="2577"/>
      <c r="Y520" s="2577"/>
      <c r="Z520" s="2577"/>
      <c r="AA520" s="2577"/>
      <c r="AB520" s="2577"/>
      <c r="AC520" s="2577"/>
      <c r="AD520" s="2577"/>
      <c r="AE520" s="2577"/>
      <c r="AF520" s="2577"/>
      <c r="AG520" s="162"/>
      <c r="AH520" s="162"/>
      <c r="AI520" s="162"/>
      <c r="AJ520" s="27"/>
      <c r="AK520" s="1142"/>
      <c r="AL520" s="162"/>
      <c r="AM520" s="46"/>
      <c r="AN520" s="1082"/>
      <c r="AP520" s="2363"/>
      <c r="AQ520" s="2364"/>
      <c r="AR520" s="2365"/>
      <c r="AS520" s="242">
        <v>25</v>
      </c>
      <c r="AT520" s="46">
        <v>0</v>
      </c>
      <c r="AU520" s="243">
        <v>6.3</v>
      </c>
      <c r="AV520" s="243">
        <v>12.5</v>
      </c>
      <c r="AW520" s="243">
        <v>18.8</v>
      </c>
      <c r="AX520" s="243">
        <v>25</v>
      </c>
      <c r="AY520" s="243">
        <v>31.3</v>
      </c>
      <c r="AZ520" s="243">
        <v>37.5</v>
      </c>
      <c r="BA520" s="243">
        <v>50</v>
      </c>
      <c r="BE520" s="2363"/>
      <c r="BF520" s="2364"/>
      <c r="BG520" s="236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3"/>
      <c r="D521" s="35"/>
      <c r="E521" s="35"/>
      <c r="F521" s="535"/>
      <c r="G521" s="1194"/>
      <c r="H521" s="1194"/>
      <c r="I521" s="1194"/>
      <c r="J521" s="1194"/>
      <c r="K521" s="1194"/>
      <c r="L521" s="1194"/>
      <c r="M521" s="1194"/>
      <c r="N521" s="1194"/>
      <c r="O521" s="1194"/>
      <c r="P521" s="1194"/>
      <c r="Q521" s="1194"/>
      <c r="R521" s="1194"/>
      <c r="S521" s="1194"/>
      <c r="T521" s="1194"/>
      <c r="U521" s="1194"/>
      <c r="V521" s="1194"/>
      <c r="W521" s="1194"/>
      <c r="X521" s="1194"/>
      <c r="Y521" s="1194"/>
      <c r="Z521" s="1194"/>
      <c r="AA521" s="1194"/>
      <c r="AB521" s="1194"/>
      <c r="AC521" s="1194"/>
      <c r="AD521" s="162"/>
      <c r="AE521" s="162"/>
      <c r="AF521" s="162"/>
      <c r="AG521" s="1194"/>
      <c r="AH521" s="1194"/>
      <c r="AI521" s="1194"/>
      <c r="AJ521" s="1194"/>
      <c r="AK521" s="1142"/>
      <c r="AL521" s="162"/>
      <c r="AM521" s="46"/>
      <c r="AN521" s="1082"/>
      <c r="AP521" s="2363"/>
      <c r="AQ521" s="2364"/>
      <c r="AR521" s="2365"/>
      <c r="AS521" s="242">
        <v>20</v>
      </c>
      <c r="AT521" s="46">
        <v>0</v>
      </c>
      <c r="AU521" s="243">
        <v>5</v>
      </c>
      <c r="AV521" s="243">
        <v>10</v>
      </c>
      <c r="AW521" s="243">
        <v>15</v>
      </c>
      <c r="AX521" s="243">
        <v>20</v>
      </c>
      <c r="AY521" s="243">
        <v>25</v>
      </c>
      <c r="AZ521" s="243">
        <v>30</v>
      </c>
      <c r="BA521" s="243">
        <v>40</v>
      </c>
      <c r="BE521" s="2363"/>
      <c r="BF521" s="2364"/>
      <c r="BG521" s="236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8" t="s">
        <v>134</v>
      </c>
      <c r="D522" s="2579"/>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5"/>
      <c r="AD522" s="162"/>
      <c r="AE522" s="162"/>
      <c r="AF522" s="162"/>
      <c r="AG522" s="175">
        <f>IF(AND($C$522="Yes",$C$517="Yes"),2,0)</f>
        <v>0</v>
      </c>
      <c r="AH522" s="1108" t="s">
        <v>1056</v>
      </c>
      <c r="AI522" s="27"/>
      <c r="AJ522" s="1106"/>
      <c r="AK522" s="1142"/>
      <c r="AL522" s="162"/>
      <c r="AM522" s="46"/>
      <c r="AN522" s="1082"/>
      <c r="AP522" s="2363"/>
      <c r="AQ522" s="2364"/>
      <c r="AR522" s="2365"/>
      <c r="AS522" s="242">
        <v>15</v>
      </c>
      <c r="AT522" s="46">
        <v>0</v>
      </c>
      <c r="AU522" s="243">
        <v>3.8</v>
      </c>
      <c r="AV522" s="243">
        <v>7.5</v>
      </c>
      <c r="AW522" s="243">
        <v>11.3</v>
      </c>
      <c r="AX522" s="243">
        <v>15</v>
      </c>
      <c r="AY522" s="243">
        <v>18.8</v>
      </c>
      <c r="AZ522" s="243">
        <v>22.5</v>
      </c>
      <c r="BA522" s="243">
        <v>30</v>
      </c>
      <c r="BE522" s="2363"/>
      <c r="BF522" s="2364"/>
      <c r="BG522" s="236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2"/>
      <c r="D523" s="1109"/>
      <c r="E523" s="1109"/>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5"/>
      <c r="AD523" s="162"/>
      <c r="AE523" s="162"/>
      <c r="AF523" s="162"/>
      <c r="AG523" s="1106"/>
      <c r="AH523" s="1106"/>
      <c r="AI523" s="1106"/>
      <c r="AJ523" s="1106"/>
      <c r="AK523" s="1142"/>
      <c r="AL523" s="162"/>
      <c r="AM523" s="46"/>
      <c r="AN523" s="1087"/>
      <c r="AP523" s="2366"/>
      <c r="AQ523" s="2367"/>
      <c r="AR523" s="2368"/>
      <c r="AS523" s="242">
        <v>10</v>
      </c>
      <c r="AT523" s="46">
        <v>0</v>
      </c>
      <c r="AU523" s="243">
        <v>2.5</v>
      </c>
      <c r="AV523" s="243">
        <v>5</v>
      </c>
      <c r="AW523" s="243">
        <v>7.5</v>
      </c>
      <c r="AX523" s="243">
        <v>10</v>
      </c>
      <c r="AY523" s="243">
        <v>12.5</v>
      </c>
      <c r="AZ523" s="243">
        <v>15</v>
      </c>
      <c r="BA523" s="243">
        <v>20</v>
      </c>
      <c r="BE523" s="2366"/>
      <c r="BF523" s="2367"/>
      <c r="BG523" s="236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2"/>
      <c r="D524" s="1109"/>
      <c r="E524" s="1109"/>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5"/>
      <c r="AD524" s="153"/>
      <c r="AE524" s="153"/>
      <c r="AF524" s="153"/>
      <c r="AG524" s="1106"/>
      <c r="AH524" s="1106"/>
      <c r="AI524" s="1106"/>
      <c r="AJ524" s="1106"/>
      <c r="AK524" s="1199"/>
      <c r="AL524" s="153"/>
      <c r="AM524" s="153"/>
      <c r="AN524" s="1083"/>
      <c r="AP524" s="136"/>
      <c r="AQ524" s="136"/>
      <c r="AR524" s="136"/>
      <c r="CW524" s="46"/>
    </row>
    <row r="525" spans="1:122" s="46" customFormat="1" ht="12.75" hidden="1" customHeight="1">
      <c r="A525" s="57"/>
      <c r="B525" s="65"/>
      <c r="C525" s="119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5"/>
      <c r="AH525" s="1105"/>
      <c r="AI525" s="1105"/>
      <c r="AJ525" s="1105"/>
      <c r="AK525" s="1200"/>
      <c r="AL525" s="125"/>
      <c r="AM525" s="65"/>
      <c r="AN525" s="1083"/>
      <c r="AO525" s="8"/>
      <c r="AP525" s="8"/>
      <c r="AQ525" s="8"/>
      <c r="AR525" s="8"/>
    </row>
    <row r="526" spans="1:122" s="46" customFormat="1" ht="12.75" hidden="1" customHeight="1">
      <c r="A526" s="57"/>
      <c r="C526" s="2578" t="s">
        <v>134</v>
      </c>
      <c r="D526" s="2579"/>
      <c r="E526" s="162"/>
      <c r="F526" s="767" t="s">
        <v>951</v>
      </c>
      <c r="G526" s="2345" t="s">
        <v>1065</v>
      </c>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5"/>
      <c r="AB526" s="2345"/>
      <c r="AC526" s="2345"/>
      <c r="AD526" s="2345"/>
      <c r="AE526" s="2345"/>
      <c r="AF526" s="2345"/>
      <c r="AG526" s="175">
        <f>IF(AND($C$526="Yes",$C$517="Yes"),2,0)</f>
        <v>0</v>
      </c>
      <c r="AH526" s="1108" t="s">
        <v>1056</v>
      </c>
      <c r="AI526" s="27"/>
      <c r="AJ526" s="1106"/>
      <c r="AK526" s="1142"/>
      <c r="AL526" s="162"/>
      <c r="AN526" s="1083"/>
      <c r="AP526" s="253"/>
      <c r="AQ526" s="254"/>
      <c r="AR526" s="254"/>
      <c r="AS526" s="254"/>
      <c r="AT526" s="254"/>
      <c r="AU526" s="254"/>
      <c r="AV526" s="254"/>
      <c r="AW526" s="254"/>
      <c r="AX526" s="254"/>
      <c r="AY526" s="254"/>
      <c r="AZ526" s="255"/>
      <c r="BA526" s="254"/>
      <c r="BB526" s="254"/>
      <c r="BC526" s="138" t="s">
        <v>374</v>
      </c>
      <c r="BD526" s="2572">
        <f>BJ530</f>
        <v>49</v>
      </c>
      <c r="BE526" s="2572"/>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7"/>
      <c r="D527" s="1190"/>
      <c r="E527" s="1172"/>
      <c r="F527" s="1198"/>
      <c r="G527" s="2580"/>
      <c r="H527" s="2580"/>
      <c r="I527" s="2580"/>
      <c r="J527" s="2580"/>
      <c r="K527" s="2580"/>
      <c r="L527" s="2580"/>
      <c r="M527" s="2580"/>
      <c r="N527" s="2580"/>
      <c r="O527" s="2580"/>
      <c r="P527" s="2580"/>
      <c r="Q527" s="2580"/>
      <c r="R527" s="2580"/>
      <c r="S527" s="2580"/>
      <c r="T527" s="2580"/>
      <c r="U527" s="2580"/>
      <c r="V527" s="2580"/>
      <c r="W527" s="2580"/>
      <c r="X527" s="2580"/>
      <c r="Y527" s="2580"/>
      <c r="Z527" s="2580"/>
      <c r="AA527" s="2580"/>
      <c r="AB527" s="2580"/>
      <c r="AC527" s="2580"/>
      <c r="AD527" s="2580"/>
      <c r="AE527" s="2580"/>
      <c r="AF527" s="2580"/>
      <c r="AG527" s="1174"/>
      <c r="AH527" s="1174"/>
      <c r="AI527" s="1174"/>
      <c r="AJ527" s="1174"/>
      <c r="AK527" s="1153"/>
      <c r="AL527" s="162"/>
      <c r="AN527" s="1083"/>
      <c r="AP527" s="253"/>
      <c r="AQ527" s="254"/>
      <c r="AR527" s="254"/>
      <c r="AS527" s="254"/>
      <c r="AT527" s="254"/>
      <c r="AU527" s="254"/>
      <c r="AV527" s="254"/>
      <c r="AW527" s="254"/>
      <c r="AX527" s="254"/>
      <c r="AY527" s="254"/>
      <c r="AZ527" s="255"/>
      <c r="BA527" s="254"/>
      <c r="BB527" s="254"/>
      <c r="BC527" s="99" t="s">
        <v>376</v>
      </c>
      <c r="BD527" s="2572">
        <f>SUM(E583:J591)</f>
        <v>49</v>
      </c>
      <c r="BE527" s="2572"/>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7"/>
      <c r="H528" s="1107"/>
      <c r="I528" s="1107"/>
      <c r="J528" s="1107"/>
      <c r="K528" s="1107"/>
      <c r="L528" s="1107"/>
      <c r="M528" s="1107"/>
      <c r="N528" s="1107"/>
      <c r="O528" s="1107"/>
      <c r="P528" s="1107"/>
      <c r="Q528" s="1107"/>
      <c r="R528" s="1107"/>
      <c r="S528" s="1107"/>
      <c r="T528" s="1107"/>
      <c r="U528" s="1107"/>
      <c r="V528" s="1107"/>
      <c r="W528" s="1107"/>
      <c r="X528" s="1107"/>
      <c r="Y528" s="1107"/>
      <c r="Z528" s="1107"/>
      <c r="AA528" s="1107"/>
      <c r="AB528" s="1107"/>
      <c r="AC528" s="1107"/>
      <c r="AD528" s="1107"/>
      <c r="AE528" s="1107"/>
      <c r="AF528" s="1107"/>
      <c r="AG528" s="27"/>
      <c r="AH528" s="27"/>
      <c r="AI528" s="27"/>
      <c r="AJ528" s="27"/>
      <c r="AK528" s="162"/>
      <c r="AL528" s="162"/>
      <c r="AM528" s="46"/>
      <c r="AN528" s="1085"/>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64">
        <v>0</v>
      </c>
      <c r="BK528" s="2565"/>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2" t="s">
        <v>2007</v>
      </c>
      <c r="D529" s="1203"/>
      <c r="E529" s="1204"/>
      <c r="F529" s="1205"/>
      <c r="G529" s="1206"/>
      <c r="H529" s="1206"/>
      <c r="I529" s="1206"/>
      <c r="J529" s="1206"/>
      <c r="K529" s="1206"/>
      <c r="L529" s="1206"/>
      <c r="M529" s="1206"/>
      <c r="N529" s="1206"/>
      <c r="O529" s="1206"/>
      <c r="P529" s="1206"/>
      <c r="Q529" s="1206"/>
      <c r="R529" s="1206"/>
      <c r="S529" s="1206"/>
      <c r="T529" s="1206"/>
      <c r="U529" s="1206"/>
      <c r="V529" s="1206"/>
      <c r="W529" s="1206"/>
      <c r="X529" s="1206"/>
      <c r="Y529" s="1206"/>
      <c r="Z529" s="1206"/>
      <c r="AA529" s="1206"/>
      <c r="AB529" s="1206"/>
      <c r="AC529" s="1206"/>
      <c r="AD529" s="1206"/>
      <c r="AE529" s="1206"/>
      <c r="AF529" s="1206"/>
      <c r="AG529" s="1178"/>
      <c r="AH529" s="1178"/>
      <c r="AI529" s="1178"/>
      <c r="AJ529" s="1178"/>
      <c r="AK529" s="1162"/>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64">
        <f>Application!AG431</f>
        <v>0</v>
      </c>
      <c r="BK529" s="2565"/>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62" t="s">
        <v>134</v>
      </c>
      <c r="D530" s="1670"/>
      <c r="E530" s="766" t="s">
        <v>1362</v>
      </c>
      <c r="F530" s="867" t="s">
        <v>1458</v>
      </c>
      <c r="G530" s="1107"/>
      <c r="H530" s="1107"/>
      <c r="I530" s="1107"/>
      <c r="J530" s="1107"/>
      <c r="K530" s="1107"/>
      <c r="L530" s="1107"/>
      <c r="M530" s="1107"/>
      <c r="N530" s="1107"/>
      <c r="O530" s="1107"/>
      <c r="P530" s="1107"/>
      <c r="Q530" s="1107"/>
      <c r="R530" s="1107"/>
      <c r="S530" s="1107"/>
      <c r="T530" s="1107"/>
      <c r="U530" s="1107"/>
      <c r="V530" s="1107"/>
      <c r="W530" s="1107"/>
      <c r="X530" s="1107"/>
      <c r="Y530" s="1107"/>
      <c r="Z530" s="1107"/>
      <c r="AA530" s="1107"/>
      <c r="AB530" s="1107"/>
      <c r="AC530" s="1107"/>
      <c r="AD530" s="1107"/>
      <c r="AE530" s="1107"/>
      <c r="AF530" s="1107"/>
      <c r="AG530" s="175">
        <f>IF(C$530="Yes",(VLOOKUP(F$531,$AO$501:$AP$504,2,FALSE)),0)</f>
        <v>0</v>
      </c>
      <c r="AH530" s="1108" t="s">
        <v>1056</v>
      </c>
      <c r="AI530" s="27"/>
      <c r="AJ530" s="27"/>
      <c r="AK530" s="1142"/>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64">
        <f>Application!AG433</f>
        <v>49</v>
      </c>
      <c r="BK530" s="2565"/>
      <c r="BM530" s="2422"/>
      <c r="BN530" s="2423"/>
      <c r="BO530" s="2422"/>
      <c r="BP530" s="2423"/>
      <c r="BQ530" s="2437"/>
      <c r="BR530" s="2439"/>
      <c r="BS530" s="2437"/>
      <c r="BT530" s="2439"/>
      <c r="BU530" s="2422">
        <f>IF(T610&gt;0,1,0)</f>
        <v>1</v>
      </c>
      <c r="BV530" s="2423"/>
      <c r="BW530" s="2422">
        <f>IF(Y610&gt;=0.1,1,0)</f>
        <v>1</v>
      </c>
      <c r="BX530" s="2423"/>
      <c r="BY530" s="2437"/>
      <c r="BZ530" s="2439"/>
      <c r="CA530" s="2437"/>
      <c r="CB530" s="2439"/>
      <c r="CC530" s="2422"/>
      <c r="CD530" s="2423"/>
      <c r="CE530" s="2422"/>
      <c r="CF530" s="2423"/>
      <c r="CG530" s="16"/>
      <c r="CH530" s="16"/>
      <c r="CI530" s="16"/>
      <c r="CJ530" s="16"/>
    </row>
    <row r="531" spans="1:101" s="46" customFormat="1" ht="12.75" hidden="1" customHeight="1">
      <c r="A531" s="28"/>
      <c r="C531" s="1196"/>
      <c r="D531" s="153"/>
      <c r="E531" s="225"/>
      <c r="F531" s="1984" t="s">
        <v>134</v>
      </c>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27"/>
      <c r="AH531" s="27"/>
      <c r="AI531" s="27"/>
      <c r="AJ531" s="27"/>
      <c r="AK531" s="1142"/>
      <c r="AL531" s="162"/>
      <c r="AN531" s="439"/>
      <c r="BM531" s="2422"/>
      <c r="BN531" s="2423"/>
      <c r="BO531" s="2422"/>
      <c r="BP531" s="2423"/>
      <c r="BQ531" s="2437"/>
      <c r="BR531" s="2439"/>
      <c r="BS531" s="2437"/>
      <c r="BT531" s="2439"/>
      <c r="BU531" s="2422"/>
      <c r="BV531" s="2423"/>
      <c r="BW531" s="2422"/>
      <c r="BX531" s="2423"/>
      <c r="BY531" s="2473">
        <f>IF(T611&gt;0,1,0)</f>
        <v>1</v>
      </c>
      <c r="BZ531" s="2475"/>
      <c r="CA531" s="2473">
        <f>IF(Y611&gt;=0.1,1,0)</f>
        <v>1</v>
      </c>
      <c r="CB531" s="2475"/>
      <c r="CC531" s="2422"/>
      <c r="CD531" s="2423"/>
      <c r="CE531" s="2422"/>
      <c r="CF531" s="2423"/>
      <c r="CG531" s="16"/>
      <c r="CH531" s="16"/>
      <c r="CI531" s="16"/>
      <c r="CJ531" s="16"/>
      <c r="CW531" s="16"/>
    </row>
    <row r="532" spans="1:101" s="46" customFormat="1" ht="12.75" hidden="1" customHeight="1">
      <c r="A532" s="28"/>
      <c r="C532" s="1197"/>
      <c r="D532" s="1152"/>
      <c r="E532" s="1172"/>
      <c r="F532" s="2369"/>
      <c r="G532" s="2369"/>
      <c r="H532" s="2369"/>
      <c r="I532" s="2369"/>
      <c r="J532" s="2369"/>
      <c r="K532" s="2369"/>
      <c r="L532" s="2369"/>
      <c r="M532" s="2369"/>
      <c r="N532" s="2369"/>
      <c r="O532" s="2369"/>
      <c r="P532" s="2369"/>
      <c r="Q532" s="2369"/>
      <c r="R532" s="2369"/>
      <c r="S532" s="2369"/>
      <c r="T532" s="2369"/>
      <c r="U532" s="2369"/>
      <c r="V532" s="2369"/>
      <c r="W532" s="2369"/>
      <c r="X532" s="2369"/>
      <c r="Y532" s="2369"/>
      <c r="Z532" s="2369"/>
      <c r="AA532" s="2369"/>
      <c r="AB532" s="2369"/>
      <c r="AC532" s="2369"/>
      <c r="AD532" s="2369"/>
      <c r="AE532" s="2369"/>
      <c r="AF532" s="2369"/>
      <c r="AG532" s="1174"/>
      <c r="AH532" s="1174"/>
      <c r="AI532" s="1174"/>
      <c r="AJ532" s="1174"/>
      <c r="AK532" s="1153"/>
      <c r="AL532" s="162"/>
      <c r="AN532" s="439"/>
      <c r="BM532" s="2422"/>
      <c r="BN532" s="2423"/>
      <c r="BO532" s="2422"/>
      <c r="BP532" s="2423"/>
      <c r="BQ532" s="2437"/>
      <c r="BR532" s="2439"/>
      <c r="BS532" s="2437"/>
      <c r="BT532" s="2439"/>
      <c r="BU532" s="2422"/>
      <c r="BV532" s="2423"/>
      <c r="BW532" s="2422"/>
      <c r="BX532" s="2423"/>
      <c r="BY532" s="2437"/>
      <c r="BZ532" s="2439"/>
      <c r="CA532" s="2437"/>
      <c r="CB532" s="2439"/>
      <c r="CC532" s="2422">
        <f>IF(T612&gt;0,1,0)</f>
        <v>1</v>
      </c>
      <c r="CD532" s="2423"/>
      <c r="CE532" s="2422">
        <f>IF(Y612&gt;=0.1,1,0)</f>
        <v>1</v>
      </c>
      <c r="CF532" s="242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2">
        <f>SUM(BM528:BN532)</f>
        <v>0</v>
      </c>
      <c r="BN533" s="2423"/>
      <c r="BO533" s="2422">
        <f>SUM(BO528:BP532)</f>
        <v>0</v>
      </c>
      <c r="BP533" s="2423"/>
      <c r="BQ533" s="2422">
        <f>SUM(BQ528:BR532)</f>
        <v>0</v>
      </c>
      <c r="BR533" s="2423"/>
      <c r="BS533" s="2422">
        <f>SUM(BS528:BT532)</f>
        <v>0</v>
      </c>
      <c r="BT533" s="2423"/>
      <c r="BU533" s="2422">
        <f>SUM(BU528:BV532)</f>
        <v>1</v>
      </c>
      <c r="BV533" s="2423"/>
      <c r="BW533" s="2422">
        <f>SUM(BW528:BX532)</f>
        <v>1</v>
      </c>
      <c r="BX533" s="2423"/>
      <c r="BY533" s="2422">
        <f>SUM(BY528:BZ532)</f>
        <v>1</v>
      </c>
      <c r="BZ533" s="2423"/>
      <c r="CA533" s="2422">
        <f>SUM(CA528:CB532)</f>
        <v>1</v>
      </c>
      <c r="CB533" s="2423"/>
      <c r="CC533" s="2422">
        <f>SUM(CC528:CD532)</f>
        <v>1</v>
      </c>
      <c r="CD533" s="2423"/>
      <c r="CE533" s="2422">
        <f>SUM(CE528:CF532)</f>
        <v>1</v>
      </c>
      <c r="CF533" s="2423"/>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9" t="s">
        <v>500</v>
      </c>
      <c r="AQ534" s="2570"/>
      <c r="AR534" s="2570"/>
      <c r="AS534" s="2570"/>
      <c r="AT534" s="2571"/>
      <c r="AU534" s="2569" t="s">
        <v>501</v>
      </c>
      <c r="AV534" s="2570"/>
      <c r="AW534" s="2570"/>
      <c r="AX534" s="2570"/>
      <c r="AY534" s="2571"/>
      <c r="BM534" s="2437">
        <f>SUM(BM533:BP533)</f>
        <v>0</v>
      </c>
      <c r="BN534" s="2438"/>
      <c r="BO534" s="2438"/>
      <c r="BP534" s="2439"/>
      <c r="BQ534" s="2437">
        <f>SUM(BQ533:BT533)</f>
        <v>0</v>
      </c>
      <c r="BR534" s="2438"/>
      <c r="BS534" s="2438"/>
      <c r="BT534" s="2439"/>
      <c r="BU534" s="2437">
        <f>SUM(BU533:BX533)</f>
        <v>2</v>
      </c>
      <c r="BV534" s="2438"/>
      <c r="BW534" s="2438"/>
      <c r="BX534" s="2439"/>
      <c r="BY534" s="2437">
        <f>SUM(BY533:CB533)</f>
        <v>2</v>
      </c>
      <c r="BZ534" s="2438"/>
      <c r="CA534" s="2438"/>
      <c r="CB534" s="2439"/>
      <c r="CC534" s="2437">
        <f>SUM(CC533:CF533)</f>
        <v>2</v>
      </c>
      <c r="CD534" s="2438"/>
      <c r="CE534" s="2438"/>
      <c r="CF534" s="2439"/>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6">
        <f>RANK(T608,$T$608:$X$612,0)+COUNTIF($T$608:$X$612,T608)-1</f>
        <v>5</v>
      </c>
      <c r="AQ535" s="2567"/>
      <c r="AR535" s="2567"/>
      <c r="AS535" s="2567"/>
      <c r="AT535" s="2568"/>
      <c r="AU535" s="2566">
        <f>RANK(Y608,$Y$608:$AC$612,0)+COUNTIF($Y$608:$AC$612,Y608)-1</f>
        <v>5</v>
      </c>
      <c r="AV535" s="2567"/>
      <c r="AW535" s="2567"/>
      <c r="AX535" s="2567"/>
      <c r="AY535" s="2568"/>
      <c r="BM535" s="2437"/>
      <c r="BN535" s="2438"/>
      <c r="BO535" s="2438"/>
      <c r="BP535" s="2439"/>
      <c r="BQ535" s="2437">
        <f>IF(AND(BQ534=2,BM534=1),1,0)</f>
        <v>0</v>
      </c>
      <c r="BR535" s="2438"/>
      <c r="BS535" s="2438"/>
      <c r="BT535" s="2439"/>
      <c r="BU535" s="2437">
        <f>IF(AND(BU534=2,BQ534=1),1,0)</f>
        <v>0</v>
      </c>
      <c r="BV535" s="2438"/>
      <c r="BW535" s="2438"/>
      <c r="BX535" s="2439"/>
      <c r="BY535" s="2437">
        <f>IF(AND(BY534=2,BU534=1),1,0)</f>
        <v>0</v>
      </c>
      <c r="BZ535" s="2438"/>
      <c r="CA535" s="2438"/>
      <c r="CB535" s="2439"/>
      <c r="CC535" s="2437">
        <f>IF(AND(CC534=2,BU534=1),1,0)</f>
        <v>0</v>
      </c>
      <c r="CD535" s="2438"/>
      <c r="CE535" s="2438"/>
      <c r="CF535" s="2439"/>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6">
        <f>RANK(T609,$T$608:$X$612,0)+COUNTIF($T$608:$X$612,T609)-1</f>
        <v>5</v>
      </c>
      <c r="AQ536" s="2567"/>
      <c r="AR536" s="2567"/>
      <c r="AS536" s="2567"/>
      <c r="AT536" s="2568"/>
      <c r="AU536" s="2566">
        <f>RANK(Y609,$Y$608:$AC$612,0)+COUNTIF($Y$608:$AC$612,Y609)-1</f>
        <v>5</v>
      </c>
      <c r="AV536" s="2567"/>
      <c r="AW536" s="2567"/>
      <c r="AX536" s="2567"/>
      <c r="AY536" s="2568"/>
      <c r="BM536" s="2437"/>
      <c r="BN536" s="2438"/>
      <c r="BO536" s="2438"/>
      <c r="BP536" s="2439"/>
      <c r="BQ536" s="2437"/>
      <c r="BR536" s="2438"/>
      <c r="BS536" s="2438"/>
      <c r="BT536" s="2439"/>
      <c r="BU536" s="2437">
        <f>IF(AND(BU534=2,BM534=1),1,0)</f>
        <v>0</v>
      </c>
      <c r="BV536" s="2438"/>
      <c r="BW536" s="2438"/>
      <c r="BX536" s="2439"/>
      <c r="BY536" s="2437">
        <f>IF(AND(BY534=2,BQ534=1),1,0)</f>
        <v>0</v>
      </c>
      <c r="BZ536" s="2438"/>
      <c r="CA536" s="2438"/>
      <c r="CB536" s="2439"/>
      <c r="CC536" s="2437">
        <f>IF(AND(CC535=2,BY535=1),1,0)</f>
        <v>0</v>
      </c>
      <c r="CD536" s="2438"/>
      <c r="CE536" s="2438"/>
      <c r="CF536" s="2439"/>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6">
        <f>RANK(T610,$T$608:$X$612,0)+COUNTIF($T$608:$X$612,T610)-1</f>
        <v>3</v>
      </c>
      <c r="AQ537" s="2567"/>
      <c r="AR537" s="2567"/>
      <c r="AS537" s="2567"/>
      <c r="AT537" s="2568"/>
      <c r="AU537" s="2566">
        <f>RANK(Y610,$Y$608:$AC$612,0)+COUNTIF($Y$608:$AC$612,Y610)-1</f>
        <v>2</v>
      </c>
      <c r="AV537" s="2567"/>
      <c r="AW537" s="2567"/>
      <c r="AX537" s="2567"/>
      <c r="AY537" s="2568"/>
      <c r="BM537" s="2437"/>
      <c r="BN537" s="2438"/>
      <c r="BO537" s="2438"/>
      <c r="BP537" s="2439"/>
      <c r="BQ537" s="2437"/>
      <c r="BR537" s="2438"/>
      <c r="BS537" s="2438"/>
      <c r="BT537" s="2439"/>
      <c r="BU537" s="2437"/>
      <c r="BV537" s="2438"/>
      <c r="BW537" s="2438"/>
      <c r="BX537" s="2439"/>
      <c r="BY537" s="2437">
        <f>IF(AND(BY534=2,BM534=1),1,0)</f>
        <v>0</v>
      </c>
      <c r="BZ537" s="2438"/>
      <c r="CA537" s="2438"/>
      <c r="CB537" s="2439"/>
      <c r="CC537" s="2437">
        <f>IF(AND(CC534=2,BQ534=1),1,0)</f>
        <v>0</v>
      </c>
      <c r="CD537" s="2438"/>
      <c r="CE537" s="2438"/>
      <c r="CF537" s="2439"/>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6">
        <f>RANK(T611,$T$608:$X$612,0)+COUNTIF($T$608:$X$612,T611)-1</f>
        <v>3</v>
      </c>
      <c r="AQ538" s="2567"/>
      <c r="AR538" s="2567"/>
      <c r="AS538" s="2567"/>
      <c r="AT538" s="2568"/>
      <c r="AU538" s="2566">
        <f>RANK(Y611,$Y$608:$AC$612,0)+COUNTIF($Y$608:$AC$612,Y611)-1</f>
        <v>3</v>
      </c>
      <c r="AV538" s="2567"/>
      <c r="AW538" s="2567"/>
      <c r="AX538" s="2567"/>
      <c r="AY538" s="2568"/>
      <c r="BM538" s="2437"/>
      <c r="BN538" s="2438"/>
      <c r="BO538" s="2438"/>
      <c r="BP538" s="2439"/>
      <c r="BQ538" s="2437"/>
      <c r="BR538" s="2438"/>
      <c r="BS538" s="2438"/>
      <c r="BT538" s="2439"/>
      <c r="BU538" s="2437"/>
      <c r="BV538" s="2438"/>
      <c r="BW538" s="2438"/>
      <c r="BX538" s="2439"/>
      <c r="BY538" s="2437"/>
      <c r="BZ538" s="2438"/>
      <c r="CA538" s="2438"/>
      <c r="CB538" s="2439"/>
      <c r="CC538" s="2437">
        <f>IF(AND(CC534=2,BM534=1),1,0)</f>
        <v>0</v>
      </c>
      <c r="CD538" s="2438"/>
      <c r="CE538" s="2438"/>
      <c r="CF538" s="2439"/>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6">
        <f>RANK(T612,$T$608:$X$612,0)+COUNTIF($T$608:$X$612,T612)-1</f>
        <v>1</v>
      </c>
      <c r="AQ539" s="2567"/>
      <c r="AR539" s="2567"/>
      <c r="AS539" s="2567"/>
      <c r="AT539" s="2568"/>
      <c r="AU539" s="2566">
        <f>RANK(Y612,$Y$608:$AC$612,0)+COUNTIF($Y$608:$AC$612,Y612)-1</f>
        <v>1</v>
      </c>
      <c r="AV539" s="2567"/>
      <c r="AW539" s="2567"/>
      <c r="AX539" s="2567"/>
      <c r="AY539" s="2568"/>
      <c r="BM539" s="2437">
        <f>SUM(BM535:BP538)</f>
        <v>0</v>
      </c>
      <c r="BN539" s="2438"/>
      <c r="BO539" s="2438"/>
      <c r="BP539" s="2439"/>
      <c r="BQ539" s="2437">
        <f>SUM(BQ535:BT538)</f>
        <v>0</v>
      </c>
      <c r="BR539" s="2438"/>
      <c r="BS539" s="2438"/>
      <c r="BT539" s="2439"/>
      <c r="BU539" s="2437">
        <f>SUM(BU535:BX538)</f>
        <v>0</v>
      </c>
      <c r="BV539" s="2438"/>
      <c r="BW539" s="2438"/>
      <c r="BX539" s="2439"/>
      <c r="BY539" s="2437">
        <f>SUM(BY535:CB538)</f>
        <v>0</v>
      </c>
      <c r="BZ539" s="2438"/>
      <c r="CA539" s="2438"/>
      <c r="CB539" s="2439"/>
      <c r="CC539" s="2437">
        <f>SUM(CC535:CF538)</f>
        <v>0</v>
      </c>
      <c r="CD539" s="2438"/>
      <c r="CE539" s="2438"/>
      <c r="CF539" s="2439"/>
      <c r="CG539" s="2437">
        <f>SUM(BM539:CF539)</f>
        <v>0</v>
      </c>
      <c r="CH539" s="2438"/>
      <c r="CI539" s="2438"/>
      <c r="CJ539" s="2439"/>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6" t="s">
        <v>194</v>
      </c>
      <c r="AK542" s="2332">
        <f>SUM(AG486:AG531)</f>
        <v>0</v>
      </c>
      <c r="AL542" s="2333"/>
      <c r="AM542" s="2334"/>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22">
        <f>SUM(O608:S612)</f>
        <v>49</v>
      </c>
      <c r="AZ543" s="2423"/>
      <c r="CG543" s="35"/>
      <c r="CH543" s="2472" t="s">
        <v>839</v>
      </c>
      <c r="CI543" s="2138"/>
      <c r="CJ543" s="2138"/>
      <c r="CK543" s="213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22" t="str">
        <f>IF(AY543=BK570,"passed","failed")</f>
        <v>passed</v>
      </c>
      <c r="AT544" s="2428"/>
      <c r="AU544" s="2423"/>
      <c r="AV544" s="233"/>
      <c r="AW544" s="233"/>
      <c r="AX544" s="233"/>
      <c r="AY544" s="233"/>
      <c r="AZ544" s="234"/>
      <c r="CG544" s="35"/>
      <c r="CH544" s="2140"/>
      <c r="CI544" s="2141"/>
      <c r="CJ544" s="2141"/>
      <c r="CK544" s="2142"/>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7" t="s">
        <v>405</v>
      </c>
      <c r="AF545" s="2387"/>
      <c r="AG545" s="2387"/>
      <c r="AH545" s="2387"/>
      <c r="AI545" s="2387"/>
      <c r="AJ545" s="2387"/>
      <c r="AK545" s="2387"/>
      <c r="AL545" s="1248"/>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40"/>
      <c r="CI545" s="2141"/>
      <c r="CJ545" s="2141"/>
      <c r="CK545" s="2142"/>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5" t="s">
        <v>197</v>
      </c>
      <c r="AH546" s="2335"/>
      <c r="AI546" s="2335"/>
      <c r="AJ546" s="2335"/>
      <c r="AK546" s="26"/>
      <c r="AL546" s="1248"/>
      <c r="AM546" s="65"/>
      <c r="AN546" s="439"/>
      <c r="BE546" s="2437" t="s">
        <v>247</v>
      </c>
      <c r="BF546" s="2438"/>
      <c r="BG546" s="2438"/>
      <c r="BH546" s="2439"/>
      <c r="BI546" s="2437" t="s">
        <v>777</v>
      </c>
      <c r="BJ546" s="2438"/>
      <c r="BK546" s="2438"/>
      <c r="BL546" s="2439"/>
      <c r="BM546" s="2437" t="s">
        <v>778</v>
      </c>
      <c r="BN546" s="2438"/>
      <c r="BO546" s="2438"/>
      <c r="BP546" s="2439"/>
      <c r="BQ546" s="2437" t="s">
        <v>779</v>
      </c>
      <c r="BR546" s="2438"/>
      <c r="BS546" s="2438"/>
      <c r="BT546" s="2439"/>
      <c r="BU546" s="2437" t="s">
        <v>780</v>
      </c>
      <c r="BV546" s="2438"/>
      <c r="BW546" s="2438"/>
      <c r="BX546" s="2439"/>
      <c r="BY546" s="2437" t="s">
        <v>248</v>
      </c>
      <c r="BZ546" s="2438"/>
      <c r="CA546" s="2438"/>
      <c r="CB546" s="2439"/>
      <c r="CC546" s="16"/>
      <c r="CG546" s="16"/>
      <c r="CH546" s="2140"/>
      <c r="CI546" s="2141"/>
      <c r="CJ546" s="2141"/>
      <c r="CK546" s="2142"/>
    </row>
    <row r="547" spans="1:89" s="46" customFormat="1" ht="12.75" customHeight="1">
      <c r="A547" s="152"/>
      <c r="B547" s="2547" t="s">
        <v>1882</v>
      </c>
      <c r="C547" s="2547"/>
      <c r="D547" s="2547"/>
      <c r="E547" s="2547"/>
      <c r="F547" s="2547"/>
      <c r="G547" s="2547"/>
      <c r="H547" s="2547"/>
      <c r="I547" s="2547"/>
      <c r="J547" s="2547"/>
      <c r="K547" s="2547"/>
      <c r="L547" s="2547"/>
      <c r="M547" s="2547"/>
      <c r="N547" s="2547"/>
      <c r="O547" s="2547"/>
      <c r="P547" s="2547"/>
      <c r="Q547" s="2547"/>
      <c r="R547" s="2547"/>
      <c r="S547" s="2547"/>
      <c r="T547" s="2547"/>
      <c r="U547" s="2547"/>
      <c r="V547" s="2547"/>
      <c r="W547" s="2547"/>
      <c r="X547" s="2547"/>
      <c r="Y547" s="2547"/>
      <c r="Z547" s="2547"/>
      <c r="AA547" s="2547"/>
      <c r="AB547" s="2547"/>
      <c r="AC547" s="2547"/>
      <c r="AD547" s="2547"/>
      <c r="AE547" s="2547"/>
      <c r="AF547" s="2547"/>
      <c r="AG547" s="2547"/>
      <c r="AK547" s="65"/>
      <c r="AL547" s="65"/>
      <c r="AM547" s="153"/>
      <c r="AN547" s="439"/>
      <c r="AP547" s="668" t="s">
        <v>674</v>
      </c>
      <c r="AQ547" s="669"/>
      <c r="AR547" s="669"/>
      <c r="AS547" s="669"/>
      <c r="AT547" s="669"/>
      <c r="AU547" s="669"/>
      <c r="AV547" s="670"/>
      <c r="AW547" s="669"/>
      <c r="AX547" s="669"/>
      <c r="AY547" s="670"/>
      <c r="BE547" s="2422">
        <f>IF(CH548=1,0,1)</f>
        <v>0</v>
      </c>
      <c r="BF547" s="2428"/>
      <c r="BG547" s="2428"/>
      <c r="BH547" s="2423"/>
      <c r="BI547" s="2422"/>
      <c r="BJ547" s="2428"/>
      <c r="BK547" s="2428"/>
      <c r="BL547" s="2423"/>
      <c r="BM547" s="2422"/>
      <c r="BN547" s="2428"/>
      <c r="BO547" s="2428"/>
      <c r="BP547" s="2423"/>
      <c r="BQ547" s="2422"/>
      <c r="BR547" s="2428"/>
      <c r="BS547" s="2428"/>
      <c r="BT547" s="2423"/>
      <c r="BU547" s="2473"/>
      <c r="BV547" s="2474"/>
      <c r="BW547" s="2474"/>
      <c r="BX547" s="2475"/>
      <c r="BY547" s="2473"/>
      <c r="BZ547" s="2474"/>
      <c r="CA547" s="2474"/>
      <c r="CB547" s="2475"/>
      <c r="CC547" s="16"/>
      <c r="CG547" s="16"/>
      <c r="CH547" s="2149"/>
      <c r="CI547" s="2150"/>
      <c r="CJ547" s="2150"/>
      <c r="CK547" s="2151"/>
    </row>
    <row r="548" spans="1:89" s="46" customFormat="1" ht="12.75" customHeight="1">
      <c r="A548" s="29"/>
      <c r="B548" s="2547"/>
      <c r="C548" s="2547"/>
      <c r="D548" s="2547"/>
      <c r="E548" s="2547"/>
      <c r="F548" s="2547"/>
      <c r="G548" s="2547"/>
      <c r="H548" s="2547"/>
      <c r="I548" s="2547"/>
      <c r="J548" s="2547"/>
      <c r="K548" s="2547"/>
      <c r="L548" s="2547"/>
      <c r="M548" s="2547"/>
      <c r="N548" s="2547"/>
      <c r="O548" s="2547"/>
      <c r="P548" s="2547"/>
      <c r="Q548" s="2547"/>
      <c r="R548" s="2547"/>
      <c r="S548" s="2547"/>
      <c r="T548" s="2547"/>
      <c r="U548" s="2547"/>
      <c r="V548" s="2547"/>
      <c r="W548" s="2547"/>
      <c r="X548" s="2547"/>
      <c r="Y548" s="2547"/>
      <c r="Z548" s="2547"/>
      <c r="AA548" s="2547"/>
      <c r="AB548" s="2547"/>
      <c r="AC548" s="2547"/>
      <c r="AD548" s="2547"/>
      <c r="AE548" s="2547"/>
      <c r="AF548" s="2547"/>
      <c r="AG548" s="2547"/>
      <c r="AK548" s="246"/>
      <c r="AL548" s="246"/>
      <c r="AM548" s="246"/>
      <c r="AN548" s="439"/>
      <c r="AP548" s="671" t="s">
        <v>672</v>
      </c>
      <c r="AQ548" s="672"/>
      <c r="AR548" s="672"/>
      <c r="AS548" s="672"/>
      <c r="AT548" s="672"/>
      <c r="AU548" s="2462">
        <f>ROUNDUP(BK570*0.1,0)</f>
        <v>5</v>
      </c>
      <c r="AV548" s="2464"/>
      <c r="AW548" s="672"/>
      <c r="AX548" s="672">
        <f>AU548-AP550</f>
        <v>-11</v>
      </c>
      <c r="AY548" s="673"/>
      <c r="BE548" s="2422"/>
      <c r="BF548" s="2428"/>
      <c r="BG548" s="2428"/>
      <c r="BH548" s="2423"/>
      <c r="BI548" s="2422">
        <f>IF(AND(CH549=1,BE547=0),0,1)</f>
        <v>0</v>
      </c>
      <c r="BJ548" s="2428"/>
      <c r="BK548" s="2428"/>
      <c r="BL548" s="2423"/>
      <c r="BM548" s="2422"/>
      <c r="BN548" s="2428"/>
      <c r="BO548" s="2428"/>
      <c r="BP548" s="2423"/>
      <c r="BQ548" s="2422"/>
      <c r="BR548" s="2428"/>
      <c r="BS548" s="2428"/>
      <c r="BT548" s="2423"/>
      <c r="BU548" s="2473"/>
      <c r="BV548" s="2474"/>
      <c r="BW548" s="2474"/>
      <c r="BX548" s="2475"/>
      <c r="BY548" s="2473"/>
      <c r="BZ548" s="2474"/>
      <c r="CA548" s="2474"/>
      <c r="CB548" s="2475"/>
      <c r="CC548" s="16"/>
      <c r="CG548" s="16"/>
      <c r="CH548" s="2437">
        <f>IF(OR(Y608=0,Y608&gt;=0.1),1,0)</f>
        <v>1</v>
      </c>
      <c r="CI548" s="2438"/>
      <c r="CJ548" s="2438"/>
      <c r="CK548" s="2439"/>
    </row>
    <row r="549" spans="1:89" s="46" customFormat="1" ht="12.75" customHeight="1">
      <c r="A549" s="28"/>
      <c r="B549" s="2547"/>
      <c r="C549" s="2547"/>
      <c r="D549" s="2547"/>
      <c r="E549" s="2547"/>
      <c r="F549" s="2547"/>
      <c r="G549" s="2547"/>
      <c r="H549" s="2547"/>
      <c r="I549" s="2547"/>
      <c r="J549" s="2547"/>
      <c r="K549" s="2547"/>
      <c r="L549" s="2547"/>
      <c r="M549" s="2547"/>
      <c r="N549" s="2547"/>
      <c r="O549" s="2547"/>
      <c r="P549" s="2547"/>
      <c r="Q549" s="2547"/>
      <c r="R549" s="2547"/>
      <c r="S549" s="2547"/>
      <c r="T549" s="2547"/>
      <c r="U549" s="2547"/>
      <c r="V549" s="2547"/>
      <c r="W549" s="2547"/>
      <c r="X549" s="2547"/>
      <c r="Y549" s="2547"/>
      <c r="Z549" s="2547"/>
      <c r="AA549" s="2547"/>
      <c r="AB549" s="2547"/>
      <c r="AC549" s="2547"/>
      <c r="AD549" s="2547"/>
      <c r="AE549" s="2547"/>
      <c r="AF549" s="2547"/>
      <c r="AG549" s="2547"/>
      <c r="AH549" s="245"/>
      <c r="AI549" s="245"/>
      <c r="AJ549" s="245"/>
      <c r="AK549" s="246"/>
      <c r="AL549" s="246"/>
      <c r="AM549" s="246"/>
      <c r="AN549" s="439"/>
      <c r="AP549" s="671"/>
      <c r="AQ549" s="672"/>
      <c r="AR549" s="672"/>
      <c r="AS549" s="672"/>
      <c r="AT549" s="672"/>
      <c r="AU549" s="672"/>
      <c r="AV549" s="673"/>
      <c r="AW549" s="672"/>
      <c r="AX549" s="672"/>
      <c r="AY549" s="673"/>
      <c r="BE549" s="2422"/>
      <c r="BF549" s="2428"/>
      <c r="BG549" s="2428"/>
      <c r="BH549" s="2423"/>
      <c r="BI549" s="2422"/>
      <c r="BJ549" s="2428"/>
      <c r="BK549" s="2428"/>
      <c r="BL549" s="2423"/>
      <c r="BM549" s="2422">
        <f>IF(AND(AND(CH550=1,BI548=0,BE547=0)),0,1)</f>
        <v>0</v>
      </c>
      <c r="BN549" s="2428"/>
      <c r="BO549" s="2428"/>
      <c r="BP549" s="2423"/>
      <c r="BQ549" s="2422"/>
      <c r="BR549" s="2428"/>
      <c r="BS549" s="2428"/>
      <c r="BT549" s="2423"/>
      <c r="BU549" s="2473"/>
      <c r="BV549" s="2474"/>
      <c r="BW549" s="2474"/>
      <c r="BX549" s="2475"/>
      <c r="BY549" s="2473"/>
      <c r="BZ549" s="2474"/>
      <c r="CA549" s="2474"/>
      <c r="CB549" s="2475"/>
      <c r="CC549" s="16"/>
      <c r="CG549" s="16"/>
      <c r="CH549" s="2437">
        <f>IF(OR(Y609=0,Y609&gt;=0.1),1,0)</f>
        <v>1</v>
      </c>
      <c r="CI549" s="2438"/>
      <c r="CJ549" s="2438"/>
      <c r="CK549" s="2439"/>
    </row>
    <row r="550" spans="1:89" s="46" customFormat="1" ht="12.75" customHeight="1">
      <c r="A550" s="28"/>
      <c r="B550" s="2547"/>
      <c r="C550" s="2547"/>
      <c r="D550" s="2547"/>
      <c r="E550" s="2547"/>
      <c r="F550" s="2547"/>
      <c r="G550" s="2547"/>
      <c r="H550" s="2547"/>
      <c r="I550" s="2547"/>
      <c r="J550" s="2547"/>
      <c r="K550" s="2547"/>
      <c r="L550" s="2547"/>
      <c r="M550" s="2547"/>
      <c r="N550" s="2547"/>
      <c r="O550" s="2547"/>
      <c r="P550" s="2547"/>
      <c r="Q550" s="2547"/>
      <c r="R550" s="2547"/>
      <c r="S550" s="2547"/>
      <c r="T550" s="2547"/>
      <c r="U550" s="2547"/>
      <c r="V550" s="2547"/>
      <c r="W550" s="2547"/>
      <c r="X550" s="2547"/>
      <c r="Y550" s="2547"/>
      <c r="Z550" s="2547"/>
      <c r="AA550" s="2547"/>
      <c r="AB550" s="2547"/>
      <c r="AC550" s="2547"/>
      <c r="AD550" s="2547"/>
      <c r="AE550" s="2547"/>
      <c r="AF550" s="2547"/>
      <c r="AG550" s="2547"/>
      <c r="AH550" s="245"/>
      <c r="AI550" s="245"/>
      <c r="AJ550" s="245"/>
      <c r="AK550" s="246"/>
      <c r="AL550" s="246"/>
      <c r="AM550" s="246"/>
      <c r="AN550" s="439"/>
      <c r="AP550" s="2549">
        <f>SUM(T608:X612)</f>
        <v>16</v>
      </c>
      <c r="AQ550" s="2550"/>
      <c r="AR550" s="2550"/>
      <c r="AS550" s="2550"/>
      <c r="AT550" s="2551"/>
      <c r="AU550" s="672"/>
      <c r="AV550" s="673"/>
      <c r="AW550" s="672"/>
      <c r="AX550" s="672"/>
      <c r="AY550" s="673"/>
      <c r="BE550" s="2422"/>
      <c r="BF550" s="2428"/>
      <c r="BG550" s="2428"/>
      <c r="BH550" s="2423"/>
      <c r="BI550" s="2422"/>
      <c r="BJ550" s="2428"/>
      <c r="BK550" s="2428"/>
      <c r="BL550" s="2423"/>
      <c r="BM550" s="2422"/>
      <c r="BN550" s="2428"/>
      <c r="BO550" s="2428"/>
      <c r="BP550" s="2423"/>
      <c r="BQ550" s="2422">
        <f>IF(AND(AND(AND(CH551=1,BM549=0,BI548=0,BE547=0))),0,1)</f>
        <v>0</v>
      </c>
      <c r="BR550" s="2428"/>
      <c r="BS550" s="2428"/>
      <c r="BT550" s="2423"/>
      <c r="BU550" s="2473"/>
      <c r="BV550" s="2474"/>
      <c r="BW550" s="2474"/>
      <c r="BX550" s="2475"/>
      <c r="BY550" s="2473"/>
      <c r="BZ550" s="2474"/>
      <c r="CA550" s="2474"/>
      <c r="CB550" s="2475"/>
      <c r="CC550" s="16"/>
      <c r="CG550" s="16"/>
      <c r="CH550" s="2437">
        <f>IF(OR(Y610=0,Y610&gt;=0.1),1,0)</f>
        <v>1</v>
      </c>
      <c r="CI550" s="2438"/>
      <c r="CJ550" s="2438"/>
      <c r="CK550" s="2439"/>
    </row>
    <row r="551" spans="1:89" s="46" customFormat="1" ht="12.75" customHeight="1">
      <c r="A551" s="28"/>
      <c r="B551" s="2547"/>
      <c r="C551" s="2547"/>
      <c r="D551" s="2547"/>
      <c r="E551" s="2547"/>
      <c r="F551" s="2547"/>
      <c r="G551" s="2547"/>
      <c r="H551" s="2547"/>
      <c r="I551" s="2547"/>
      <c r="J551" s="2547"/>
      <c r="K551" s="2547"/>
      <c r="L551" s="2547"/>
      <c r="M551" s="2547"/>
      <c r="N551" s="2547"/>
      <c r="O551" s="2547"/>
      <c r="P551" s="2547"/>
      <c r="Q551" s="2547"/>
      <c r="R551" s="2547"/>
      <c r="S551" s="2547"/>
      <c r="T551" s="2547"/>
      <c r="U551" s="2547"/>
      <c r="V551" s="2547"/>
      <c r="W551" s="2547"/>
      <c r="X551" s="2547"/>
      <c r="Y551" s="2547"/>
      <c r="Z551" s="2547"/>
      <c r="AA551" s="2547"/>
      <c r="AB551" s="2547"/>
      <c r="AC551" s="2547"/>
      <c r="AD551" s="2547"/>
      <c r="AE551" s="2547"/>
      <c r="AF551" s="2547"/>
      <c r="AG551" s="2547"/>
      <c r="AH551" s="245"/>
      <c r="AI551" s="245"/>
      <c r="AJ551" s="245"/>
      <c r="AK551" s="246"/>
      <c r="AL551" s="246"/>
      <c r="AM551" s="246"/>
      <c r="AN551" s="439"/>
      <c r="AP551" s="674"/>
      <c r="AQ551" s="675"/>
      <c r="AR551" s="675"/>
      <c r="AS551" s="675"/>
      <c r="AT551" s="676" t="s">
        <v>667</v>
      </c>
      <c r="AU551" s="2462" t="str">
        <f>IF(AP550&gt;=AU548,"passed","failed")</f>
        <v>passed</v>
      </c>
      <c r="AV551" s="2463"/>
      <c r="AW551" s="2464"/>
      <c r="AX551" s="677"/>
      <c r="AY551" s="678"/>
      <c r="BE551" s="2422"/>
      <c r="BF551" s="2428"/>
      <c r="BG551" s="2428"/>
      <c r="BH551" s="2423"/>
      <c r="BI551" s="2422"/>
      <c r="BJ551" s="2428"/>
      <c r="BK551" s="2428"/>
      <c r="BL551" s="2423"/>
      <c r="BM551" s="2422"/>
      <c r="BN551" s="2428"/>
      <c r="BO551" s="2428"/>
      <c r="BP551" s="2423"/>
      <c r="BQ551" s="2422"/>
      <c r="BR551" s="2428"/>
      <c r="BS551" s="2428"/>
      <c r="BT551" s="2423"/>
      <c r="BU551" s="2422">
        <f>IF(AND(AND(AND(AND(CH552=1,BQ550=0,BM549=0,BI548=0,BE547=0)))),0,1)</f>
        <v>0</v>
      </c>
      <c r="BV551" s="2428"/>
      <c r="BW551" s="2428"/>
      <c r="BX551" s="2423"/>
      <c r="BY551" s="2473"/>
      <c r="BZ551" s="2474"/>
      <c r="CA551" s="2474"/>
      <c r="CB551" s="2475"/>
      <c r="CC551" s="16"/>
      <c r="CD551" s="16"/>
      <c r="CE551" s="16"/>
      <c r="CF551" s="16"/>
      <c r="CG551" s="16"/>
      <c r="CH551" s="2437">
        <f>IF(OR(Y611=0,Y611&gt;=0.1),1,0)</f>
        <v>1</v>
      </c>
      <c r="CI551" s="2438"/>
      <c r="CJ551" s="2438"/>
      <c r="CK551" s="2439"/>
    </row>
    <row r="552" spans="1:89" s="46" customFormat="1" ht="13.7" customHeight="1">
      <c r="A552" s="28"/>
      <c r="B552" s="2547"/>
      <c r="C552" s="2547"/>
      <c r="D552" s="2547"/>
      <c r="E552" s="2547"/>
      <c r="F552" s="2547"/>
      <c r="G552" s="2547"/>
      <c r="H552" s="2547"/>
      <c r="I552" s="2547"/>
      <c r="J552" s="2547"/>
      <c r="K552" s="2547"/>
      <c r="L552" s="2547"/>
      <c r="M552" s="2547"/>
      <c r="N552" s="2547"/>
      <c r="O552" s="2547"/>
      <c r="P552" s="2547"/>
      <c r="Q552" s="2547"/>
      <c r="R552" s="2547"/>
      <c r="S552" s="2547"/>
      <c r="T552" s="2547"/>
      <c r="U552" s="2547"/>
      <c r="V552" s="2547"/>
      <c r="W552" s="2547"/>
      <c r="X552" s="2547"/>
      <c r="Y552" s="2547"/>
      <c r="Z552" s="2547"/>
      <c r="AA552" s="2547"/>
      <c r="AB552" s="2547"/>
      <c r="AC552" s="2547"/>
      <c r="AD552" s="2547"/>
      <c r="AE552" s="2547"/>
      <c r="AF552" s="2547"/>
      <c r="AG552" s="2547"/>
      <c r="AH552" s="245"/>
      <c r="AI552" s="245"/>
      <c r="AJ552" s="245"/>
      <c r="AK552" s="246"/>
      <c r="AL552" s="246"/>
      <c r="AM552" s="246"/>
      <c r="AN552" s="1087"/>
      <c r="BE552" s="2422">
        <f>SUM(BE547:BH551)</f>
        <v>0</v>
      </c>
      <c r="BF552" s="2428"/>
      <c r="BG552" s="2428"/>
      <c r="BH552" s="2423"/>
      <c r="BI552" s="2422">
        <f>SUM(BI547:BL551)</f>
        <v>0</v>
      </c>
      <c r="BJ552" s="2428"/>
      <c r="BK552" s="2428"/>
      <c r="BL552" s="2423"/>
      <c r="BM552" s="2422">
        <f>SUM(BM547:BP551)</f>
        <v>0</v>
      </c>
      <c r="BN552" s="2428"/>
      <c r="BO552" s="2428"/>
      <c r="BP552" s="2423"/>
      <c r="BQ552" s="2422">
        <f>SUM(BQ547:BT551)</f>
        <v>0</v>
      </c>
      <c r="BR552" s="2428"/>
      <c r="BS552" s="2428"/>
      <c r="BT552" s="2423"/>
      <c r="BU552" s="2422">
        <f>SUM(BU547:BX551)</f>
        <v>0</v>
      </c>
      <c r="BV552" s="2428"/>
      <c r="BW552" s="2428"/>
      <c r="BX552" s="2423"/>
      <c r="BY552" s="2422">
        <f>SUM(BY547:CB551)</f>
        <v>0</v>
      </c>
      <c r="BZ552" s="2428"/>
      <c r="CA552" s="2428"/>
      <c r="CB552" s="2423"/>
      <c r="CC552" s="2437">
        <f>IF(AND(CH548=1,T608&gt;0),0,SUM(BE552:CB552))</f>
        <v>0</v>
      </c>
      <c r="CD552" s="2438"/>
      <c r="CE552" s="2438"/>
      <c r="CF552" s="2439"/>
      <c r="CG552" s="16"/>
      <c r="CH552" s="2437">
        <f>IF(OR(Y612=0,Y612&gt;=0.1),1,0)</f>
        <v>1</v>
      </c>
      <c r="CI552" s="2438"/>
      <c r="CJ552" s="2438"/>
      <c r="CK552" s="2439"/>
    </row>
    <row r="553" spans="1:89" s="137" customFormat="1" ht="12.4" customHeight="1">
      <c r="A553" s="28"/>
      <c r="B553" s="2440" t="s">
        <v>1636</v>
      </c>
      <c r="C553" s="2440"/>
      <c r="D553" s="2440"/>
      <c r="E553" s="2440"/>
      <c r="F553" s="2440"/>
      <c r="G553" s="2440"/>
      <c r="H553" s="2440"/>
      <c r="I553" s="2440"/>
      <c r="J553" s="2440"/>
      <c r="K553" s="2440"/>
      <c r="L553" s="2440"/>
      <c r="M553" s="2440"/>
      <c r="N553" s="2440"/>
      <c r="O553" s="2440"/>
      <c r="P553" s="2440"/>
      <c r="Q553" s="2440"/>
      <c r="R553" s="2440"/>
      <c r="S553" s="2440"/>
      <c r="T553" s="2440"/>
      <c r="U553" s="2440"/>
      <c r="V553" s="2440"/>
      <c r="W553" s="2440"/>
      <c r="X553" s="2440"/>
      <c r="Y553" s="2440"/>
      <c r="Z553" s="2440"/>
      <c r="AA553" s="2440"/>
      <c r="AB553" s="2440"/>
      <c r="AC553" s="2440"/>
      <c r="AD553" s="2440"/>
      <c r="AE553" s="2440"/>
      <c r="AF553" s="2440"/>
      <c r="AG553" s="2440"/>
      <c r="AH553" s="245"/>
      <c r="AI553" s="245"/>
      <c r="AJ553" s="245"/>
      <c r="AK553" s="246"/>
      <c r="AL553" s="246"/>
      <c r="AM553" s="246"/>
      <c r="AN553" s="439"/>
    </row>
    <row r="554" spans="1:89" s="46" customFormat="1" ht="21" customHeight="1">
      <c r="A554" s="28"/>
      <c r="B554" s="2440"/>
      <c r="C554" s="2440"/>
      <c r="D554" s="2440"/>
      <c r="E554" s="2440"/>
      <c r="F554" s="2440"/>
      <c r="G554" s="2440"/>
      <c r="H554" s="2440"/>
      <c r="I554" s="2440"/>
      <c r="J554" s="2440"/>
      <c r="K554" s="2440"/>
      <c r="L554" s="2440"/>
      <c r="M554" s="2440"/>
      <c r="N554" s="2440"/>
      <c r="O554" s="2440"/>
      <c r="P554" s="2440"/>
      <c r="Q554" s="2440"/>
      <c r="R554" s="2440"/>
      <c r="S554" s="2440"/>
      <c r="T554" s="2440"/>
      <c r="U554" s="2440"/>
      <c r="V554" s="2440"/>
      <c r="W554" s="2440"/>
      <c r="X554" s="2440"/>
      <c r="Y554" s="2440"/>
      <c r="Z554" s="2440"/>
      <c r="AA554" s="2440"/>
      <c r="AB554" s="2440"/>
      <c r="AC554" s="2440"/>
      <c r="AD554" s="2440"/>
      <c r="AE554" s="2440"/>
      <c r="AF554" s="2440"/>
      <c r="AG554" s="2440"/>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40" t="s">
        <v>1929</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1101"/>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40"/>
      <c r="C556" s="2440"/>
      <c r="D556" s="2440"/>
      <c r="E556" s="2440"/>
      <c r="F556" s="2440"/>
      <c r="G556" s="2440"/>
      <c r="H556" s="2440"/>
      <c r="I556" s="2440"/>
      <c r="J556" s="2440"/>
      <c r="K556" s="2440"/>
      <c r="L556" s="2440"/>
      <c r="M556" s="2440"/>
      <c r="N556" s="2440"/>
      <c r="O556" s="2440"/>
      <c r="P556" s="2440"/>
      <c r="Q556" s="2440"/>
      <c r="R556" s="2440"/>
      <c r="S556" s="2440"/>
      <c r="T556" s="2440"/>
      <c r="U556" s="2440"/>
      <c r="V556" s="2440"/>
      <c r="W556" s="2440"/>
      <c r="X556" s="2440"/>
      <c r="Y556" s="2440"/>
      <c r="Z556" s="2440"/>
      <c r="AA556" s="2440"/>
      <c r="AB556" s="2440"/>
      <c r="AC556" s="2440"/>
      <c r="AD556" s="2440"/>
      <c r="AE556" s="2440"/>
      <c r="AF556" s="2440"/>
      <c r="AG556" s="245"/>
      <c r="AH556" s="245"/>
      <c r="AI556" s="245"/>
      <c r="AJ556" s="245"/>
      <c r="AK556" s="246"/>
      <c r="AL556" s="246"/>
      <c r="AM556" s="246"/>
      <c r="AN556" s="439"/>
      <c r="AP556" s="232"/>
      <c r="AQ556" s="233"/>
      <c r="AR556" s="233"/>
      <c r="AS556" s="233"/>
      <c r="AT556" s="239" t="s">
        <v>667</v>
      </c>
      <c r="AU556" s="233"/>
      <c r="AV556" s="2422" t="str">
        <f>IF(BJ592&gt;0,"failed","passed")</f>
        <v>failed</v>
      </c>
      <c r="AW556" s="2428"/>
      <c r="AX556" s="2428"/>
      <c r="AY556" s="2423"/>
    </row>
    <row r="557" spans="1:89" s="46" customFormat="1" ht="12.4" customHeight="1">
      <c r="A557" s="28"/>
      <c r="B557" s="1102" t="s">
        <v>1640</v>
      </c>
      <c r="C557" s="1103"/>
      <c r="D557" s="1103"/>
      <c r="E557" s="1103"/>
      <c r="F557" s="1103"/>
      <c r="G557" s="1103"/>
      <c r="H557" s="1103"/>
      <c r="I557" s="1103"/>
      <c r="J557" s="1103"/>
      <c r="K557" s="1103"/>
      <c r="L557" s="1103"/>
      <c r="M557" s="1103"/>
      <c r="N557" s="110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8" t="s">
        <v>1637</v>
      </c>
      <c r="R559" s="2548"/>
      <c r="S559" s="2548"/>
      <c r="T559" s="2548"/>
      <c r="U559" s="2548"/>
      <c r="V559" s="2548"/>
      <c r="W559" s="2548"/>
      <c r="X559" s="2548"/>
      <c r="Y559" s="2548"/>
      <c r="Z559" s="2548"/>
      <c r="AA559" s="2548"/>
      <c r="AB559" s="2548"/>
      <c r="AC559" s="2548"/>
      <c r="AD559" s="2548"/>
      <c r="AE559" s="2548"/>
      <c r="AF559" s="2548"/>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8"/>
      <c r="R560" s="2548"/>
      <c r="S560" s="2548"/>
      <c r="T560" s="2548"/>
      <c r="U560" s="2548"/>
      <c r="V560" s="2548"/>
      <c r="W560" s="2548"/>
      <c r="X560" s="2548"/>
      <c r="Y560" s="2548"/>
      <c r="Z560" s="2548"/>
      <c r="AA560" s="2548"/>
      <c r="AB560" s="2548"/>
      <c r="AC560" s="2548"/>
      <c r="AD560" s="2548"/>
      <c r="AE560" s="2548"/>
      <c r="AF560" s="2548"/>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0" t="s">
        <v>1928</v>
      </c>
      <c r="R561" s="2351"/>
      <c r="S561" s="2560" t="s">
        <v>225</v>
      </c>
      <c r="T561" s="2560"/>
      <c r="U561" s="2350">
        <v>0.5</v>
      </c>
      <c r="V561" s="2351"/>
      <c r="W561" s="2350">
        <v>0.45</v>
      </c>
      <c r="X561" s="2351"/>
      <c r="Y561" s="2350">
        <v>0.4</v>
      </c>
      <c r="Z561" s="2351"/>
      <c r="AA561" s="2350">
        <v>0.35</v>
      </c>
      <c r="AB561" s="2351"/>
      <c r="AC561" s="2460">
        <v>0.3</v>
      </c>
      <c r="AD561" s="2461"/>
      <c r="AE561" s="2350">
        <v>0.2</v>
      </c>
      <c r="AF561" s="235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1"/>
      <c r="P562" s="2312"/>
      <c r="Q562" s="2349"/>
      <c r="R562" s="2336"/>
      <c r="S562" s="2441"/>
      <c r="T562" s="2441"/>
      <c r="U562" s="2336"/>
      <c r="V562" s="2336"/>
      <c r="W562" s="2336"/>
      <c r="X562" s="2336"/>
      <c r="Y562" s="2336"/>
      <c r="Z562" s="2336"/>
      <c r="AA562" s="2429"/>
      <c r="AB562" s="2429"/>
      <c r="AC562" s="2336"/>
      <c r="AD562" s="2336"/>
      <c r="AE562" s="2458"/>
      <c r="AF562" s="2459"/>
      <c r="AN562" s="439"/>
      <c r="AP562" s="226" t="s">
        <v>774</v>
      </c>
      <c r="AQ562" s="91"/>
      <c r="AR562" s="91"/>
      <c r="AS562" s="91"/>
      <c r="AT562" s="2437" t="str">
        <f>IF(OR(AV556="passed",BD560="passed"),"passed","failed")</f>
        <v>passed</v>
      </c>
      <c r="AU562" s="2438"/>
      <c r="AV562" s="2438"/>
      <c r="AW562" s="2438"/>
      <c r="AX562" s="2439"/>
    </row>
    <row r="563" spans="1:96" s="46" customFormat="1" ht="12.75" customHeight="1">
      <c r="A563" s="28"/>
      <c r="B563" s="106"/>
      <c r="C563" s="28"/>
      <c r="I563" s="345"/>
      <c r="J563" s="245"/>
      <c r="K563" s="162"/>
      <c r="L563" s="162"/>
      <c r="M563" s="162"/>
      <c r="N563" s="71"/>
      <c r="O563" s="2311"/>
      <c r="P563" s="2312"/>
      <c r="Q563" s="2324"/>
      <c r="R563" s="2325"/>
      <c r="S563" s="2325"/>
      <c r="T563" s="2325"/>
      <c r="U563" s="2325"/>
      <c r="V563" s="2325"/>
      <c r="W563" s="2325"/>
      <c r="X563" s="2325"/>
      <c r="Y563" s="2323"/>
      <c r="Z563" s="2323"/>
      <c r="AA563" s="2325"/>
      <c r="AB563" s="2325"/>
      <c r="AC563" s="2323"/>
      <c r="AD563" s="2323"/>
      <c r="AE563" s="2326"/>
      <c r="AF563" s="232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1"/>
      <c r="P564" s="2312"/>
      <c r="Q564" s="2324"/>
      <c r="R564" s="2325"/>
      <c r="S564" s="2325"/>
      <c r="T564" s="2325"/>
      <c r="U564" s="2325"/>
      <c r="V564" s="2325"/>
      <c r="W564" s="2325"/>
      <c r="X564" s="2325"/>
      <c r="Y564" s="2325"/>
      <c r="Z564" s="2325"/>
      <c r="AA564" s="2323"/>
      <c r="AB564" s="2323"/>
      <c r="AC564" s="2325"/>
      <c r="AD564" s="2325"/>
      <c r="AE564" s="2468"/>
      <c r="AF564" s="2469"/>
      <c r="AN564" s="439"/>
      <c r="AP564" s="235" t="s">
        <v>668</v>
      </c>
      <c r="AQ564" s="236"/>
      <c r="AR564" s="236"/>
      <c r="AS564" s="236"/>
      <c r="AT564" s="236"/>
      <c r="AU564" s="236"/>
      <c r="AV564" s="237"/>
      <c r="AW564" s="2465" t="str">
        <f>IF(AND(AND(AND(AND(AS544="passed",AU551="passed",BD560="passed",SUM(T608:X612)&gt;1)))),"YES","NO")</f>
        <v>YES</v>
      </c>
      <c r="AX564" s="2466"/>
      <c r="AY564" s="246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1"/>
      <c r="P565" s="2312"/>
      <c r="Q565" s="2324"/>
      <c r="R565" s="2325"/>
      <c r="S565" s="2325"/>
      <c r="T565" s="2325"/>
      <c r="U565" s="2325"/>
      <c r="V565" s="2325"/>
      <c r="W565" s="2325"/>
      <c r="X565" s="2325"/>
      <c r="Y565" s="2323"/>
      <c r="Z565" s="2323"/>
      <c r="AA565" s="2325"/>
      <c r="AB565" s="2325"/>
      <c r="AC565" s="2323"/>
      <c r="AD565" s="2323"/>
      <c r="AE565" s="2326"/>
      <c r="AF565" s="2327"/>
      <c r="AN565" s="439"/>
    </row>
    <row r="566" spans="1:96" s="46" customFormat="1" ht="12.75" customHeight="1">
      <c r="A566" s="28"/>
      <c r="B566" s="106"/>
      <c r="C566" s="28"/>
      <c r="I566" s="345"/>
      <c r="J566" s="245"/>
      <c r="K566" s="162"/>
      <c r="L566" s="162"/>
      <c r="M566" s="162"/>
      <c r="N566" s="71"/>
      <c r="O566" s="2311"/>
      <c r="P566" s="2312"/>
      <c r="Q566" s="2324"/>
      <c r="R566" s="2325"/>
      <c r="S566" s="2325"/>
      <c r="T566" s="2325"/>
      <c r="U566" s="2325"/>
      <c r="V566" s="2325"/>
      <c r="W566" s="2323"/>
      <c r="X566" s="2323"/>
      <c r="Y566" s="2325"/>
      <c r="Z566" s="2325"/>
      <c r="AA566" s="2323"/>
      <c r="AB566" s="2323"/>
      <c r="AC566" s="2325"/>
      <c r="AD566" s="2325"/>
      <c r="AE566" s="2468"/>
      <c r="AF566" s="2469"/>
      <c r="AN566" s="439"/>
    </row>
    <row r="567" spans="1:96" s="46" customFormat="1" ht="12.75" customHeight="1">
      <c r="A567" s="28"/>
      <c r="B567" s="106"/>
      <c r="C567" s="28"/>
      <c r="I567" s="345"/>
      <c r="J567" s="245"/>
      <c r="K567" s="162"/>
      <c r="L567" s="162"/>
      <c r="M567" s="162"/>
      <c r="N567" s="71"/>
      <c r="O567" s="2311"/>
      <c r="P567" s="2312"/>
      <c r="Q567" s="2324"/>
      <c r="R567" s="2325"/>
      <c r="S567" s="2325"/>
      <c r="T567" s="2325"/>
      <c r="U567" s="2325"/>
      <c r="V567" s="2325"/>
      <c r="W567" s="2325"/>
      <c r="X567" s="2325"/>
      <c r="Y567" s="2323"/>
      <c r="Z567" s="2323"/>
      <c r="AA567" s="2325"/>
      <c r="AB567" s="2325"/>
      <c r="AC567" s="2323"/>
      <c r="AD567" s="2323"/>
      <c r="AE567" s="2326"/>
      <c r="AF567" s="2327"/>
      <c r="AN567" s="439"/>
      <c r="AU567" s="65"/>
      <c r="AV567" s="65"/>
      <c r="AW567" s="90"/>
      <c r="AX567" s="91"/>
      <c r="AY567" s="91"/>
      <c r="AZ567" s="100" t="s">
        <v>1216</v>
      </c>
      <c r="BA567" s="2476" t="s">
        <v>775</v>
      </c>
      <c r="BB567" s="2477"/>
      <c r="BC567" s="2477"/>
      <c r="BD567" s="2477"/>
      <c r="BE567" s="2478"/>
      <c r="BF567" s="2433">
        <f>SUM(O608:S612)</f>
        <v>49</v>
      </c>
      <c r="BG567" s="2434"/>
      <c r="BH567" s="2434"/>
      <c r="BI567" s="2434"/>
      <c r="BJ567" s="2435"/>
      <c r="BK567" s="2314">
        <f>SUM(T608:X612)</f>
        <v>16</v>
      </c>
      <c r="BL567" s="2315"/>
      <c r="BM567" s="2315"/>
      <c r="BN567" s="2315"/>
      <c r="BO567" s="2316"/>
    </row>
    <row r="568" spans="1:96" s="46" customFormat="1" ht="12.75" customHeight="1">
      <c r="A568" s="28"/>
      <c r="B568" s="57"/>
      <c r="C568" s="28"/>
      <c r="I568" s="2363" t="s">
        <v>1635</v>
      </c>
      <c r="J568" s="2364"/>
      <c r="K568" s="2364"/>
      <c r="L568" s="2364"/>
      <c r="M568" s="2364"/>
      <c r="N568" s="2365"/>
      <c r="O568" s="2311">
        <v>0.5</v>
      </c>
      <c r="P568" s="2312"/>
      <c r="Q568" s="2342"/>
      <c r="R568" s="2343"/>
      <c r="S568" s="2325"/>
      <c r="T568" s="2325"/>
      <c r="U568" s="2562" t="s">
        <v>1639</v>
      </c>
      <c r="V568" s="2562"/>
      <c r="W568" s="2341">
        <v>37.5</v>
      </c>
      <c r="X568" s="2341"/>
      <c r="Y568" s="2343"/>
      <c r="Z568" s="2343"/>
      <c r="AA568" s="2341"/>
      <c r="AB568" s="2341"/>
      <c r="AC568" s="2343"/>
      <c r="AD568" s="2343"/>
      <c r="AE568" s="2470"/>
      <c r="AF568" s="2471"/>
      <c r="AN568" s="439"/>
      <c r="CL568" s="16"/>
      <c r="CM568" s="16"/>
    </row>
    <row r="569" spans="1:96" s="46" customFormat="1" ht="12.75" customHeight="1">
      <c r="A569" s="28"/>
      <c r="B569" s="195"/>
      <c r="C569" s="101"/>
      <c r="D569" s="28"/>
      <c r="E569" s="28"/>
      <c r="I569" s="2363"/>
      <c r="J569" s="2364"/>
      <c r="K569" s="2364"/>
      <c r="L569" s="2364"/>
      <c r="M569" s="2364"/>
      <c r="N569" s="2365"/>
      <c r="O569" s="2311">
        <v>0.45</v>
      </c>
      <c r="P569" s="2312"/>
      <c r="Q569" s="2324"/>
      <c r="R569" s="2325"/>
      <c r="S569" s="2325"/>
      <c r="T569" s="2325"/>
      <c r="U569" s="2331" t="s">
        <v>143</v>
      </c>
      <c r="V569" s="2331"/>
      <c r="W569" s="2323">
        <v>33.799999999999997</v>
      </c>
      <c r="X569" s="2323"/>
      <c r="Y569" s="2323"/>
      <c r="Z569" s="2323"/>
      <c r="AA569" s="2325"/>
      <c r="AB569" s="2325"/>
      <c r="AC569" s="2323"/>
      <c r="AD569" s="2323"/>
      <c r="AE569" s="2326"/>
      <c r="AF569" s="2327"/>
      <c r="AN569" s="439"/>
      <c r="CL569" s="16"/>
      <c r="CM569" s="16"/>
    </row>
    <row r="570" spans="1:96" s="46" customFormat="1" ht="12.75" customHeight="1">
      <c r="A570" s="28"/>
      <c r="B570" s="8"/>
      <c r="C570" s="8"/>
      <c r="D570" s="8"/>
      <c r="E570" s="8"/>
      <c r="I570" s="2363"/>
      <c r="J570" s="2364"/>
      <c r="K570" s="2364"/>
      <c r="L570" s="2364"/>
      <c r="M570" s="2364"/>
      <c r="N570" s="2365"/>
      <c r="O570" s="2311">
        <v>0.4</v>
      </c>
      <c r="P570" s="2312"/>
      <c r="Q570" s="2324"/>
      <c r="R570" s="2325"/>
      <c r="S570" s="2331" t="s">
        <v>1638</v>
      </c>
      <c r="T570" s="2331"/>
      <c r="U570" s="2323">
        <v>20</v>
      </c>
      <c r="V570" s="2323"/>
      <c r="W570" s="2323">
        <v>30</v>
      </c>
      <c r="X570" s="2323"/>
      <c r="Y570" s="2323"/>
      <c r="Z570" s="2323"/>
      <c r="AA570" s="2323"/>
      <c r="AB570" s="2323"/>
      <c r="AC570" s="2323"/>
      <c r="AD570" s="2323"/>
      <c r="AE570" s="2326"/>
      <c r="AF570" s="2327"/>
      <c r="AN570" s="439"/>
      <c r="AP570" s="2479" t="s">
        <v>226</v>
      </c>
      <c r="AQ570" s="2480"/>
      <c r="AR570" s="2480"/>
      <c r="AS570" s="2480"/>
      <c r="AT570" s="2480"/>
      <c r="AU570" s="2480"/>
      <c r="AV570" s="2480"/>
      <c r="AW570" s="2480"/>
      <c r="AX570" s="2480"/>
      <c r="AY570" s="2480"/>
      <c r="AZ570" s="2480"/>
      <c r="BA570" s="2480"/>
      <c r="BB570" s="2480"/>
      <c r="BC570" s="2480"/>
      <c r="BD570" s="2480"/>
      <c r="BE570" s="2480"/>
      <c r="BF570" s="2480"/>
      <c r="BG570" s="2480"/>
      <c r="BH570" s="2480"/>
      <c r="BI570" s="2480"/>
      <c r="BJ570" s="2481"/>
      <c r="BK570" s="2452">
        <f>BF567</f>
        <v>49</v>
      </c>
      <c r="BL570" s="2453"/>
      <c r="BM570" s="2453"/>
      <c r="BN570" s="2453"/>
      <c r="BO570" s="245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3"/>
      <c r="J571" s="2364"/>
      <c r="K571" s="2364"/>
      <c r="L571" s="2364"/>
      <c r="M571" s="2364"/>
      <c r="N571" s="2365"/>
      <c r="O571" s="2311">
        <v>0.35</v>
      </c>
      <c r="P571" s="2312"/>
      <c r="Q571" s="2324"/>
      <c r="R571" s="2325"/>
      <c r="S571" s="2331" t="s">
        <v>1930</v>
      </c>
      <c r="T571" s="2331"/>
      <c r="U571" s="2323">
        <v>17.5</v>
      </c>
      <c r="V571" s="2323"/>
      <c r="W571" s="2323">
        <v>26.3</v>
      </c>
      <c r="X571" s="2323"/>
      <c r="Y571" s="2323">
        <v>35</v>
      </c>
      <c r="Z571" s="2323"/>
      <c r="AA571" s="2323"/>
      <c r="AB571" s="2323"/>
      <c r="AC571" s="2323">
        <v>50</v>
      </c>
      <c r="AD571" s="2323"/>
      <c r="AE571" s="2326"/>
      <c r="AF571" s="2327"/>
      <c r="AN571" s="439"/>
      <c r="AP571" s="2482"/>
      <c r="AQ571" s="2483"/>
      <c r="AR571" s="2483"/>
      <c r="AS571" s="2483"/>
      <c r="AT571" s="2483"/>
      <c r="AU571" s="2483"/>
      <c r="AV571" s="2483"/>
      <c r="AW571" s="2483"/>
      <c r="AX571" s="2483"/>
      <c r="AY571" s="2483"/>
      <c r="AZ571" s="2483"/>
      <c r="BA571" s="2483"/>
      <c r="BB571" s="2483"/>
      <c r="BC571" s="2483"/>
      <c r="BD571" s="2483"/>
      <c r="BE571" s="2483"/>
      <c r="BF571" s="2483"/>
      <c r="BG571" s="2483"/>
      <c r="BH571" s="2483"/>
      <c r="BI571" s="2483"/>
      <c r="BJ571" s="2484"/>
      <c r="BK571" s="2455"/>
      <c r="BL571" s="2456"/>
      <c r="BM571" s="2456"/>
      <c r="BN571" s="2456"/>
      <c r="BO571" s="245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3"/>
      <c r="J572" s="2364"/>
      <c r="K572" s="2364"/>
      <c r="L572" s="2364"/>
      <c r="M572" s="2364"/>
      <c r="N572" s="2365"/>
      <c r="O572" s="2311">
        <v>0.3</v>
      </c>
      <c r="P572" s="2312"/>
      <c r="Q572" s="2324"/>
      <c r="R572" s="2325"/>
      <c r="S572" s="2331" t="s">
        <v>1931</v>
      </c>
      <c r="T572" s="2331"/>
      <c r="U572" s="2323">
        <v>15</v>
      </c>
      <c r="V572" s="2323"/>
      <c r="W572" s="2323">
        <v>22.5</v>
      </c>
      <c r="X572" s="2323"/>
      <c r="Y572" s="2323">
        <v>30</v>
      </c>
      <c r="Z572" s="2323"/>
      <c r="AA572" s="2323">
        <v>37.5</v>
      </c>
      <c r="AB572" s="2323"/>
      <c r="AC572" s="2323">
        <v>45</v>
      </c>
      <c r="AD572" s="2323"/>
      <c r="AE572" s="2326"/>
      <c r="AF572" s="232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03">
        <v>5</v>
      </c>
      <c r="BK572" s="2436"/>
      <c r="BL572" s="2436"/>
      <c r="BM572" s="2436"/>
      <c r="BN572" s="1904"/>
      <c r="BO572" s="1903">
        <v>4</v>
      </c>
      <c r="BP572" s="2436"/>
      <c r="BQ572" s="2436"/>
      <c r="BR572" s="2436"/>
      <c r="BS572" s="1904"/>
      <c r="BT572" s="1903">
        <v>3</v>
      </c>
      <c r="BU572" s="2436"/>
      <c r="BV572" s="2436"/>
      <c r="BW572" s="2436"/>
      <c r="BX572" s="1904"/>
      <c r="BY572" s="1903">
        <v>2</v>
      </c>
      <c r="BZ572" s="2436"/>
      <c r="CA572" s="2436"/>
      <c r="CB572" s="2436"/>
      <c r="CC572" s="1904"/>
      <c r="CD572" s="1903">
        <v>1</v>
      </c>
      <c r="CE572" s="2436"/>
      <c r="CF572" s="2436"/>
      <c r="CG572" s="2436"/>
      <c r="CH572" s="1904"/>
      <c r="CI572" s="1903">
        <v>0</v>
      </c>
      <c r="CJ572" s="2436"/>
      <c r="CK572" s="2436"/>
      <c r="CL572" s="2436"/>
      <c r="CM572" s="1904"/>
      <c r="CN572" s="65"/>
      <c r="CO572" s="65"/>
      <c r="CP572" s="65"/>
      <c r="CQ572" s="65"/>
      <c r="CR572" s="65"/>
    </row>
    <row r="573" spans="1:96" s="46" customFormat="1" ht="12.75" customHeight="1">
      <c r="A573" s="28"/>
      <c r="B573" s="8"/>
      <c r="C573" s="8"/>
      <c r="D573" s="8"/>
      <c r="E573" s="8"/>
      <c r="I573" s="2363"/>
      <c r="J573" s="2364"/>
      <c r="K573" s="2364"/>
      <c r="L573" s="2364"/>
      <c r="M573" s="2364"/>
      <c r="N573" s="2365"/>
      <c r="O573" s="2311">
        <v>0.25</v>
      </c>
      <c r="P573" s="2312"/>
      <c r="Q573" s="2324"/>
      <c r="R573" s="2325"/>
      <c r="S573" s="2331" t="s">
        <v>1932</v>
      </c>
      <c r="T573" s="2331"/>
      <c r="U573" s="2323">
        <v>12.5</v>
      </c>
      <c r="V573" s="2323"/>
      <c r="W573" s="2323">
        <v>18.8</v>
      </c>
      <c r="X573" s="2323"/>
      <c r="Y573" s="2323">
        <v>25</v>
      </c>
      <c r="Z573" s="2323"/>
      <c r="AA573" s="2323">
        <v>31.3</v>
      </c>
      <c r="AB573" s="2323"/>
      <c r="AC573" s="2323">
        <v>37.5</v>
      </c>
      <c r="AD573" s="2323"/>
      <c r="AE573" s="2326">
        <v>50</v>
      </c>
      <c r="AF573" s="2327"/>
      <c r="AN573" s="439"/>
      <c r="AP573" s="2430" t="str">
        <f t="shared" ref="AP573:AP579" si="0">J607</f>
        <v>5 BR</v>
      </c>
      <c r="AQ573" s="2431"/>
      <c r="AR573" s="2431"/>
      <c r="AS573" s="2431"/>
      <c r="AT573" s="2432"/>
      <c r="AU573" s="2425">
        <f t="shared" ref="AU573:AU578" si="1">O607</f>
        <v>0</v>
      </c>
      <c r="AV573" s="2426"/>
      <c r="AW573" s="2426"/>
      <c r="AX573" s="2426"/>
      <c r="AY573" s="2427"/>
      <c r="AZ573" s="2425">
        <f t="shared" ref="AZ573:AZ578" si="2">T607</f>
        <v>0</v>
      </c>
      <c r="BA573" s="2426"/>
      <c r="BB573" s="2426"/>
      <c r="BC573" s="2426"/>
      <c r="BD573" s="2427"/>
      <c r="BE573" s="1889">
        <f t="shared" ref="BE573:BE578" si="3">Y607</f>
        <v>0</v>
      </c>
      <c r="BF573" s="1890"/>
      <c r="BG573" s="1890"/>
      <c r="BH573" s="1890"/>
      <c r="BI573" s="1891"/>
      <c r="BJ573" s="1903">
        <f>IF(OR(AP583=0,BE573&gt;=0.1),0,1)</f>
        <v>0</v>
      </c>
      <c r="BK573" s="2436"/>
      <c r="BL573" s="2436"/>
      <c r="BM573" s="2436"/>
      <c r="BN573" s="1904"/>
      <c r="BO573" s="1903"/>
      <c r="BP573" s="2436"/>
      <c r="BQ573" s="2436"/>
      <c r="BR573" s="2436"/>
      <c r="BS573" s="1904"/>
      <c r="BT573" s="1903"/>
      <c r="BU573" s="2436"/>
      <c r="BV573" s="2436"/>
      <c r="BW573" s="2436"/>
      <c r="BX573" s="1904"/>
      <c r="BY573" s="1903"/>
      <c r="BZ573" s="2436"/>
      <c r="CA573" s="2436"/>
      <c r="CB573" s="2436"/>
      <c r="CC573" s="1904"/>
      <c r="CD573" s="1903"/>
      <c r="CE573" s="2436"/>
      <c r="CF573" s="2436"/>
      <c r="CG573" s="2436"/>
      <c r="CH573" s="1904"/>
      <c r="CI573" s="1903"/>
      <c r="CJ573" s="2436"/>
      <c r="CK573" s="2436"/>
      <c r="CL573" s="2436"/>
      <c r="CM573" s="1904"/>
      <c r="CN573" s="65"/>
      <c r="CO573" s="65"/>
      <c r="CP573" s="65"/>
      <c r="CQ573" s="65"/>
      <c r="CR573" s="65"/>
    </row>
    <row r="574" spans="1:96" s="46" customFormat="1" ht="12.75" customHeight="1">
      <c r="A574" s="195"/>
      <c r="B574" s="8"/>
      <c r="C574" s="8"/>
      <c r="D574" s="8"/>
      <c r="E574" s="8"/>
      <c r="I574" s="2363"/>
      <c r="J574" s="2364"/>
      <c r="K574" s="2364"/>
      <c r="L574" s="2364"/>
      <c r="M574" s="2364"/>
      <c r="N574" s="2365"/>
      <c r="O574" s="2311">
        <v>0.2</v>
      </c>
      <c r="P574" s="2312"/>
      <c r="Q574" s="2324"/>
      <c r="R574" s="2325"/>
      <c r="S574" s="2348" t="s">
        <v>1935</v>
      </c>
      <c r="T574" s="2348"/>
      <c r="U574" s="2323">
        <v>10</v>
      </c>
      <c r="V574" s="2323"/>
      <c r="W574" s="2323">
        <v>15</v>
      </c>
      <c r="X574" s="2323"/>
      <c r="Y574" s="2323">
        <v>20</v>
      </c>
      <c r="Z574" s="2323"/>
      <c r="AA574" s="2323">
        <v>25</v>
      </c>
      <c r="AB574" s="2323"/>
      <c r="AC574" s="2323">
        <v>30</v>
      </c>
      <c r="AD574" s="2323"/>
      <c r="AE574" s="2326">
        <v>40</v>
      </c>
      <c r="AF574" s="2327"/>
      <c r="AN574" s="439"/>
      <c r="AP574" s="2430" t="str">
        <f t="shared" si="0"/>
        <v>4 BR</v>
      </c>
      <c r="AQ574" s="2431"/>
      <c r="AR574" s="2431"/>
      <c r="AS574" s="2431"/>
      <c r="AT574" s="2432"/>
      <c r="AU574" s="2425">
        <f t="shared" si="1"/>
        <v>0</v>
      </c>
      <c r="AV574" s="2426"/>
      <c r="AW574" s="2426"/>
      <c r="AX574" s="2426"/>
      <c r="AY574" s="2427"/>
      <c r="AZ574" s="2425">
        <f t="shared" si="2"/>
        <v>0</v>
      </c>
      <c r="BA574" s="2426"/>
      <c r="BB574" s="2426"/>
      <c r="BC574" s="2426"/>
      <c r="BD574" s="2427"/>
      <c r="BE574" s="1889">
        <f t="shared" si="3"/>
        <v>0</v>
      </c>
      <c r="BF574" s="1890"/>
      <c r="BG574" s="1890"/>
      <c r="BH574" s="1890"/>
      <c r="BI574" s="1891"/>
      <c r="BJ574" s="1903"/>
      <c r="BK574" s="2436"/>
      <c r="BL574" s="2436"/>
      <c r="BM574" s="2436"/>
      <c r="BN574" s="1904"/>
      <c r="BO574" s="1903">
        <f>IF(AND(AND(AZ573=0,BJ573=0,AP584=1)),1,0)</f>
        <v>0</v>
      </c>
      <c r="BP574" s="2436"/>
      <c r="BQ574" s="2436"/>
      <c r="BR574" s="2436"/>
      <c r="BS574" s="1904"/>
      <c r="BT574" s="1903"/>
      <c r="BU574" s="2436"/>
      <c r="BV574" s="2436"/>
      <c r="BW574" s="2436"/>
      <c r="BX574" s="1904"/>
      <c r="BY574" s="1903"/>
      <c r="BZ574" s="2436"/>
      <c r="CA574" s="2436"/>
      <c r="CB574" s="2436"/>
      <c r="CC574" s="1904"/>
      <c r="CD574" s="1903"/>
      <c r="CE574" s="2436"/>
      <c r="CF574" s="2436"/>
      <c r="CG574" s="2436"/>
      <c r="CH574" s="1904"/>
      <c r="CI574" s="1903"/>
      <c r="CJ574" s="2436"/>
      <c r="CK574" s="2436"/>
      <c r="CL574" s="2436"/>
      <c r="CM574" s="1904"/>
      <c r="CN574" s="65"/>
      <c r="CO574" s="65"/>
      <c r="CP574" s="65"/>
      <c r="CQ574" s="65"/>
      <c r="CR574" s="65"/>
    </row>
    <row r="575" spans="1:96" s="46" customFormat="1" ht="12.75" customHeight="1">
      <c r="A575" s="195"/>
      <c r="B575" s="8"/>
      <c r="C575" s="8"/>
      <c r="D575" s="8"/>
      <c r="E575" s="8"/>
      <c r="I575" s="2363"/>
      <c r="J575" s="2364"/>
      <c r="K575" s="2364"/>
      <c r="L575" s="2364"/>
      <c r="M575" s="2364"/>
      <c r="N575" s="2365"/>
      <c r="O575" s="2311">
        <v>0.15</v>
      </c>
      <c r="P575" s="2312"/>
      <c r="Q575" s="2324"/>
      <c r="R575" s="2325"/>
      <c r="S575" s="2331" t="s">
        <v>1933</v>
      </c>
      <c r="T575" s="2331"/>
      <c r="U575" s="2323">
        <v>7.5</v>
      </c>
      <c r="V575" s="2323"/>
      <c r="W575" s="2323">
        <v>11.3</v>
      </c>
      <c r="X575" s="2323"/>
      <c r="Y575" s="2323">
        <v>15</v>
      </c>
      <c r="Z575" s="2323"/>
      <c r="AA575" s="2323">
        <v>18.8</v>
      </c>
      <c r="AB575" s="2323"/>
      <c r="AC575" s="2323">
        <v>22.5</v>
      </c>
      <c r="AD575" s="2323"/>
      <c r="AE575" s="2326">
        <v>30</v>
      </c>
      <c r="AF575" s="2327"/>
      <c r="AK575" s="153"/>
      <c r="AL575" s="153"/>
      <c r="AM575" s="153"/>
      <c r="AN575" s="439"/>
      <c r="AP575" s="2430" t="str">
        <f t="shared" si="0"/>
        <v>3 BR</v>
      </c>
      <c r="AQ575" s="2431"/>
      <c r="AR575" s="2431"/>
      <c r="AS575" s="2431"/>
      <c r="AT575" s="2432"/>
      <c r="AU575" s="2425">
        <f t="shared" si="1"/>
        <v>0</v>
      </c>
      <c r="AV575" s="2426"/>
      <c r="AW575" s="2426"/>
      <c r="AX575" s="2426"/>
      <c r="AY575" s="2427"/>
      <c r="AZ575" s="2425">
        <f t="shared" si="2"/>
        <v>0</v>
      </c>
      <c r="BA575" s="2426"/>
      <c r="BB575" s="2426"/>
      <c r="BC575" s="2426"/>
      <c r="BD575" s="2427"/>
      <c r="BE575" s="1889">
        <f t="shared" si="3"/>
        <v>0</v>
      </c>
      <c r="BF575" s="1890"/>
      <c r="BG575" s="1890"/>
      <c r="BH575" s="1890"/>
      <c r="BI575" s="1891"/>
      <c r="BJ575" s="1903"/>
      <c r="BK575" s="2436"/>
      <c r="BL575" s="2436"/>
      <c r="BM575" s="2436"/>
      <c r="BN575" s="1904"/>
      <c r="BO575" s="1903"/>
      <c r="BP575" s="2436"/>
      <c r="BQ575" s="2436"/>
      <c r="BR575" s="2436"/>
      <c r="BS575" s="1904"/>
      <c r="BT575" s="1903">
        <f>IF(AND(AND(AZ573+AZ574=0,BJ573+BO574=0,AP585=1)),1,0)</f>
        <v>0</v>
      </c>
      <c r="BU575" s="2436"/>
      <c r="BV575" s="2436"/>
      <c r="BW575" s="2436"/>
      <c r="BX575" s="1904"/>
      <c r="BY575" s="1903"/>
      <c r="BZ575" s="2436"/>
      <c r="CA575" s="2436"/>
      <c r="CB575" s="2436"/>
      <c r="CC575" s="1904"/>
      <c r="CD575" s="1903"/>
      <c r="CE575" s="2436"/>
      <c r="CF575" s="2436"/>
      <c r="CG575" s="2436"/>
      <c r="CH575" s="1904"/>
      <c r="CI575" s="1903"/>
      <c r="CJ575" s="2436"/>
      <c r="CK575" s="2436"/>
      <c r="CL575" s="2436"/>
      <c r="CM575" s="1904"/>
      <c r="CN575" s="65"/>
      <c r="CO575" s="65"/>
      <c r="CP575" s="65"/>
      <c r="CQ575" s="65"/>
      <c r="CR575" s="65"/>
    </row>
    <row r="576" spans="1:96" s="46" customFormat="1" ht="12.75" customHeight="1" thickBot="1">
      <c r="B576" s="8"/>
      <c r="C576" s="8"/>
      <c r="D576" s="8"/>
      <c r="E576" s="8"/>
      <c r="I576" s="2366"/>
      <c r="J576" s="2367"/>
      <c r="K576" s="2367"/>
      <c r="L576" s="2367"/>
      <c r="M576" s="2367"/>
      <c r="N576" s="2368"/>
      <c r="O576" s="2311">
        <v>0.1</v>
      </c>
      <c r="P576" s="2312"/>
      <c r="Q576" s="2346"/>
      <c r="R576" s="2347"/>
      <c r="S576" s="2331" t="s">
        <v>1934</v>
      </c>
      <c r="T576" s="2331"/>
      <c r="U576" s="2424">
        <v>5</v>
      </c>
      <c r="V576" s="2424"/>
      <c r="W576" s="2424">
        <v>7.5</v>
      </c>
      <c r="X576" s="2424"/>
      <c r="Y576" s="2424">
        <v>10</v>
      </c>
      <c r="Z576" s="2424"/>
      <c r="AA576" s="2424">
        <v>12.5</v>
      </c>
      <c r="AB576" s="2424"/>
      <c r="AC576" s="2424">
        <v>15</v>
      </c>
      <c r="AD576" s="2424"/>
      <c r="AE576" s="2583">
        <v>20</v>
      </c>
      <c r="AF576" s="2584"/>
      <c r="AK576" s="252"/>
      <c r="AL576" s="252"/>
      <c r="AM576" s="8"/>
      <c r="AN576" s="439"/>
      <c r="AP576" s="2430" t="str">
        <f t="shared" si="0"/>
        <v>2 BR</v>
      </c>
      <c r="AQ576" s="2431"/>
      <c r="AR576" s="2431"/>
      <c r="AS576" s="2431"/>
      <c r="AT576" s="2432"/>
      <c r="AU576" s="2425">
        <f t="shared" si="1"/>
        <v>4</v>
      </c>
      <c r="AV576" s="2426"/>
      <c r="AW576" s="2426"/>
      <c r="AX576" s="2426"/>
      <c r="AY576" s="2427"/>
      <c r="AZ576" s="2425">
        <f t="shared" si="2"/>
        <v>1</v>
      </c>
      <c r="BA576" s="2426"/>
      <c r="BB576" s="2426"/>
      <c r="BC576" s="2426"/>
      <c r="BD576" s="2427"/>
      <c r="BE576" s="1889">
        <f t="shared" si="3"/>
        <v>0.25</v>
      </c>
      <c r="BF576" s="1890"/>
      <c r="BG576" s="1890"/>
      <c r="BH576" s="1890"/>
      <c r="BI576" s="1891"/>
      <c r="BJ576" s="1903"/>
      <c r="BK576" s="2436"/>
      <c r="BL576" s="2436"/>
      <c r="BM576" s="2436"/>
      <c r="BN576" s="1904"/>
      <c r="BO576" s="1903"/>
      <c r="BP576" s="2436"/>
      <c r="BQ576" s="2436"/>
      <c r="BR576" s="2436"/>
      <c r="BS576" s="1904"/>
      <c r="BT576" s="1903"/>
      <c r="BU576" s="2436"/>
      <c r="BV576" s="2436"/>
      <c r="BW576" s="2436"/>
      <c r="BX576" s="1904"/>
      <c r="BY576" s="1903">
        <f>IF(AND(AND(AZ573+AZ574+AZ575=0,BO574+BT575+BJ573=0,AP586=1)),1,0)</f>
        <v>0</v>
      </c>
      <c r="BZ576" s="2436"/>
      <c r="CA576" s="2436"/>
      <c r="CB576" s="2436"/>
      <c r="CC576" s="1904"/>
      <c r="CD576" s="1903"/>
      <c r="CE576" s="2436"/>
      <c r="CF576" s="2436"/>
      <c r="CG576" s="2436"/>
      <c r="CH576" s="1904"/>
      <c r="CI576" s="1903"/>
      <c r="CJ576" s="2436"/>
      <c r="CK576" s="2436"/>
      <c r="CL576" s="2436"/>
      <c r="CM576" s="1904"/>
      <c r="CN576" s="65"/>
      <c r="CO576" s="65"/>
      <c r="CP576" s="65"/>
      <c r="CQ576" s="65"/>
      <c r="CR576" s="65"/>
    </row>
    <row r="577" spans="2:96" s="46" customFormat="1" ht="12.75" customHeight="1">
      <c r="B577" s="8"/>
      <c r="C577" s="8"/>
      <c r="D577" s="8"/>
      <c r="E577" s="1813" t="s">
        <v>1021</v>
      </c>
      <c r="F577" s="2166"/>
      <c r="G577" s="2166"/>
      <c r="H577" s="2166"/>
      <c r="I577" s="2166"/>
      <c r="J577" s="2166"/>
      <c r="K577" s="2166"/>
      <c r="L577" s="2166"/>
      <c r="M577" s="2166"/>
      <c r="N577" s="2166"/>
      <c r="O577" s="2166"/>
      <c r="P577" s="2166"/>
      <c r="Q577" s="2166"/>
      <c r="R577" s="2166"/>
      <c r="S577" s="2166"/>
      <c r="T577" s="2166"/>
      <c r="U577" s="2166"/>
      <c r="V577" s="2166"/>
      <c r="W577" s="2166"/>
      <c r="X577" s="2166"/>
      <c r="Y577" s="2166"/>
      <c r="Z577" s="2166"/>
      <c r="AA577" s="2166"/>
      <c r="AB577" s="2166"/>
      <c r="AC577" s="2166"/>
      <c r="AD577" s="2166"/>
      <c r="AE577" s="2166"/>
      <c r="AF577" s="2166"/>
      <c r="AG577" s="2166"/>
      <c r="AH577" s="2167"/>
      <c r="AK577" s="252"/>
      <c r="AL577" s="252"/>
      <c r="AM577" s="8"/>
      <c r="AN577" s="439"/>
      <c r="AP577" s="2430" t="str">
        <f t="shared" si="0"/>
        <v>1 BR</v>
      </c>
      <c r="AQ577" s="2431"/>
      <c r="AR577" s="2431"/>
      <c r="AS577" s="2431"/>
      <c r="AT577" s="2432"/>
      <c r="AU577" s="2425">
        <f t="shared" si="1"/>
        <v>8</v>
      </c>
      <c r="AV577" s="2426"/>
      <c r="AW577" s="2426"/>
      <c r="AX577" s="2426"/>
      <c r="AY577" s="2427"/>
      <c r="AZ577" s="2425">
        <f t="shared" si="2"/>
        <v>1</v>
      </c>
      <c r="BA577" s="2426"/>
      <c r="BB577" s="2426"/>
      <c r="BC577" s="2426"/>
      <c r="BD577" s="2427"/>
      <c r="BE577" s="1889">
        <f t="shared" si="3"/>
        <v>0.125</v>
      </c>
      <c r="BF577" s="1890"/>
      <c r="BG577" s="1890"/>
      <c r="BH577" s="1890"/>
      <c r="BI577" s="1891"/>
      <c r="BJ577" s="1903"/>
      <c r="BK577" s="2436"/>
      <c r="BL577" s="2436"/>
      <c r="BM577" s="2436"/>
      <c r="BN577" s="1904"/>
      <c r="BO577" s="1903"/>
      <c r="BP577" s="2436"/>
      <c r="BQ577" s="2436"/>
      <c r="BR577" s="2436"/>
      <c r="BS577" s="1904"/>
      <c r="BT577" s="1903"/>
      <c r="BU577" s="2436"/>
      <c r="BV577" s="2436"/>
      <c r="BW577" s="2436"/>
      <c r="BX577" s="1904"/>
      <c r="BY577" s="1903"/>
      <c r="BZ577" s="2436"/>
      <c r="CA577" s="2436"/>
      <c r="CB577" s="2436"/>
      <c r="CC577" s="1904"/>
      <c r="CD577" s="1903">
        <f>IF(AND(AND(BE574+BE575+BE576+BE573=0,BT575+BY576+BO574+BJ573=0,AP587=1)),1,0)</f>
        <v>0</v>
      </c>
      <c r="CE577" s="2436"/>
      <c r="CF577" s="2436"/>
      <c r="CG577" s="2436"/>
      <c r="CH577" s="1904"/>
      <c r="CI577" s="1903"/>
      <c r="CJ577" s="2436"/>
      <c r="CK577" s="2436"/>
      <c r="CL577" s="2436"/>
      <c r="CM577" s="1904"/>
      <c r="CN577" s="65"/>
      <c r="CO577" s="65"/>
      <c r="CP577" s="65"/>
      <c r="CQ577" s="65"/>
      <c r="CR577" s="65"/>
    </row>
    <row r="578" spans="2:96" s="46" customFormat="1" ht="12.75" customHeight="1">
      <c r="E578" s="2552"/>
      <c r="F578" s="2171"/>
      <c r="G578" s="2171"/>
      <c r="H578" s="2171"/>
      <c r="I578" s="2171"/>
      <c r="J578" s="2171"/>
      <c r="K578" s="2171"/>
      <c r="L578" s="2171"/>
      <c r="M578" s="2171"/>
      <c r="N578" s="2171"/>
      <c r="O578" s="2171"/>
      <c r="P578" s="2171"/>
      <c r="Q578" s="2171"/>
      <c r="R578" s="2171"/>
      <c r="S578" s="2171"/>
      <c r="T578" s="2171"/>
      <c r="U578" s="2171"/>
      <c r="V578" s="2171"/>
      <c r="W578" s="2171"/>
      <c r="X578" s="2171"/>
      <c r="Y578" s="2171"/>
      <c r="Z578" s="2171"/>
      <c r="AA578" s="2171"/>
      <c r="AB578" s="2171"/>
      <c r="AC578" s="2171"/>
      <c r="AD578" s="2171"/>
      <c r="AE578" s="2171"/>
      <c r="AF578" s="2171"/>
      <c r="AG578" s="2171"/>
      <c r="AH578" s="2553"/>
      <c r="AN578" s="439"/>
      <c r="AP578" s="2430" t="str">
        <f t="shared" si="0"/>
        <v>SRO</v>
      </c>
      <c r="AQ578" s="2431"/>
      <c r="AR578" s="2431"/>
      <c r="AS578" s="2431"/>
      <c r="AT578" s="2432"/>
      <c r="AU578" s="2425">
        <f t="shared" si="1"/>
        <v>37</v>
      </c>
      <c r="AV578" s="2426"/>
      <c r="AW578" s="2426"/>
      <c r="AX578" s="2426"/>
      <c r="AY578" s="2427"/>
      <c r="AZ578" s="2425">
        <f t="shared" si="2"/>
        <v>14</v>
      </c>
      <c r="BA578" s="2426"/>
      <c r="BB578" s="2426"/>
      <c r="BC578" s="2426"/>
      <c r="BD578" s="2427"/>
      <c r="BE578" s="1889">
        <f t="shared" si="3"/>
        <v>0.3783783783783784</v>
      </c>
      <c r="BF578" s="1890"/>
      <c r="BG578" s="1890"/>
      <c r="BH578" s="1890"/>
      <c r="BI578" s="1891"/>
      <c r="BJ578" s="1903"/>
      <c r="BK578" s="2436"/>
      <c r="BL578" s="2436"/>
      <c r="BM578" s="2436"/>
      <c r="BN578" s="1904"/>
      <c r="BO578" s="1903"/>
      <c r="BP578" s="2436"/>
      <c r="BQ578" s="2436"/>
      <c r="BR578" s="2436"/>
      <c r="BS578" s="1904"/>
      <c r="BT578" s="1903"/>
      <c r="BU578" s="2436"/>
      <c r="BV578" s="2436"/>
      <c r="BW578" s="2436"/>
      <c r="BX578" s="1904"/>
      <c r="BY578" s="1903"/>
      <c r="BZ578" s="2436"/>
      <c r="CA578" s="2436"/>
      <c r="CB578" s="2436"/>
      <c r="CC578" s="1904"/>
      <c r="CD578" s="1903"/>
      <c r="CE578" s="2436"/>
      <c r="CF578" s="2436"/>
      <c r="CG578" s="2436"/>
      <c r="CH578" s="1904"/>
      <c r="CI578" s="1903">
        <f>IF(AND(AND(AZ575+AZ576+AZ577+AZ574+AZ573=0,BY576+CD577+BT575+BO574+BJ573=0,AP588=1)),1,0)</f>
        <v>0</v>
      </c>
      <c r="CJ578" s="2436"/>
      <c r="CK578" s="2436"/>
      <c r="CL578" s="2436"/>
      <c r="CM578" s="1904"/>
      <c r="CN578" s="65"/>
      <c r="CO578" s="65"/>
      <c r="CP578" s="65"/>
      <c r="CQ578" s="65"/>
      <c r="CR578" s="65"/>
    </row>
    <row r="579" spans="2:96" s="46" customFormat="1" ht="12.75" customHeight="1">
      <c r="E579" s="2585" t="s">
        <v>1645</v>
      </c>
      <c r="F579" s="2586"/>
      <c r="G579" s="2586"/>
      <c r="H579" s="2586"/>
      <c r="I579" s="2586"/>
      <c r="J579" s="2587"/>
      <c r="K579" s="2585" t="s">
        <v>1926</v>
      </c>
      <c r="L579" s="2586"/>
      <c r="M579" s="2586"/>
      <c r="N579" s="2586"/>
      <c r="O579" s="2586"/>
      <c r="P579" s="2587"/>
      <c r="Q579" s="2544" t="s">
        <v>1641</v>
      </c>
      <c r="R579" s="2545"/>
      <c r="S579" s="2545"/>
      <c r="T579" s="2545"/>
      <c r="U579" s="2545"/>
      <c r="V579" s="2546"/>
      <c r="W579" s="2544" t="str">
        <f>I568</f>
        <v>Percent of Low-Income Units (exclusive of manager’s units)</v>
      </c>
      <c r="X579" s="2545"/>
      <c r="Y579" s="2545"/>
      <c r="Z579" s="2545"/>
      <c r="AA579" s="2545"/>
      <c r="AB579" s="2546"/>
      <c r="AC579" s="2544" t="s">
        <v>1644</v>
      </c>
      <c r="AD579" s="2545"/>
      <c r="AE579" s="2545"/>
      <c r="AF579" s="2545"/>
      <c r="AG579" s="2545"/>
      <c r="AH579" s="2546"/>
      <c r="AN579" s="439"/>
      <c r="AP579" s="2430" t="str">
        <f t="shared" si="0"/>
        <v>Total:</v>
      </c>
      <c r="AQ579" s="2431"/>
      <c r="AR579" s="2431"/>
      <c r="AS579" s="2431"/>
      <c r="AT579" s="2432"/>
      <c r="AU579" s="2430"/>
      <c r="AV579" s="2431"/>
      <c r="AW579" s="2431"/>
      <c r="AX579" s="2431"/>
      <c r="AY579" s="2432"/>
      <c r="AZ579" s="2430"/>
      <c r="BA579" s="2431"/>
      <c r="BB579" s="2431"/>
      <c r="BC579" s="2431"/>
      <c r="BD579" s="2432"/>
      <c r="BE579" s="2430"/>
      <c r="BF579" s="2431"/>
      <c r="BG579" s="2431"/>
      <c r="BH579" s="2431"/>
      <c r="BI579" s="2432"/>
      <c r="BJ579" s="1903">
        <f>SUM(BJ573:BN578)</f>
        <v>0</v>
      </c>
      <c r="BK579" s="2436"/>
      <c r="BL579" s="2436"/>
      <c r="BM579" s="2436"/>
      <c r="BN579" s="1904"/>
      <c r="BO579" s="1903">
        <f>SUM(BO573:BS578)</f>
        <v>0</v>
      </c>
      <c r="BP579" s="2436"/>
      <c r="BQ579" s="2436"/>
      <c r="BR579" s="2436"/>
      <c r="BS579" s="1904"/>
      <c r="BT579" s="1903">
        <f>SUM(BT573:BX578)</f>
        <v>0</v>
      </c>
      <c r="BU579" s="2436"/>
      <c r="BV579" s="2436"/>
      <c r="BW579" s="2436"/>
      <c r="BX579" s="1904"/>
      <c r="BY579" s="1903">
        <f>SUM(BY573:CC578)</f>
        <v>0</v>
      </c>
      <c r="BZ579" s="2436"/>
      <c r="CA579" s="2436"/>
      <c r="CB579" s="2436"/>
      <c r="CC579" s="1904"/>
      <c r="CD579" s="1903">
        <f>SUM(CD573:CH578)</f>
        <v>0</v>
      </c>
      <c r="CE579" s="2436"/>
      <c r="CF579" s="2436"/>
      <c r="CG579" s="2436"/>
      <c r="CH579" s="1904"/>
      <c r="CI579" s="1903">
        <f>SUM(CI573:CM578)</f>
        <v>0</v>
      </c>
      <c r="CJ579" s="2436"/>
      <c r="CK579" s="2436"/>
      <c r="CL579" s="2436"/>
      <c r="CM579" s="1904"/>
      <c r="CN579" s="1903">
        <f>SUM(BJ579:CM579)</f>
        <v>0</v>
      </c>
      <c r="CO579" s="2436"/>
      <c r="CP579" s="2436"/>
      <c r="CQ579" s="2436"/>
      <c r="CR579" s="1904"/>
    </row>
    <row r="580" spans="2:96" s="46" customFormat="1" ht="12.75" customHeight="1">
      <c r="E580" s="2588"/>
      <c r="F580" s="2589"/>
      <c r="G580" s="2589"/>
      <c r="H580" s="2589"/>
      <c r="I580" s="2589"/>
      <c r="J580" s="2590"/>
      <c r="K580" s="2588"/>
      <c r="L580" s="2589"/>
      <c r="M580" s="2589"/>
      <c r="N580" s="2589"/>
      <c r="O580" s="2589"/>
      <c r="P580" s="2590"/>
      <c r="Q580" s="2363"/>
      <c r="R580" s="2364"/>
      <c r="S580" s="2364"/>
      <c r="T580" s="2364"/>
      <c r="U580" s="2364"/>
      <c r="V580" s="2365"/>
      <c r="W580" s="2363"/>
      <c r="X580" s="2364"/>
      <c r="Y580" s="2364"/>
      <c r="Z580" s="2364"/>
      <c r="AA580" s="2364"/>
      <c r="AB580" s="2365"/>
      <c r="AC580" s="2363"/>
      <c r="AD580" s="2364"/>
      <c r="AE580" s="2364"/>
      <c r="AF580" s="2364"/>
      <c r="AG580" s="2364"/>
      <c r="AH580" s="2365"/>
      <c r="AN580" s="439"/>
    </row>
    <row r="581" spans="2:96" s="46" customFormat="1" ht="12.75" customHeight="1">
      <c r="E581" s="2588"/>
      <c r="F581" s="2589"/>
      <c r="G581" s="2589"/>
      <c r="H581" s="2589"/>
      <c r="I581" s="2589"/>
      <c r="J581" s="2590"/>
      <c r="K581" s="2588"/>
      <c r="L581" s="2589"/>
      <c r="M581" s="2589"/>
      <c r="N581" s="2589"/>
      <c r="O581" s="2589"/>
      <c r="P581" s="2590"/>
      <c r="Q581" s="2363"/>
      <c r="R581" s="2364"/>
      <c r="S581" s="2364"/>
      <c r="T581" s="2364"/>
      <c r="U581" s="2364"/>
      <c r="V581" s="2365"/>
      <c r="W581" s="2363"/>
      <c r="X581" s="2364"/>
      <c r="Y581" s="2364"/>
      <c r="Z581" s="2364"/>
      <c r="AA581" s="2364"/>
      <c r="AB581" s="2365"/>
      <c r="AC581" s="2363"/>
      <c r="AD581" s="2364"/>
      <c r="AE581" s="2364"/>
      <c r="AF581" s="2364"/>
      <c r="AG581" s="2364"/>
      <c r="AH581" s="2365"/>
      <c r="AN581" s="439"/>
    </row>
    <row r="582" spans="2:96" s="46" customFormat="1" ht="12.75" customHeight="1">
      <c r="E582" s="2588"/>
      <c r="F582" s="2589"/>
      <c r="G582" s="2589"/>
      <c r="H582" s="2589"/>
      <c r="I582" s="2589"/>
      <c r="J582" s="2590"/>
      <c r="K582" s="2588"/>
      <c r="L582" s="2589"/>
      <c r="M582" s="2589"/>
      <c r="N582" s="2589"/>
      <c r="O582" s="2589"/>
      <c r="P582" s="2590"/>
      <c r="Q582" s="2363"/>
      <c r="R582" s="2364"/>
      <c r="S582" s="2364"/>
      <c r="T582" s="2364"/>
      <c r="U582" s="2364"/>
      <c r="V582" s="2365"/>
      <c r="W582" s="2363"/>
      <c r="X582" s="2364"/>
      <c r="Y582" s="2364"/>
      <c r="Z582" s="2364"/>
      <c r="AA582" s="2364"/>
      <c r="AB582" s="2365"/>
      <c r="AC582" s="2363"/>
      <c r="AD582" s="2364"/>
      <c r="AE582" s="2364"/>
      <c r="AF582" s="2364"/>
      <c r="AG582" s="2364"/>
      <c r="AH582" s="2365"/>
      <c r="AN582" s="439"/>
      <c r="AP582" s="63" t="s">
        <v>1217</v>
      </c>
      <c r="BH582" s="63" t="s">
        <v>1218</v>
      </c>
    </row>
    <row r="583" spans="2:96" s="46" customFormat="1" ht="12.75" customHeight="1">
      <c r="E583" s="2317"/>
      <c r="F583" s="2318"/>
      <c r="G583" s="2318"/>
      <c r="H583" s="2318"/>
      <c r="I583" s="2318"/>
      <c r="J583" s="2319"/>
      <c r="K583" s="2314">
        <v>20</v>
      </c>
      <c r="L583" s="2315"/>
      <c r="M583" s="2315"/>
      <c r="N583" s="2315"/>
      <c r="O583" s="2315"/>
      <c r="P583" s="2316"/>
      <c r="Q583" s="2328">
        <f>IF(ISERROR(IF((((E583/$BJ$530)*100)&gt;100),"EXCESSIVE VALUE",(E583/$BJ$530)*100)),0,IF((((E583/$BJ$530)*100)&gt;100),"EXCESSIVE VALUE",(E583/$BJ$530)*100))</f>
        <v>0</v>
      </c>
      <c r="R583" s="2329"/>
      <c r="S583" s="2329"/>
      <c r="T583" s="2329"/>
      <c r="U583" s="2329"/>
      <c r="V583" s="2330"/>
      <c r="W583" s="2320">
        <f>IF(FLOOR(Q583,5)&gt;80,80,FLOOR(Q583,5))</f>
        <v>0</v>
      </c>
      <c r="X583" s="2321"/>
      <c r="Y583" s="2321"/>
      <c r="Z583" s="2321"/>
      <c r="AA583" s="2321"/>
      <c r="AB583" s="2322"/>
      <c r="AC583" s="2320">
        <f t="shared" ref="AC583:AC588" si="4">IFERROR(IF(W583&gt;0,INDEX($BI$509:$BP$523,MATCH(W583,$BH$509:$BH$523,0),MATCH(K583,$BI$508:$BP$508,0)),0),0)</f>
        <v>0</v>
      </c>
      <c r="AD583" s="2321"/>
      <c r="AE583" s="2321"/>
      <c r="AF583" s="2321"/>
      <c r="AG583" s="2321"/>
      <c r="AH583" s="2322"/>
      <c r="AN583" s="439"/>
      <c r="AO583" s="46">
        <v>5</v>
      </c>
      <c r="AP583" s="2449">
        <f t="shared" ref="AP583:AP588" si="5">IF(OR(BE573&gt;=0.1,BE573=0),0,1)</f>
        <v>0</v>
      </c>
      <c r="AQ583" s="2450"/>
      <c r="AR583" s="2450"/>
      <c r="AS583" s="2450"/>
      <c r="AT583" s="2451"/>
      <c r="AX583" s="2422" t="s">
        <v>861</v>
      </c>
      <c r="AY583" s="2428"/>
      <c r="AZ583" s="2428"/>
      <c r="BA583" s="2428"/>
      <c r="BB583" s="2428"/>
      <c r="BC583" s="2428"/>
      <c r="BD583" s="2428"/>
      <c r="BE583" s="2428"/>
      <c r="BF583" s="2428"/>
      <c r="BG583" s="2428"/>
      <c r="BH583" s="2428"/>
      <c r="BI583" s="2428"/>
      <c r="BJ583" s="2428"/>
      <c r="BK583" s="2428"/>
      <c r="BL583" s="2428"/>
      <c r="BM583" s="2428"/>
      <c r="BN583" s="2428"/>
      <c r="BO583" s="2428"/>
      <c r="BP583" s="2428"/>
      <c r="BQ583" s="2423"/>
    </row>
    <row r="584" spans="2:96" s="46" customFormat="1" ht="12.75" customHeight="1">
      <c r="E584" s="2317">
        <v>16</v>
      </c>
      <c r="F584" s="2318"/>
      <c r="G584" s="2318"/>
      <c r="H584" s="2318"/>
      <c r="I584" s="2318"/>
      <c r="J584" s="2319"/>
      <c r="K584" s="2314">
        <v>30</v>
      </c>
      <c r="L584" s="2315"/>
      <c r="M584" s="2315"/>
      <c r="N584" s="2315"/>
      <c r="O584" s="2315"/>
      <c r="P584" s="2316"/>
      <c r="Q584" s="2328">
        <f t="shared" ref="Q584:Q591" si="6">IF(ISERROR(IF((((E584/$BJ$530)*100)&gt;100),"EXCESSIVE VALUE",(E584/$BJ$530)*100)),0,IF((((E584/$BJ$530)*100)&gt;100),"EXCESSIVE VALUE",(E584/$BJ$530)*100))</f>
        <v>32.653061224489797</v>
      </c>
      <c r="R584" s="2329"/>
      <c r="S584" s="2329"/>
      <c r="T584" s="2329"/>
      <c r="U584" s="2329"/>
      <c r="V584" s="2330"/>
      <c r="W584" s="2320">
        <f>IF(FLOOR(Q584,5)&gt;80,80,FLOOR(Q584,5))</f>
        <v>30</v>
      </c>
      <c r="X584" s="2321"/>
      <c r="Y584" s="2321"/>
      <c r="Z584" s="2321"/>
      <c r="AA584" s="2321"/>
      <c r="AB584" s="2322"/>
      <c r="AC584" s="2320">
        <f t="shared" si="4"/>
        <v>45</v>
      </c>
      <c r="AD584" s="2321"/>
      <c r="AE584" s="2321"/>
      <c r="AF584" s="2321"/>
      <c r="AG584" s="2321"/>
      <c r="AH584" s="2322"/>
      <c r="AN584" s="439"/>
      <c r="AO584" s="46">
        <v>4</v>
      </c>
      <c r="AP584" s="2449">
        <f t="shared" si="5"/>
        <v>0</v>
      </c>
      <c r="AQ584" s="2450"/>
      <c r="AR584" s="2450"/>
      <c r="AS584" s="2450"/>
      <c r="AT584" s="2451"/>
      <c r="AX584" s="2447" t="s">
        <v>677</v>
      </c>
      <c r="AY584" s="2448"/>
      <c r="AZ584" s="1806" t="s">
        <v>677</v>
      </c>
      <c r="BA584" s="1807"/>
      <c r="BB584" s="2447" t="s">
        <v>291</v>
      </c>
      <c r="BC584" s="2448"/>
      <c r="BD584" s="2437" t="s">
        <v>291</v>
      </c>
      <c r="BE584" s="2439"/>
      <c r="BF584" s="2447" t="s">
        <v>290</v>
      </c>
      <c r="BG584" s="2448"/>
      <c r="BH584" s="2437" t="s">
        <v>290</v>
      </c>
      <c r="BI584" s="2439"/>
      <c r="BJ584" s="2447" t="s">
        <v>289</v>
      </c>
      <c r="BK584" s="2448"/>
      <c r="BL584" s="2437" t="s">
        <v>289</v>
      </c>
      <c r="BM584" s="2439"/>
      <c r="BN584" s="2447" t="s">
        <v>676</v>
      </c>
      <c r="BO584" s="2448"/>
      <c r="BP584" s="2437" t="s">
        <v>676</v>
      </c>
      <c r="BQ584" s="2439"/>
    </row>
    <row r="585" spans="2:96" s="46" customFormat="1" ht="12.75" customHeight="1">
      <c r="E585" s="2317"/>
      <c r="F585" s="2318"/>
      <c r="G585" s="2318"/>
      <c r="H585" s="2318"/>
      <c r="I585" s="2318"/>
      <c r="J585" s="2319"/>
      <c r="K585" s="2314">
        <v>35</v>
      </c>
      <c r="L585" s="2315"/>
      <c r="M585" s="2315"/>
      <c r="N585" s="2315"/>
      <c r="O585" s="2315"/>
      <c r="P585" s="2316"/>
      <c r="Q585" s="2328">
        <f t="shared" si="6"/>
        <v>0</v>
      </c>
      <c r="R585" s="2329"/>
      <c r="S585" s="2329"/>
      <c r="T585" s="2329"/>
      <c r="U585" s="2329"/>
      <c r="V585" s="2330"/>
      <c r="W585" s="2320">
        <f t="shared" ref="W585:W591" si="7">IF(FLOOR(Q585,5)&gt;80,80,FLOOR(Q585,5))</f>
        <v>0</v>
      </c>
      <c r="X585" s="2321"/>
      <c r="Y585" s="2321"/>
      <c r="Z585" s="2321"/>
      <c r="AA585" s="2321"/>
      <c r="AB585" s="2322"/>
      <c r="AC585" s="2320">
        <f t="shared" si="4"/>
        <v>0</v>
      </c>
      <c r="AD585" s="2321"/>
      <c r="AE585" s="2321"/>
      <c r="AF585" s="2321"/>
      <c r="AG585" s="2321"/>
      <c r="AH585" s="2322"/>
      <c r="AN585" s="439"/>
      <c r="AO585" s="137">
        <v>3</v>
      </c>
      <c r="AP585" s="2314">
        <f t="shared" si="5"/>
        <v>0</v>
      </c>
      <c r="AQ585" s="2315"/>
      <c r="AR585" s="2315"/>
      <c r="AS585" s="2315"/>
      <c r="AT585" s="2316"/>
      <c r="AX585" s="2447">
        <f>IF(AP535=1,1,0)</f>
        <v>0</v>
      </c>
      <c r="AY585" s="2448"/>
      <c r="AZ585" s="2422"/>
      <c r="BA585" s="2423"/>
      <c r="BB585" s="2445"/>
      <c r="BC585" s="2446"/>
      <c r="BD585" s="2437">
        <f>IF(AND(T608&gt;0,AP535&gt;0),1,0)</f>
        <v>0</v>
      </c>
      <c r="BE585" s="2439"/>
      <c r="BF585" s="2445"/>
      <c r="BG585" s="2446"/>
      <c r="BH585" s="2437">
        <f>IF(AND(T608&gt;0,AP535&gt;0),1,0)</f>
        <v>0</v>
      </c>
      <c r="BI585" s="2439"/>
      <c r="BJ585" s="2445"/>
      <c r="BK585" s="2446"/>
      <c r="BL585" s="2437">
        <f>IF(AND(T608&gt;0,AP535&gt;0),1,0)</f>
        <v>0</v>
      </c>
      <c r="BM585" s="2439"/>
      <c r="BN585" s="2445"/>
      <c r="BO585" s="2446"/>
      <c r="BP585" s="2437">
        <f>IF(AND(T608&gt;0,AP535&gt;0),1,0)</f>
        <v>0</v>
      </c>
      <c r="BQ585" s="2439"/>
    </row>
    <row r="586" spans="2:96" s="46" customFormat="1" ht="12.75" customHeight="1">
      <c r="E586" s="2317">
        <v>9</v>
      </c>
      <c r="F586" s="2318"/>
      <c r="G586" s="2318"/>
      <c r="H586" s="2318"/>
      <c r="I586" s="2318"/>
      <c r="J586" s="2319"/>
      <c r="K586" s="2314">
        <v>40</v>
      </c>
      <c r="L586" s="2315"/>
      <c r="M586" s="2315"/>
      <c r="N586" s="2315"/>
      <c r="O586" s="2315"/>
      <c r="P586" s="2316"/>
      <c r="Q586" s="2328">
        <f t="shared" si="6"/>
        <v>18.367346938775512</v>
      </c>
      <c r="R586" s="2329"/>
      <c r="S586" s="2329"/>
      <c r="T586" s="2329"/>
      <c r="U586" s="2329"/>
      <c r="V586" s="2330"/>
      <c r="W586" s="2320">
        <f t="shared" si="7"/>
        <v>15</v>
      </c>
      <c r="X586" s="2321"/>
      <c r="Y586" s="2321"/>
      <c r="Z586" s="2321"/>
      <c r="AA586" s="2321"/>
      <c r="AB586" s="2322"/>
      <c r="AC586" s="2320">
        <f t="shared" si="4"/>
        <v>15</v>
      </c>
      <c r="AD586" s="2321"/>
      <c r="AE586" s="2321"/>
      <c r="AF586" s="2321"/>
      <c r="AG586" s="2321"/>
      <c r="AH586" s="2322"/>
      <c r="AN586" s="439"/>
      <c r="AO586" s="46">
        <v>2</v>
      </c>
      <c r="AP586" s="2449">
        <f t="shared" si="5"/>
        <v>0</v>
      </c>
      <c r="AQ586" s="2450"/>
      <c r="AR586" s="2450"/>
      <c r="AS586" s="2450"/>
      <c r="AT586" s="2451"/>
      <c r="AX586" s="2445"/>
      <c r="AY586" s="2446"/>
      <c r="AZ586" s="2422"/>
      <c r="BA586" s="2423"/>
      <c r="BB586" s="2447">
        <f>IF(AP536=1,1,0)</f>
        <v>0</v>
      </c>
      <c r="BC586" s="2448"/>
      <c r="BD586" s="2422"/>
      <c r="BE586" s="2423"/>
      <c r="BF586" s="2445"/>
      <c r="BG586" s="2446"/>
      <c r="BH586" s="2437">
        <f>IF(AND(T609&gt;0,AP536&gt;0),1,0)</f>
        <v>0</v>
      </c>
      <c r="BI586" s="2439"/>
      <c r="BJ586" s="2445"/>
      <c r="BK586" s="2446"/>
      <c r="BL586" s="2437">
        <f>IF(AND(T609&gt;0,AP536&gt;0),1,0)</f>
        <v>0</v>
      </c>
      <c r="BM586" s="2439"/>
      <c r="BN586" s="2445"/>
      <c r="BO586" s="2446"/>
      <c r="BP586" s="2437">
        <f>IF(AND(T609&gt;0,AP536&gt;0),1,0)</f>
        <v>0</v>
      </c>
      <c r="BQ586" s="2439"/>
    </row>
    <row r="587" spans="2:96" s="46" customFormat="1" ht="12.75" customHeight="1">
      <c r="E587" s="2317"/>
      <c r="F587" s="2318"/>
      <c r="G587" s="2318"/>
      <c r="H587" s="2318"/>
      <c r="I587" s="2318"/>
      <c r="J587" s="2319"/>
      <c r="K587" s="2314">
        <v>45</v>
      </c>
      <c r="L587" s="2315"/>
      <c r="M587" s="2315"/>
      <c r="N587" s="2315"/>
      <c r="O587" s="2315"/>
      <c r="P587" s="2316"/>
      <c r="Q587" s="2328">
        <f t="shared" si="6"/>
        <v>0</v>
      </c>
      <c r="R587" s="2329"/>
      <c r="S587" s="2329"/>
      <c r="T587" s="2329"/>
      <c r="U587" s="2329"/>
      <c r="V587" s="2330"/>
      <c r="W587" s="2320">
        <f>IF(FLOOR(Q587,5)&gt;65,65,FLOOR(Q587,5))</f>
        <v>0</v>
      </c>
      <c r="X587" s="2321"/>
      <c r="Y587" s="2321"/>
      <c r="Z587" s="2321"/>
      <c r="AA587" s="2321"/>
      <c r="AB587" s="2322"/>
      <c r="AC587" s="2320">
        <f t="shared" si="4"/>
        <v>0</v>
      </c>
      <c r="AD587" s="2321"/>
      <c r="AE587" s="2321"/>
      <c r="AF587" s="2321"/>
      <c r="AG587" s="2321"/>
      <c r="AH587" s="2322"/>
      <c r="AN587" s="439"/>
      <c r="AO587" s="46">
        <v>1</v>
      </c>
      <c r="AP587" s="2449">
        <f t="shared" si="5"/>
        <v>0</v>
      </c>
      <c r="AQ587" s="2450"/>
      <c r="AR587" s="2450"/>
      <c r="AS587" s="2450"/>
      <c r="AT587" s="2451"/>
      <c r="AX587" s="2445"/>
      <c r="AY587" s="2446"/>
      <c r="AZ587" s="2422"/>
      <c r="BA587" s="2423"/>
      <c r="BB587" s="2445"/>
      <c r="BC587" s="2446"/>
      <c r="BD587" s="2422"/>
      <c r="BE587" s="2423"/>
      <c r="BF587" s="2447">
        <f>IF(AP537=1,1,0)</f>
        <v>0</v>
      </c>
      <c r="BG587" s="2448"/>
      <c r="BH587" s="2422"/>
      <c r="BI587" s="2423"/>
      <c r="BJ587" s="2445"/>
      <c r="BK587" s="2446"/>
      <c r="BL587" s="2437">
        <f>IF(AND(T610&gt;0,AP537&gt;0),1,0)</f>
        <v>1</v>
      </c>
      <c r="BM587" s="2439"/>
      <c r="BN587" s="2445"/>
      <c r="BO587" s="2446"/>
      <c r="BP587" s="2437">
        <f>IF(AND(T610&gt;0,AP537&gt;0),1,0)</f>
        <v>1</v>
      </c>
      <c r="BQ587" s="2439"/>
    </row>
    <row r="588" spans="2:96" s="46" customFormat="1" ht="12.75" customHeight="1">
      <c r="E588" s="2317">
        <v>19</v>
      </c>
      <c r="F588" s="2318"/>
      <c r="G588" s="2318"/>
      <c r="H588" s="2318"/>
      <c r="I588" s="2318"/>
      <c r="J588" s="2319"/>
      <c r="K588" s="2314">
        <v>50</v>
      </c>
      <c r="L588" s="2315"/>
      <c r="M588" s="2315"/>
      <c r="N588" s="2315"/>
      <c r="O588" s="2315"/>
      <c r="P588" s="2316"/>
      <c r="Q588" s="2328">
        <f t="shared" si="6"/>
        <v>38.775510204081634</v>
      </c>
      <c r="R588" s="2329"/>
      <c r="S588" s="2329"/>
      <c r="T588" s="2329"/>
      <c r="U588" s="2329"/>
      <c r="V588" s="2330"/>
      <c r="W588" s="2320">
        <f>IF(FLOOR(Q588,5)&gt;40,40,FLOOR(Q588,5))</f>
        <v>35</v>
      </c>
      <c r="X588" s="2321"/>
      <c r="Y588" s="2321"/>
      <c r="Z588" s="2321"/>
      <c r="AA588" s="2321"/>
      <c r="AB588" s="2322"/>
      <c r="AC588" s="2320">
        <f t="shared" si="4"/>
        <v>17.5</v>
      </c>
      <c r="AD588" s="2321"/>
      <c r="AE588" s="2321"/>
      <c r="AF588" s="2321"/>
      <c r="AG588" s="2321"/>
      <c r="AH588" s="2322"/>
      <c r="AN588" s="439"/>
      <c r="AO588" s="46">
        <v>0</v>
      </c>
      <c r="AP588" s="2449">
        <f t="shared" si="5"/>
        <v>0</v>
      </c>
      <c r="AQ588" s="2450"/>
      <c r="AR588" s="2450"/>
      <c r="AS588" s="2450"/>
      <c r="AT588" s="2451"/>
      <c r="AX588" s="2445"/>
      <c r="AY588" s="2446"/>
      <c r="AZ588" s="2422"/>
      <c r="BA588" s="2423"/>
      <c r="BB588" s="2445"/>
      <c r="BC588" s="2446"/>
      <c r="BD588" s="2422"/>
      <c r="BE588" s="2423"/>
      <c r="BF588" s="2445"/>
      <c r="BG588" s="2446"/>
      <c r="BH588" s="2422"/>
      <c r="BI588" s="2423"/>
      <c r="BJ588" s="2447">
        <f>IF(AP538=1,1,0)</f>
        <v>0</v>
      </c>
      <c r="BK588" s="2448"/>
      <c r="BL588" s="2445"/>
      <c r="BM588" s="2446"/>
      <c r="BN588" s="2445"/>
      <c r="BO588" s="2446"/>
      <c r="BP588" s="2437">
        <f>IF(AND(T611&gt;0,AP538&gt;0),1,0)</f>
        <v>1</v>
      </c>
      <c r="BQ588" s="2439"/>
    </row>
    <row r="589" spans="2:96" s="46" customFormat="1" ht="12.75" customHeight="1">
      <c r="E589" s="2414"/>
      <c r="F589" s="2415"/>
      <c r="G589" s="2415"/>
      <c r="H589" s="2415"/>
      <c r="I589" s="2415"/>
      <c r="J589" s="2416"/>
      <c r="K589" s="2410">
        <f>IF(OR(Application!D211="Rural",Application!D211="Rural apportionment (Section 514)",Application!D211="Rural apportionment (Section 515)",Application!D211="Rural apportionment (HOME)",Application!D211="Rural (Native American apportionment)"),50,0)</f>
        <v>0</v>
      </c>
      <c r="L589" s="2411"/>
      <c r="M589" s="2412" t="s">
        <v>2026</v>
      </c>
      <c r="N589" s="2412"/>
      <c r="O589" s="2412"/>
      <c r="P589" s="2413"/>
      <c r="Q589" s="2328">
        <f t="shared" si="6"/>
        <v>0</v>
      </c>
      <c r="R589" s="2329"/>
      <c r="S589" s="2329"/>
      <c r="T589" s="2329"/>
      <c r="U589" s="2329"/>
      <c r="V589" s="2330"/>
      <c r="W589" s="2320">
        <f>IF(FLOOR(Q589,5)&gt;50,50,FLOOR(Q589,5))</f>
        <v>0</v>
      </c>
      <c r="X589" s="2321"/>
      <c r="Y589" s="2321"/>
      <c r="Z589" s="2321"/>
      <c r="AA589" s="2321"/>
      <c r="AB589" s="2322"/>
      <c r="AC589" s="2320">
        <f>IFERROR(IF(W589&gt;0,INDEX($AT$509:$BA$523,MATCH(W589,$AS$509:$AS$523,0),MATCH(K589,$AT$508:$BA$508,0)),0),0)</f>
        <v>0</v>
      </c>
      <c r="AD589" s="2321"/>
      <c r="AE589" s="2321"/>
      <c r="AF589" s="2321"/>
      <c r="AG589" s="2321"/>
      <c r="AH589" s="2322"/>
      <c r="AN589" s="439"/>
      <c r="AP589" s="2449"/>
      <c r="AQ589" s="2450"/>
      <c r="AR589" s="2450"/>
      <c r="AS589" s="2450"/>
      <c r="AT589" s="2451"/>
      <c r="AX589" s="2445"/>
      <c r="AY589" s="2446"/>
      <c r="AZ589" s="2422"/>
      <c r="BA589" s="2423"/>
      <c r="BB589" s="2445"/>
      <c r="BC589" s="2446"/>
      <c r="BD589" s="2422"/>
      <c r="BE589" s="2423"/>
      <c r="BF589" s="2445"/>
      <c r="BG589" s="2446"/>
      <c r="BH589" s="2422"/>
      <c r="BI589" s="2423"/>
      <c r="BJ589" s="2445"/>
      <c r="BK589" s="2446"/>
      <c r="BL589" s="2445"/>
      <c r="BM589" s="2446"/>
      <c r="BN589" s="2447">
        <f>IF(AP539=1,1,0)</f>
        <v>1</v>
      </c>
      <c r="BO589" s="2448"/>
      <c r="BP589" s="2422"/>
      <c r="BQ589" s="2423"/>
    </row>
    <row r="590" spans="2:96" s="46" customFormat="1" ht="12.75" customHeight="1">
      <c r="E590" s="2414"/>
      <c r="F590" s="2415"/>
      <c r="G590" s="2415"/>
      <c r="H590" s="2415"/>
      <c r="I590" s="2415"/>
      <c r="J590" s="2416"/>
      <c r="K590" s="2410">
        <f>IF(OR(Application!D211="Rural",Application!D211="Rural apportionment (Section 514)",Application!D211="Rural apportionment (Section 515)",Application!D211="Rural apportionment (HOME)",Application!D211="Rural (Native American apportionment)"),55,0)</f>
        <v>0</v>
      </c>
      <c r="L590" s="2411"/>
      <c r="M590" s="2412" t="s">
        <v>2026</v>
      </c>
      <c r="N590" s="2412"/>
      <c r="O590" s="2412"/>
      <c r="P590" s="2413"/>
      <c r="Q590" s="2328">
        <f t="shared" si="6"/>
        <v>0</v>
      </c>
      <c r="R590" s="2329"/>
      <c r="S590" s="2329"/>
      <c r="T590" s="2329"/>
      <c r="U590" s="2329"/>
      <c r="V590" s="2330"/>
      <c r="W590" s="2320">
        <f>IF(FLOOR(Q590,5)&gt;40,40,FLOOR(Q590,5))</f>
        <v>0</v>
      </c>
      <c r="X590" s="2321"/>
      <c r="Y590" s="2321"/>
      <c r="Z590" s="2321"/>
      <c r="AA590" s="2321"/>
      <c r="AB590" s="2322"/>
      <c r="AC590" s="2320">
        <f>IFERROR(IF(W590&gt;0,INDEX($AT$509:$BA$523,MATCH(W590,$AS$509:$AS$523,0),MATCH(K590,$AT$508:$BA$508,0)),0),0)</f>
        <v>0</v>
      </c>
      <c r="AD590" s="2321"/>
      <c r="AE590" s="2321"/>
      <c r="AF590" s="2321"/>
      <c r="AG590" s="2321"/>
      <c r="AH590" s="2322"/>
      <c r="AN590" s="439"/>
      <c r="AX590" s="2447">
        <f>SUM(AX585:AY589)</f>
        <v>0</v>
      </c>
      <c r="AY590" s="2448"/>
      <c r="AZ590" s="2437">
        <f>SUM(AZ586:BA589)</f>
        <v>0</v>
      </c>
      <c r="BA590" s="2439"/>
      <c r="BB590" s="2447">
        <f>SUM(BB586:BC589)</f>
        <v>0</v>
      </c>
      <c r="BC590" s="2448"/>
      <c r="BD590" s="2437">
        <f>SUM(BD585:BE589)</f>
        <v>0</v>
      </c>
      <c r="BE590" s="2439"/>
      <c r="BF590" s="2447">
        <f>SUM(BF587:BG589)</f>
        <v>0</v>
      </c>
      <c r="BG590" s="2448"/>
      <c r="BH590" s="2437">
        <f>SUM(BH585:BI589)</f>
        <v>0</v>
      </c>
      <c r="BI590" s="2439"/>
      <c r="BJ590" s="2447">
        <f>SUM(BJ585:BK589)</f>
        <v>0</v>
      </c>
      <c r="BK590" s="2448"/>
      <c r="BL590" s="2437">
        <f>SUM(BL585:BM589)</f>
        <v>1</v>
      </c>
      <c r="BM590" s="2439"/>
      <c r="BN590" s="2447">
        <f>SUM(BN585:BO589)</f>
        <v>1</v>
      </c>
      <c r="BO590" s="2448"/>
      <c r="BP590" s="2437">
        <f>SUM(BP585:BQ589)</f>
        <v>2</v>
      </c>
      <c r="BQ590" s="2439"/>
    </row>
    <row r="591" spans="2:96" s="46" customFormat="1" ht="12.75" customHeight="1">
      <c r="E591" s="2317">
        <v>5</v>
      </c>
      <c r="F591" s="2318"/>
      <c r="G591" s="2318"/>
      <c r="H591" s="2318"/>
      <c r="I591" s="2318"/>
      <c r="J591" s="2319"/>
      <c r="K591" s="2314" t="s">
        <v>2027</v>
      </c>
      <c r="L591" s="2315"/>
      <c r="M591" s="2315"/>
      <c r="N591" s="2315"/>
      <c r="O591" s="2315"/>
      <c r="P591" s="2316"/>
      <c r="Q591" s="2328">
        <f t="shared" si="6"/>
        <v>10.204081632653061</v>
      </c>
      <c r="R591" s="2329"/>
      <c r="S591" s="2329"/>
      <c r="T591" s="2329"/>
      <c r="U591" s="2329"/>
      <c r="V591" s="2330"/>
      <c r="W591" s="2320">
        <f t="shared" si="7"/>
        <v>10</v>
      </c>
      <c r="X591" s="2321"/>
      <c r="Y591" s="2321"/>
      <c r="Z591" s="2321"/>
      <c r="AA591" s="2321"/>
      <c r="AB591" s="2322"/>
      <c r="AC591" s="2320">
        <v>0</v>
      </c>
      <c r="AD591" s="2321"/>
      <c r="AE591" s="2321"/>
      <c r="AF591" s="2321"/>
      <c r="AG591" s="2321"/>
      <c r="AH591" s="2322"/>
      <c r="AN591" s="439"/>
      <c r="AX591" s="2442">
        <f>IF(AND(AX590=1,AZ590&gt;1),1,0)</f>
        <v>0</v>
      </c>
      <c r="AY591" s="2443"/>
      <c r="AZ591" s="2443"/>
      <c r="BA591" s="2444"/>
      <c r="BB591" s="2442">
        <f>IF(AND(BB590=1,BD590&gt;=1),1,0)</f>
        <v>0</v>
      </c>
      <c r="BC591" s="2443"/>
      <c r="BD591" s="2443"/>
      <c r="BE591" s="2444"/>
      <c r="BF591" s="2442">
        <f>IF(AND(BF590=1,BH590&gt;=1),1,0)</f>
        <v>0</v>
      </c>
      <c r="BG591" s="2443"/>
      <c r="BH591" s="2443"/>
      <c r="BI591" s="2444"/>
      <c r="BJ591" s="2442">
        <f>IF(AND(BJ590=1,BL590&gt;=1),1,0)</f>
        <v>0</v>
      </c>
      <c r="BK591" s="2443"/>
      <c r="BL591" s="2443"/>
      <c r="BM591" s="2444"/>
      <c r="BN591" s="2442">
        <f>IF(AND(BN590=1,BP590&gt;=1),1,0)</f>
        <v>1</v>
      </c>
      <c r="BO591" s="2443"/>
      <c r="BP591" s="2443"/>
      <c r="BQ591" s="2444"/>
    </row>
    <row r="592" spans="2:96" s="46" customFormat="1" ht="12.75" customHeight="1">
      <c r="E592" s="2557">
        <f>SUM(E583:J591)</f>
        <v>49</v>
      </c>
      <c r="F592" s="2558"/>
      <c r="G592" s="2558"/>
      <c r="H592" s="2558"/>
      <c r="I592" s="2558"/>
      <c r="J592" s="2559"/>
      <c r="K592" s="260"/>
      <c r="L592" s="260"/>
      <c r="M592" s="260"/>
      <c r="N592" s="260"/>
      <c r="O592" s="260"/>
      <c r="P592" s="260"/>
      <c r="Q592" s="260"/>
      <c r="R592" s="260"/>
      <c r="S592" s="260"/>
      <c r="T592" s="260"/>
      <c r="U592" s="254"/>
      <c r="V592" s="254"/>
      <c r="W592" s="254"/>
      <c r="X592" s="254"/>
      <c r="Y592" s="254"/>
      <c r="Z592" s="260"/>
      <c r="AA592" s="254"/>
      <c r="AB592" s="100" t="s">
        <v>666</v>
      </c>
      <c r="AC592" s="2554">
        <f>IF(SUM(AC583:AH591)&gt;0,SUM(AC583:AH591),0)</f>
        <v>77.5</v>
      </c>
      <c r="AD592" s="2555"/>
      <c r="AE592" s="2555"/>
      <c r="AF592" s="2555"/>
      <c r="AG592" s="2555"/>
      <c r="AH592" s="2556"/>
      <c r="AK592" s="8"/>
      <c r="AL592" s="8"/>
      <c r="AM592" s="261"/>
      <c r="AN592" s="439"/>
      <c r="AX592" s="16"/>
      <c r="AY592" s="16"/>
      <c r="AZ592" s="16"/>
      <c r="BA592" s="16"/>
      <c r="BB592" s="16"/>
      <c r="BC592" s="16"/>
      <c r="BD592" s="16"/>
      <c r="BE592" s="16"/>
      <c r="BF592" s="16"/>
      <c r="BG592" s="16"/>
      <c r="BH592" s="16"/>
      <c r="BI592" s="240" t="s">
        <v>671</v>
      </c>
      <c r="BJ592" s="2442">
        <f>AX591+BB591+BF591+BJ591+BN591</f>
        <v>1</v>
      </c>
      <c r="BK592" s="2443"/>
      <c r="BL592" s="2443"/>
      <c r="BM592" s="244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35" t="s">
        <v>113</v>
      </c>
      <c r="AH595" s="2335"/>
      <c r="AI595" s="2335"/>
      <c r="AJ595" s="2335"/>
      <c r="AK595" s="8"/>
      <c r="AL595" s="8"/>
      <c r="AM595" s="8"/>
      <c r="AN595" s="439"/>
    </row>
    <row r="596" spans="1:69" s="46" customFormat="1" ht="12.75" customHeight="1">
      <c r="B596" s="2547" t="s">
        <v>2003</v>
      </c>
      <c r="C596" s="2547"/>
      <c r="D596" s="2547"/>
      <c r="E596" s="2547"/>
      <c r="F596" s="2547"/>
      <c r="G596" s="2547"/>
      <c r="H596" s="2547"/>
      <c r="I596" s="2547"/>
      <c r="J596" s="2547"/>
      <c r="K596" s="2547"/>
      <c r="L596" s="2547"/>
      <c r="M596" s="2547"/>
      <c r="N596" s="2547"/>
      <c r="O596" s="2547"/>
      <c r="P596" s="2547"/>
      <c r="Q596" s="2547"/>
      <c r="R596" s="2547"/>
      <c r="S596" s="2547"/>
      <c r="T596" s="2547"/>
      <c r="U596" s="2547"/>
      <c r="V596" s="2547"/>
      <c r="W596" s="2547"/>
      <c r="X596" s="2547"/>
      <c r="Y596" s="2547"/>
      <c r="Z596" s="2547"/>
      <c r="AA596" s="2547"/>
      <c r="AB596" s="2547"/>
      <c r="AC596" s="2547"/>
      <c r="AD596" s="2547"/>
      <c r="AE596" s="2547"/>
      <c r="AF596" s="2547"/>
      <c r="AG596" s="2547"/>
      <c r="AH596" s="2547"/>
      <c r="AI596" s="65"/>
      <c r="AJ596" s="65"/>
      <c r="AK596" s="16"/>
      <c r="AL596" s="16"/>
      <c r="AM596" s="16"/>
      <c r="AN596" s="439"/>
    </row>
    <row r="597" spans="1:69" s="46" customFormat="1" ht="12.75" customHeight="1">
      <c r="A597" s="65"/>
      <c r="B597" s="2547"/>
      <c r="C597" s="2547"/>
      <c r="D597" s="2547"/>
      <c r="E597" s="2547"/>
      <c r="F597" s="2547"/>
      <c r="G597" s="2547"/>
      <c r="H597" s="2547"/>
      <c r="I597" s="2547"/>
      <c r="J597" s="2547"/>
      <c r="K597" s="2547"/>
      <c r="L597" s="2547"/>
      <c r="M597" s="2547"/>
      <c r="N597" s="2547"/>
      <c r="O597" s="2547"/>
      <c r="P597" s="2547"/>
      <c r="Q597" s="2547"/>
      <c r="R597" s="2547"/>
      <c r="S597" s="2547"/>
      <c r="T597" s="2547"/>
      <c r="U597" s="2547"/>
      <c r="V597" s="2547"/>
      <c r="W597" s="2547"/>
      <c r="X597" s="2547"/>
      <c r="Y597" s="2547"/>
      <c r="Z597" s="2547"/>
      <c r="AA597" s="2547"/>
      <c r="AB597" s="2547"/>
      <c r="AC597" s="2547"/>
      <c r="AD597" s="2547"/>
      <c r="AE597" s="2547"/>
      <c r="AF597" s="2547"/>
      <c r="AG597" s="2547"/>
      <c r="AH597" s="2547"/>
      <c r="AI597" s="65"/>
      <c r="AJ597" s="65"/>
      <c r="AK597" s="16"/>
      <c r="AL597" s="16"/>
      <c r="AM597" s="16"/>
      <c r="AN597" s="439"/>
    </row>
    <row r="598" spans="1:69" s="46" customFormat="1" ht="12.75" customHeight="1">
      <c r="A598" s="65"/>
      <c r="B598" s="2547"/>
      <c r="C598" s="2547"/>
      <c r="D598" s="2547"/>
      <c r="E598" s="2547"/>
      <c r="F598" s="2547"/>
      <c r="G598" s="2547"/>
      <c r="H598" s="2547"/>
      <c r="I598" s="2547"/>
      <c r="J598" s="2547"/>
      <c r="K598" s="2547"/>
      <c r="L598" s="2547"/>
      <c r="M598" s="2547"/>
      <c r="N598" s="2547"/>
      <c r="O598" s="2547"/>
      <c r="P598" s="2547"/>
      <c r="Q598" s="2547"/>
      <c r="R598" s="2547"/>
      <c r="S598" s="2547"/>
      <c r="T598" s="2547"/>
      <c r="U598" s="2547"/>
      <c r="V598" s="2547"/>
      <c r="W598" s="2547"/>
      <c r="X598" s="2547"/>
      <c r="Y598" s="2547"/>
      <c r="Z598" s="2547"/>
      <c r="AA598" s="2547"/>
      <c r="AB598" s="2547"/>
      <c r="AC598" s="2547"/>
      <c r="AD598" s="2547"/>
      <c r="AE598" s="2547"/>
      <c r="AF598" s="2547"/>
      <c r="AG598" s="2547"/>
      <c r="AH598" s="2547"/>
      <c r="AI598" s="65"/>
      <c r="AJ598" s="65"/>
      <c r="AK598" s="16"/>
      <c r="AL598" s="16"/>
      <c r="AM598" s="16"/>
      <c r="AN598" s="439"/>
    </row>
    <row r="599" spans="1:69" s="46" customFormat="1" ht="12.75" customHeight="1">
      <c r="A599" s="65"/>
      <c r="B599" s="2547"/>
      <c r="C599" s="2547"/>
      <c r="D599" s="2547"/>
      <c r="E599" s="2547"/>
      <c r="F599" s="2547"/>
      <c r="G599" s="2547"/>
      <c r="H599" s="2547"/>
      <c r="I599" s="2547"/>
      <c r="J599" s="2547"/>
      <c r="K599" s="2547"/>
      <c r="L599" s="2547"/>
      <c r="M599" s="2547"/>
      <c r="N599" s="2547"/>
      <c r="O599" s="2547"/>
      <c r="P599" s="2547"/>
      <c r="Q599" s="2547"/>
      <c r="R599" s="2547"/>
      <c r="S599" s="2547"/>
      <c r="T599" s="2547"/>
      <c r="U599" s="2547"/>
      <c r="V599" s="2547"/>
      <c r="W599" s="2547"/>
      <c r="X599" s="2547"/>
      <c r="Y599" s="2547"/>
      <c r="Z599" s="2547"/>
      <c r="AA599" s="2547"/>
      <c r="AB599" s="2547"/>
      <c r="AC599" s="2547"/>
      <c r="AD599" s="2547"/>
      <c r="AE599" s="2547"/>
      <c r="AF599" s="2547"/>
      <c r="AG599" s="2547"/>
      <c r="AH599" s="2547"/>
      <c r="AI599" s="65"/>
      <c r="AJ599" s="65"/>
      <c r="AK599" s="16"/>
      <c r="AL599" s="16"/>
      <c r="AM599" s="16"/>
      <c r="AN599" s="439"/>
    </row>
    <row r="600" spans="1:69" s="46" customFormat="1" ht="12.75" customHeight="1">
      <c r="A600" s="65"/>
      <c r="B600" s="2547"/>
      <c r="C600" s="2547"/>
      <c r="D600" s="2547"/>
      <c r="E600" s="2547"/>
      <c r="F600" s="2547"/>
      <c r="G600" s="2547"/>
      <c r="H600" s="2547"/>
      <c r="I600" s="2547"/>
      <c r="J600" s="2547"/>
      <c r="K600" s="2547"/>
      <c r="L600" s="2547"/>
      <c r="M600" s="2547"/>
      <c r="N600" s="2547"/>
      <c r="O600" s="2547"/>
      <c r="P600" s="2547"/>
      <c r="Q600" s="2547"/>
      <c r="R600" s="2547"/>
      <c r="S600" s="2547"/>
      <c r="T600" s="2547"/>
      <c r="U600" s="2547"/>
      <c r="V600" s="2547"/>
      <c r="W600" s="2547"/>
      <c r="X600" s="2547"/>
      <c r="Y600" s="2547"/>
      <c r="Z600" s="2547"/>
      <c r="AA600" s="2547"/>
      <c r="AB600" s="2547"/>
      <c r="AC600" s="2547"/>
      <c r="AD600" s="2547"/>
      <c r="AE600" s="2547"/>
      <c r="AF600" s="2547"/>
      <c r="AG600" s="2547"/>
      <c r="AH600" s="2547"/>
      <c r="AI600" s="65"/>
      <c r="AJ600" s="65"/>
      <c r="AK600" s="16"/>
      <c r="AL600" s="16"/>
      <c r="AM600" s="16"/>
      <c r="AN600" s="439"/>
    </row>
    <row r="601" spans="1:69" s="46" customFormat="1" ht="12.75" customHeight="1">
      <c r="A601" s="65"/>
      <c r="B601" s="2547"/>
      <c r="C601" s="2547"/>
      <c r="D601" s="2547"/>
      <c r="E601" s="2547"/>
      <c r="F601" s="2547"/>
      <c r="G601" s="2547"/>
      <c r="H601" s="2547"/>
      <c r="I601" s="2547"/>
      <c r="J601" s="2547"/>
      <c r="K601" s="2547"/>
      <c r="L601" s="2547"/>
      <c r="M601" s="2547"/>
      <c r="N601" s="2547"/>
      <c r="O601" s="2547"/>
      <c r="P601" s="2547"/>
      <c r="Q601" s="2547"/>
      <c r="R601" s="2547"/>
      <c r="S601" s="2547"/>
      <c r="T601" s="2547"/>
      <c r="U601" s="2547"/>
      <c r="V601" s="2547"/>
      <c r="W601" s="2547"/>
      <c r="X601" s="2547"/>
      <c r="Y601" s="2547"/>
      <c r="Z601" s="2547"/>
      <c r="AA601" s="2547"/>
      <c r="AB601" s="2547"/>
      <c r="AC601" s="2547"/>
      <c r="AD601" s="2547"/>
      <c r="AE601" s="2547"/>
      <c r="AF601" s="2547"/>
      <c r="AG601" s="2547"/>
      <c r="AH601" s="2547"/>
      <c r="AI601" s="65"/>
      <c r="AJ601" s="65"/>
      <c r="AK601" s="65"/>
      <c r="AL601" s="65"/>
      <c r="AM601" s="65"/>
      <c r="AN601" s="1082"/>
    </row>
    <row r="602" spans="1:69">
      <c r="E602" s="245"/>
      <c r="BD602" s="65"/>
      <c r="BE602" s="65"/>
      <c r="BF602" s="65"/>
      <c r="BG602" s="65"/>
      <c r="BH602" s="65"/>
    </row>
    <row r="603" spans="1:69" ht="12.75" customHeight="1">
      <c r="J603" s="2498" t="s">
        <v>862</v>
      </c>
      <c r="K603" s="2499"/>
      <c r="L603" s="2499"/>
      <c r="M603" s="2499"/>
      <c r="N603" s="2500"/>
      <c r="O603" s="2544" t="s">
        <v>1642</v>
      </c>
      <c r="P603" s="2545"/>
      <c r="Q603" s="2545"/>
      <c r="R603" s="2545"/>
      <c r="S603" s="2546"/>
      <c r="T603" s="2544" t="s">
        <v>1936</v>
      </c>
      <c r="U603" s="2545"/>
      <c r="V603" s="2545"/>
      <c r="W603" s="2545"/>
      <c r="X603" s="2546"/>
      <c r="Y603" s="2544" t="s">
        <v>1643</v>
      </c>
      <c r="Z603" s="2545"/>
      <c r="AA603" s="2545"/>
      <c r="AB603" s="2545"/>
      <c r="AC603" s="2546"/>
      <c r="AF603" s="16"/>
      <c r="AG603" s="16"/>
      <c r="AH603" s="16"/>
      <c r="AI603" s="16"/>
      <c r="AJ603" s="16"/>
    </row>
    <row r="604" spans="1:69" ht="12.75" customHeight="1">
      <c r="D604" s="16"/>
      <c r="E604" s="16"/>
      <c r="F604" s="16"/>
      <c r="G604" s="16"/>
      <c r="H604" s="16"/>
      <c r="I604" s="16"/>
      <c r="J604" s="2501"/>
      <c r="K604" s="2502"/>
      <c r="L604" s="2502"/>
      <c r="M604" s="2502"/>
      <c r="N604" s="2503"/>
      <c r="O604" s="2363"/>
      <c r="P604" s="2364"/>
      <c r="Q604" s="2364"/>
      <c r="R604" s="2364"/>
      <c r="S604" s="2365"/>
      <c r="T604" s="2363"/>
      <c r="U604" s="2364"/>
      <c r="V604" s="2364"/>
      <c r="W604" s="2364"/>
      <c r="X604" s="2365"/>
      <c r="Y604" s="2363"/>
      <c r="Z604" s="2364"/>
      <c r="AA604" s="2364"/>
      <c r="AB604" s="2364"/>
      <c r="AC604" s="2365"/>
      <c r="AF604" s="16"/>
      <c r="AG604" s="16"/>
      <c r="AH604" s="16"/>
      <c r="AI604" s="16"/>
      <c r="AJ604" s="16"/>
    </row>
    <row r="605" spans="1:69">
      <c r="I605" s="16"/>
      <c r="J605" s="2501"/>
      <c r="K605" s="2502"/>
      <c r="L605" s="2502"/>
      <c r="M605" s="2502"/>
      <c r="N605" s="2503"/>
      <c r="O605" s="2363"/>
      <c r="P605" s="2364"/>
      <c r="Q605" s="2364"/>
      <c r="R605" s="2364"/>
      <c r="S605" s="2365"/>
      <c r="T605" s="2363"/>
      <c r="U605" s="2364"/>
      <c r="V605" s="2364"/>
      <c r="W605" s="2364"/>
      <c r="X605" s="2365"/>
      <c r="Y605" s="2363"/>
      <c r="Z605" s="2364"/>
      <c r="AA605" s="2364"/>
      <c r="AB605" s="2364"/>
      <c r="AC605" s="2365"/>
      <c r="AD605" s="42"/>
      <c r="AF605" s="16"/>
      <c r="AG605" s="16"/>
      <c r="AH605" s="16"/>
      <c r="AI605" s="16"/>
      <c r="AJ605" s="16"/>
    </row>
    <row r="606" spans="1:69">
      <c r="D606" s="16"/>
      <c r="E606" s="16"/>
      <c r="F606" s="16"/>
      <c r="G606" s="16"/>
      <c r="H606" s="16"/>
      <c r="I606" s="16"/>
      <c r="J606" s="2501"/>
      <c r="K606" s="2502"/>
      <c r="L606" s="2502"/>
      <c r="M606" s="2502"/>
      <c r="N606" s="2503"/>
      <c r="O606" s="2363"/>
      <c r="P606" s="2364"/>
      <c r="Q606" s="2364"/>
      <c r="R606" s="2364"/>
      <c r="S606" s="2365"/>
      <c r="T606" s="2363"/>
      <c r="U606" s="2364"/>
      <c r="V606" s="2364"/>
      <c r="W606" s="2364"/>
      <c r="X606" s="2365"/>
      <c r="Y606" s="2363"/>
      <c r="Z606" s="2364"/>
      <c r="AA606" s="2364"/>
      <c r="AB606" s="2364"/>
      <c r="AC606" s="2365"/>
      <c r="AD606" s="42"/>
      <c r="AF606" s="16"/>
      <c r="AG606" s="16"/>
      <c r="AH606" s="16"/>
      <c r="AI606" s="16"/>
      <c r="AJ606" s="16"/>
    </row>
    <row r="607" spans="1:69">
      <c r="D607" s="16"/>
      <c r="E607" s="16"/>
      <c r="F607" s="16"/>
      <c r="G607" s="16"/>
      <c r="H607" s="16"/>
      <c r="I607" s="16"/>
      <c r="J607" s="2397" t="s">
        <v>249</v>
      </c>
      <c r="K607" s="2398"/>
      <c r="L607" s="2398"/>
      <c r="M607" s="2398"/>
      <c r="N607" s="2399"/>
      <c r="O607" s="2314">
        <f>Application!CM627</f>
        <v>0</v>
      </c>
      <c r="P607" s="2315"/>
      <c r="Q607" s="2315"/>
      <c r="R607" s="2315"/>
      <c r="S607" s="2316"/>
      <c r="T607" s="2314">
        <f>Application!DR628</f>
        <v>0</v>
      </c>
      <c r="U607" s="2315"/>
      <c r="V607" s="2315"/>
      <c r="W607" s="2315"/>
      <c r="X607" s="2316"/>
      <c r="Y607" s="2400">
        <f t="shared" ref="Y607:Y612" si="8">IF(T607&gt;0,T607/O607,0)</f>
        <v>0</v>
      </c>
      <c r="Z607" s="2401"/>
      <c r="AA607" s="2401"/>
      <c r="AB607" s="2401"/>
      <c r="AC607" s="2402"/>
      <c r="AD607" s="42"/>
      <c r="AF607" s="16"/>
      <c r="AG607" s="16"/>
      <c r="AH607" s="16"/>
      <c r="AI607" s="16"/>
      <c r="AJ607" s="16"/>
    </row>
    <row r="608" spans="1:69">
      <c r="D608" s="16"/>
      <c r="E608" s="16"/>
      <c r="F608" s="16"/>
      <c r="G608" s="16"/>
      <c r="H608" s="16"/>
      <c r="I608" s="16"/>
      <c r="J608" s="2397" t="s">
        <v>36</v>
      </c>
      <c r="K608" s="2398"/>
      <c r="L608" s="2398"/>
      <c r="M608" s="2398"/>
      <c r="N608" s="2399"/>
      <c r="O608" s="2314">
        <f>Application!CH627</f>
        <v>0</v>
      </c>
      <c r="P608" s="2315"/>
      <c r="Q608" s="2315"/>
      <c r="R608" s="2315"/>
      <c r="S608" s="2316"/>
      <c r="T608" s="2314">
        <f>Application!DM628</f>
        <v>0</v>
      </c>
      <c r="U608" s="2315"/>
      <c r="V608" s="2315"/>
      <c r="W608" s="2315"/>
      <c r="X608" s="2316"/>
      <c r="Y608" s="2400">
        <f t="shared" si="8"/>
        <v>0</v>
      </c>
      <c r="Z608" s="2401"/>
      <c r="AA608" s="2401"/>
      <c r="AB608" s="2401"/>
      <c r="AC608" s="2402"/>
      <c r="AD608" s="42"/>
      <c r="AF608" s="16"/>
      <c r="AG608" s="16"/>
      <c r="AH608" s="16"/>
      <c r="AI608" s="16"/>
      <c r="AJ608" s="16"/>
    </row>
    <row r="609" spans="1:60">
      <c r="D609" s="16"/>
      <c r="E609" s="16"/>
      <c r="F609" s="16"/>
      <c r="G609" s="16"/>
      <c r="H609" s="16"/>
      <c r="I609" s="16"/>
      <c r="J609" s="2397" t="s">
        <v>291</v>
      </c>
      <c r="K609" s="2398"/>
      <c r="L609" s="2398"/>
      <c r="M609" s="2398"/>
      <c r="N609" s="2399"/>
      <c r="O609" s="2314">
        <f>Application!CC627</f>
        <v>0</v>
      </c>
      <c r="P609" s="2315"/>
      <c r="Q609" s="2315"/>
      <c r="R609" s="2315"/>
      <c r="S609" s="2316"/>
      <c r="T609" s="2314">
        <f>Application!DH628</f>
        <v>0</v>
      </c>
      <c r="U609" s="2315"/>
      <c r="V609" s="2315"/>
      <c r="W609" s="2315"/>
      <c r="X609" s="2316"/>
      <c r="Y609" s="2400">
        <f t="shared" si="8"/>
        <v>0</v>
      </c>
      <c r="Z609" s="2401"/>
      <c r="AA609" s="2401"/>
      <c r="AB609" s="2401"/>
      <c r="AC609" s="2402"/>
      <c r="AD609" s="16"/>
      <c r="AF609" s="16"/>
      <c r="AG609" s="16"/>
      <c r="AH609" s="16"/>
      <c r="AI609" s="16"/>
      <c r="AJ609" s="16"/>
      <c r="AN609" s="1098"/>
    </row>
    <row r="610" spans="1:60">
      <c r="D610" s="16"/>
      <c r="E610" s="16"/>
      <c r="F610" s="16"/>
      <c r="G610" s="16"/>
      <c r="H610" s="16"/>
      <c r="I610" s="16"/>
      <c r="J610" s="2397" t="s">
        <v>290</v>
      </c>
      <c r="K610" s="2398"/>
      <c r="L610" s="2398"/>
      <c r="M610" s="2398"/>
      <c r="N610" s="2399"/>
      <c r="O610" s="2314">
        <f>Application!BX627</f>
        <v>4</v>
      </c>
      <c r="P610" s="2315"/>
      <c r="Q610" s="2315"/>
      <c r="R610" s="2315"/>
      <c r="S610" s="2316"/>
      <c r="T610" s="2314">
        <f>Application!DC628</f>
        <v>1</v>
      </c>
      <c r="U610" s="2315"/>
      <c r="V610" s="2315"/>
      <c r="W610" s="2315"/>
      <c r="X610" s="2316"/>
      <c r="Y610" s="2400">
        <f t="shared" si="8"/>
        <v>0.25</v>
      </c>
      <c r="Z610" s="2401"/>
      <c r="AA610" s="2401"/>
      <c r="AB610" s="2401"/>
      <c r="AC610" s="2402"/>
      <c r="AD610" s="16"/>
      <c r="AF610" s="16"/>
      <c r="AG610" s="16"/>
      <c r="AH610" s="16"/>
      <c r="AI610" s="16"/>
      <c r="AJ610" s="16"/>
      <c r="AN610" s="1098"/>
      <c r="AO610" s="46"/>
      <c r="AP610" s="30"/>
      <c r="AQ610" s="30"/>
      <c r="AR610" s="30"/>
      <c r="AS610" s="30"/>
      <c r="AT610" s="30"/>
    </row>
    <row r="611" spans="1:60">
      <c r="D611" s="16"/>
      <c r="E611" s="16"/>
      <c r="F611" s="16"/>
      <c r="G611" s="16"/>
      <c r="H611" s="16"/>
      <c r="I611" s="16"/>
      <c r="J611" s="2397" t="s">
        <v>289</v>
      </c>
      <c r="K611" s="2398"/>
      <c r="L611" s="2398"/>
      <c r="M611" s="2398"/>
      <c r="N611" s="2399"/>
      <c r="O611" s="2314">
        <f>Application!BS627</f>
        <v>8</v>
      </c>
      <c r="P611" s="2315"/>
      <c r="Q611" s="2315"/>
      <c r="R611" s="2315"/>
      <c r="S611" s="2316"/>
      <c r="T611" s="2314">
        <f>Application!CX628</f>
        <v>1</v>
      </c>
      <c r="U611" s="2315"/>
      <c r="V611" s="2315"/>
      <c r="W611" s="2315"/>
      <c r="X611" s="2316"/>
      <c r="Y611" s="2400">
        <f t="shared" si="8"/>
        <v>0.125</v>
      </c>
      <c r="Z611" s="2401"/>
      <c r="AA611" s="2401"/>
      <c r="AB611" s="2401"/>
      <c r="AC611" s="2402"/>
      <c r="AD611" s="16"/>
      <c r="AF611" s="16"/>
      <c r="AG611" s="16"/>
      <c r="AH611" s="16"/>
      <c r="AI611" s="16"/>
      <c r="AJ611" s="16"/>
      <c r="AN611" s="1098"/>
      <c r="AQ611" s="30"/>
      <c r="AR611" s="30"/>
      <c r="AS611" s="30"/>
      <c r="AT611" s="30"/>
    </row>
    <row r="612" spans="1:60">
      <c r="D612" s="16"/>
      <c r="E612" s="16"/>
      <c r="F612" s="16"/>
      <c r="G612" s="16"/>
      <c r="H612" s="16"/>
      <c r="I612" s="16"/>
      <c r="J612" s="2397" t="s">
        <v>676</v>
      </c>
      <c r="K612" s="2398"/>
      <c r="L612" s="2398"/>
      <c r="M612" s="2398"/>
      <c r="N612" s="2399"/>
      <c r="O612" s="2314">
        <f>Application!BN627</f>
        <v>37</v>
      </c>
      <c r="P612" s="2315"/>
      <c r="Q612" s="2315"/>
      <c r="R612" s="2315"/>
      <c r="S612" s="2316"/>
      <c r="T612" s="2314">
        <f>Application!CS628</f>
        <v>14</v>
      </c>
      <c r="U612" s="2315"/>
      <c r="V612" s="2315"/>
      <c r="W612" s="2315"/>
      <c r="X612" s="2316"/>
      <c r="Y612" s="2400">
        <f t="shared" si="8"/>
        <v>0.3783783783783784</v>
      </c>
      <c r="Z612" s="2401"/>
      <c r="AA612" s="2401"/>
      <c r="AB612" s="2401"/>
      <c r="AC612" s="2402"/>
      <c r="AD612" s="16"/>
      <c r="AF612" s="16"/>
      <c r="AG612" s="16"/>
      <c r="AH612" s="16"/>
      <c r="AI612" s="16"/>
      <c r="AJ612" s="16"/>
      <c r="AN612" s="1098"/>
      <c r="AQ612" s="30"/>
      <c r="AR612" s="30"/>
      <c r="AS612" s="30"/>
      <c r="AT612" s="30"/>
    </row>
    <row r="613" spans="1:60">
      <c r="D613" s="16"/>
      <c r="E613" s="16"/>
      <c r="F613" s="16"/>
      <c r="G613" s="16"/>
      <c r="H613" s="16"/>
      <c r="I613" s="16"/>
      <c r="J613" s="2541" t="s">
        <v>953</v>
      </c>
      <c r="K613" s="2542"/>
      <c r="L613" s="2542"/>
      <c r="M613" s="2542"/>
      <c r="N613" s="2543"/>
      <c r="O613" s="2538">
        <f>SUM(O607:S612)</f>
        <v>49</v>
      </c>
      <c r="P613" s="2539"/>
      <c r="Q613" s="2539"/>
      <c r="R613" s="2539"/>
      <c r="S613" s="2540"/>
      <c r="T613" s="2538">
        <f>SUM(T607:X612)</f>
        <v>16</v>
      </c>
      <c r="U613" s="2539"/>
      <c r="V613" s="2539"/>
      <c r="W613" s="2539"/>
      <c r="X613" s="2540"/>
      <c r="Y613" s="2494" t="s">
        <v>257</v>
      </c>
      <c r="Z613" s="2495"/>
      <c r="AA613" s="2495"/>
      <c r="AB613" s="2495"/>
      <c r="AC613" s="2496"/>
      <c r="AD613" s="16"/>
      <c r="AF613" s="16"/>
      <c r="AG613" s="16"/>
      <c r="AH613" s="16"/>
      <c r="AI613" s="16"/>
      <c r="AJ613" s="16"/>
      <c r="AN613" s="109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8"/>
      <c r="AO614" s="66"/>
      <c r="AP614" s="30"/>
      <c r="AQ614" s="30"/>
      <c r="AR614" s="30"/>
      <c r="AS614" s="30"/>
      <c r="AT614" s="30"/>
    </row>
    <row r="615" spans="1:60">
      <c r="A615" s="15"/>
      <c r="E615" s="16"/>
      <c r="F615" s="16"/>
      <c r="G615" s="16"/>
      <c r="H615" s="16"/>
      <c r="I615" s="16"/>
      <c r="AG615" s="16"/>
      <c r="AN615" s="1098"/>
      <c r="AR615" s="30"/>
      <c r="AS615" s="30"/>
      <c r="AT615" s="30"/>
    </row>
    <row r="616" spans="1:60">
      <c r="A616" s="1799" t="s">
        <v>1646</v>
      </c>
      <c r="B616" s="1800"/>
      <c r="C616" s="1800"/>
      <c r="D616" s="1800"/>
      <c r="E616" s="1800"/>
      <c r="F616" s="1800"/>
      <c r="G616" s="1800"/>
      <c r="H616" s="1800"/>
      <c r="I616" s="1800"/>
      <c r="J616" s="1800"/>
      <c r="K616" s="1800"/>
      <c r="L616" s="1800"/>
      <c r="M616" s="1800"/>
      <c r="N616" s="1800"/>
      <c r="O616" s="1800"/>
      <c r="P616" s="1800"/>
      <c r="Q616" s="1800"/>
      <c r="R616" s="1800"/>
      <c r="S616" s="1800"/>
      <c r="T616" s="1800"/>
      <c r="U616" s="1800"/>
      <c r="V616" s="1800"/>
      <c r="W616" s="1800"/>
      <c r="X616" s="1800"/>
      <c r="Y616" s="1800"/>
      <c r="Z616" s="1800"/>
      <c r="AA616" s="1800"/>
      <c r="AB616" s="1800"/>
      <c r="AC616" s="1800"/>
      <c r="AD616" s="1800"/>
      <c r="AE616" s="1800"/>
      <c r="AF616" s="1800"/>
      <c r="AG616" s="1800"/>
      <c r="AH616" s="1800"/>
      <c r="AI616" s="1801"/>
      <c r="AJ616" s="2530">
        <v>2</v>
      </c>
      <c r="AK616" s="2531"/>
      <c r="AN616" s="109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8"/>
      <c r="BD617" s="65"/>
      <c r="BE617" s="65"/>
      <c r="BF617" s="65"/>
      <c r="BG617" s="65"/>
      <c r="BH617" s="65"/>
    </row>
    <row r="618" spans="1:60">
      <c r="A618" s="2358" t="s">
        <v>195</v>
      </c>
      <c r="B618" s="2358"/>
      <c r="C618" s="2358"/>
      <c r="D618" s="2358"/>
      <c r="E618" s="2358"/>
      <c r="F618" s="2358"/>
      <c r="G618" s="2358"/>
      <c r="H618" s="2358"/>
      <c r="I618" s="2358"/>
      <c r="J618" s="2358"/>
      <c r="K618" s="2358"/>
      <c r="L618" s="2358"/>
      <c r="M618" s="2358"/>
      <c r="N618" s="2358"/>
      <c r="O618" s="2358"/>
      <c r="P618" s="2358"/>
      <c r="Q618" s="2358"/>
      <c r="R618" s="2358"/>
      <c r="S618" s="2358"/>
      <c r="T618" s="2358"/>
      <c r="U618" s="2358"/>
      <c r="V618" s="2358"/>
      <c r="W618" s="2358"/>
      <c r="X618" s="2358"/>
      <c r="Y618" s="2358"/>
      <c r="Z618" s="2358"/>
      <c r="AA618" s="2358"/>
      <c r="AB618" s="2358"/>
      <c r="AC618" s="2358"/>
      <c r="AD618" s="2358"/>
      <c r="AE618" s="2358"/>
      <c r="AF618" s="2358"/>
      <c r="AG618" s="2358"/>
      <c r="AH618" s="2358"/>
      <c r="AI618" s="2358"/>
      <c r="AJ618" s="2358"/>
      <c r="AK618" s="2332">
        <f>IF($AC$592=0,0,$AC$592+$AJ$616)</f>
        <v>79.5</v>
      </c>
      <c r="AL618" s="2333"/>
      <c r="AM618" s="2334"/>
      <c r="AN618" s="109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8"/>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8"/>
      <c r="AO620" s="46"/>
      <c r="AR620" s="30"/>
      <c r="AS620" s="30"/>
      <c r="AT620" s="30"/>
    </row>
    <row r="621" spans="1:60" ht="13.7" customHeight="1">
      <c r="A621" s="26"/>
      <c r="AI621" s="27"/>
      <c r="AJ621" s="46"/>
      <c r="AK621" s="153"/>
      <c r="AL621" s="153"/>
      <c r="AM621" s="153"/>
      <c r="AN621" s="1098"/>
      <c r="AO621" s="46"/>
      <c r="AR621" s="30"/>
      <c r="AS621" s="30"/>
      <c r="AT621" s="30"/>
    </row>
    <row r="622" spans="1:60" ht="13.7" customHeight="1">
      <c r="A622" s="29"/>
      <c r="B622" s="2537" t="s">
        <v>1647</v>
      </c>
      <c r="C622" s="2537"/>
      <c r="D622" s="2537"/>
      <c r="E622" s="2537"/>
      <c r="F622" s="2537"/>
      <c r="G622" s="2537"/>
      <c r="H622" s="2537"/>
      <c r="I622" s="2537"/>
      <c r="J622" s="2537"/>
      <c r="K622" s="2537"/>
      <c r="L622" s="2537"/>
      <c r="M622" s="2537"/>
      <c r="N622" s="2537"/>
      <c r="O622" s="2537"/>
      <c r="P622" s="2537"/>
      <c r="Q622" s="2537"/>
      <c r="R622" s="2537"/>
      <c r="S622" s="2537"/>
      <c r="T622" s="2537"/>
      <c r="U622" s="2537"/>
      <c r="V622" s="2537"/>
      <c r="W622" s="2537"/>
      <c r="X622" s="2537"/>
      <c r="Y622" s="2537"/>
      <c r="Z622" s="2537"/>
      <c r="AA622" s="2537"/>
      <c r="AB622" s="2537"/>
      <c r="AC622" s="2537"/>
      <c r="AD622" s="2537"/>
      <c r="AE622" s="2537"/>
      <c r="AF622" s="2537"/>
      <c r="AG622" s="2537"/>
      <c r="AH622" s="2537"/>
      <c r="AI622" s="27"/>
      <c r="AJ622" s="46"/>
      <c r="AK622" s="153"/>
      <c r="AL622" s="153"/>
      <c r="AM622" s="153"/>
      <c r="AN622" s="1098"/>
      <c r="AO622" s="66"/>
      <c r="AP622" s="30"/>
      <c r="AQ622" s="30"/>
      <c r="AR622" s="30"/>
      <c r="AS622" s="30"/>
      <c r="AT622" s="30"/>
    </row>
    <row r="623" spans="1:60" ht="22.7" customHeight="1">
      <c r="A623" s="28"/>
      <c r="B623" s="2537"/>
      <c r="C623" s="2537"/>
      <c r="D623" s="2537"/>
      <c r="E623" s="2537"/>
      <c r="F623" s="2537"/>
      <c r="G623" s="2537"/>
      <c r="H623" s="2537"/>
      <c r="I623" s="2537"/>
      <c r="J623" s="2537"/>
      <c r="K623" s="2537"/>
      <c r="L623" s="2537"/>
      <c r="M623" s="2537"/>
      <c r="N623" s="2537"/>
      <c r="O623" s="2537"/>
      <c r="P623" s="2537"/>
      <c r="Q623" s="2537"/>
      <c r="R623" s="2537"/>
      <c r="S623" s="2537"/>
      <c r="T623" s="2537"/>
      <c r="U623" s="2537"/>
      <c r="V623" s="2537"/>
      <c r="W623" s="2537"/>
      <c r="X623" s="2537"/>
      <c r="Y623" s="2537"/>
      <c r="Z623" s="2537"/>
      <c r="AA623" s="2537"/>
      <c r="AB623" s="2537"/>
      <c r="AC623" s="2537"/>
      <c r="AD623" s="2537"/>
      <c r="AE623" s="2537"/>
      <c r="AF623" s="2537"/>
      <c r="AG623" s="2537"/>
      <c r="AH623" s="2537"/>
      <c r="AI623" s="46"/>
      <c r="AJ623" s="46"/>
      <c r="AK623" s="46"/>
      <c r="AL623" s="46"/>
      <c r="AM623" s="153"/>
      <c r="AN623" s="1098"/>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48"/>
      <c r="AM624" s="153"/>
      <c r="AN624" s="109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8"/>
      <c r="AS625" s="30"/>
      <c r="AT625" s="30"/>
    </row>
    <row r="626" spans="1:46" ht="13.7" customHeight="1">
      <c r="A626" s="28"/>
      <c r="B626" s="203"/>
      <c r="C626" s="1670" t="s">
        <v>118</v>
      </c>
      <c r="D626" s="1670"/>
      <c r="E626" s="293"/>
      <c r="F626" s="2504" t="s">
        <v>2238</v>
      </c>
      <c r="G626" s="2505"/>
      <c r="H626" s="2505"/>
      <c r="I626" s="2505"/>
      <c r="J626" s="2505"/>
      <c r="K626" s="2505"/>
      <c r="L626" s="2505"/>
      <c r="M626" s="2505"/>
      <c r="N626" s="2505"/>
      <c r="O626" s="2505"/>
      <c r="P626" s="2505"/>
      <c r="Q626" s="2505"/>
      <c r="R626" s="2505"/>
      <c r="S626" s="2505"/>
      <c r="T626" s="2505"/>
      <c r="U626" s="2505"/>
      <c r="V626" s="2505"/>
      <c r="W626" s="2505"/>
      <c r="X626" s="2505"/>
      <c r="Y626" s="2505"/>
      <c r="Z626" s="2505"/>
      <c r="AA626" s="2505"/>
      <c r="AB626" s="2505"/>
      <c r="AC626" s="2505"/>
      <c r="AD626" s="2506"/>
      <c r="AE626" s="46"/>
      <c r="AF626" s="265"/>
      <c r="AG626" s="2497" t="s">
        <v>1020</v>
      </c>
      <c r="AH626" s="2497"/>
      <c r="AI626" s="2497"/>
      <c r="AJ626" s="2497"/>
      <c r="AK626" s="153"/>
      <c r="AL626" s="153"/>
      <c r="AM626" s="153"/>
      <c r="AN626" s="1098"/>
      <c r="AO626" s="46"/>
      <c r="AS626" s="30"/>
      <c r="AT626" s="30"/>
    </row>
    <row r="627" spans="1:46" ht="13.7" customHeight="1">
      <c r="A627" s="28"/>
      <c r="B627" s="203"/>
      <c r="C627" s="77"/>
      <c r="D627" s="46"/>
      <c r="E627" s="293"/>
      <c r="F627" s="2507"/>
      <c r="G627" s="2508"/>
      <c r="H627" s="2508"/>
      <c r="I627" s="2508"/>
      <c r="J627" s="2508"/>
      <c r="K627" s="2508"/>
      <c r="L627" s="2508"/>
      <c r="M627" s="2508"/>
      <c r="N627" s="2508"/>
      <c r="O627" s="2508"/>
      <c r="P627" s="2508"/>
      <c r="Q627" s="2508"/>
      <c r="R627" s="2508"/>
      <c r="S627" s="2508"/>
      <c r="T627" s="2508"/>
      <c r="U627" s="2508"/>
      <c r="V627" s="2508"/>
      <c r="W627" s="2508"/>
      <c r="X627" s="2508"/>
      <c r="Y627" s="2508"/>
      <c r="Z627" s="2508"/>
      <c r="AA627" s="2508"/>
      <c r="AB627" s="2508"/>
      <c r="AC627" s="2508"/>
      <c r="AD627" s="2509"/>
      <c r="AE627" s="46"/>
      <c r="AF627" s="265"/>
      <c r="AG627" s="265"/>
      <c r="AH627" s="265"/>
      <c r="AI627" s="265"/>
      <c r="AJ627" s="46"/>
      <c r="AK627" s="153"/>
      <c r="AL627" s="153"/>
      <c r="AM627" s="153"/>
      <c r="AN627" s="1098"/>
      <c r="AO627" s="46"/>
      <c r="AS627" s="30"/>
      <c r="AT627" s="30"/>
    </row>
    <row r="628" spans="1:46">
      <c r="A628" s="28"/>
      <c r="B628" s="203"/>
      <c r="C628" s="77"/>
      <c r="D628" s="46"/>
      <c r="E628" s="293"/>
      <c r="F628" s="2510"/>
      <c r="G628" s="2511"/>
      <c r="H628" s="2511"/>
      <c r="I628" s="2511"/>
      <c r="J628" s="2511"/>
      <c r="K628" s="2511"/>
      <c r="L628" s="2511"/>
      <c r="M628" s="2511"/>
      <c r="N628" s="2511"/>
      <c r="O628" s="2511"/>
      <c r="P628" s="2511"/>
      <c r="Q628" s="2511"/>
      <c r="R628" s="2511"/>
      <c r="S628" s="2511"/>
      <c r="T628" s="2511"/>
      <c r="U628" s="2511"/>
      <c r="V628" s="2511"/>
      <c r="W628" s="2511"/>
      <c r="X628" s="2511"/>
      <c r="Y628" s="2511"/>
      <c r="Z628" s="2511"/>
      <c r="AA628" s="2511"/>
      <c r="AB628" s="2511"/>
      <c r="AC628" s="2511"/>
      <c r="AD628" s="2512"/>
      <c r="AE628" s="46"/>
      <c r="AF628" s="265"/>
      <c r="AG628" s="265"/>
      <c r="AH628" s="265"/>
      <c r="AI628" s="265"/>
      <c r="AJ628" s="46"/>
      <c r="AK628" s="153"/>
      <c r="AL628" s="153"/>
      <c r="AM628" s="153"/>
      <c r="AN628" s="1098"/>
      <c r="AO628" s="46"/>
      <c r="AP628" s="64"/>
      <c r="AS628" s="30"/>
      <c r="AT628" s="30"/>
    </row>
    <row r="629" spans="1:46">
      <c r="A629" s="28"/>
      <c r="B629" s="203"/>
      <c r="C629" s="77"/>
      <c r="D629" s="46"/>
      <c r="E629" s="293"/>
      <c r="F629" s="1368"/>
      <c r="G629" s="1368"/>
      <c r="H629" s="1368"/>
      <c r="I629" s="1368"/>
      <c r="J629" s="1368"/>
      <c r="K629" s="1368"/>
      <c r="L629" s="1368"/>
      <c r="M629" s="1368"/>
      <c r="N629" s="1368"/>
      <c r="O629" s="1368"/>
      <c r="P629" s="1368"/>
      <c r="Q629" s="1368"/>
      <c r="R629" s="1368"/>
      <c r="S629" s="1368"/>
      <c r="T629" s="1368"/>
      <c r="U629" s="1368"/>
      <c r="V629" s="1368"/>
      <c r="W629" s="1368"/>
      <c r="X629" s="1368"/>
      <c r="Y629" s="1368"/>
      <c r="Z629" s="1368"/>
      <c r="AA629" s="1368"/>
      <c r="AB629" s="1368"/>
      <c r="AC629" s="1368"/>
      <c r="AD629" s="1368"/>
      <c r="AE629" s="162"/>
      <c r="AF629" s="265"/>
      <c r="AG629" s="265"/>
      <c r="AH629" s="265"/>
      <c r="AI629" s="265"/>
      <c r="AJ629" s="46"/>
      <c r="AK629" s="153"/>
      <c r="AL629" s="153"/>
      <c r="AM629" s="153"/>
      <c r="AN629" s="1098"/>
      <c r="AS629" s="30"/>
      <c r="AT629" s="30"/>
    </row>
    <row r="630" spans="1:46" ht="13.7" customHeight="1">
      <c r="A630" s="28"/>
      <c r="B630" s="2537" t="s">
        <v>2006</v>
      </c>
      <c r="C630" s="2537"/>
      <c r="D630" s="2537"/>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2537"/>
      <c r="AF630" s="2537"/>
      <c r="AG630" s="2537"/>
      <c r="AH630" s="2537"/>
      <c r="AI630" s="265"/>
      <c r="AJ630" s="46"/>
      <c r="AK630" s="153"/>
      <c r="AL630" s="153"/>
      <c r="AM630" s="153"/>
    </row>
    <row r="631" spans="1:46" ht="13.7" customHeight="1">
      <c r="B631" s="2537"/>
      <c r="C631" s="2537"/>
      <c r="D631" s="2537"/>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2537"/>
      <c r="AF631" s="2537"/>
      <c r="AG631" s="2537"/>
      <c r="AH631" s="2537"/>
      <c r="AI631" s="245"/>
      <c r="AJ631" s="46"/>
      <c r="AK631" s="153"/>
      <c r="AL631" s="153"/>
      <c r="AM631" s="153"/>
    </row>
    <row r="632" spans="1:46" ht="13.7" customHeight="1">
      <c r="A632" s="263"/>
      <c r="B632" s="2537"/>
      <c r="C632" s="2537"/>
      <c r="D632" s="2537"/>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2537"/>
      <c r="AF632" s="2537"/>
      <c r="AG632" s="2537"/>
      <c r="AH632" s="2537"/>
      <c r="AI632" s="245"/>
      <c r="AJ632" s="46"/>
      <c r="AK632" s="153"/>
      <c r="AL632" s="153"/>
      <c r="AM632" s="153"/>
      <c r="AN632" s="124"/>
    </row>
    <row r="633" spans="1:46" ht="13.7" customHeight="1">
      <c r="A633" s="46"/>
      <c r="B633" s="2537"/>
      <c r="C633" s="2537"/>
      <c r="D633" s="2537"/>
      <c r="E633" s="2537"/>
      <c r="F633" s="2537"/>
      <c r="G633" s="2537"/>
      <c r="H633" s="2537"/>
      <c r="I633" s="2537"/>
      <c r="J633" s="2537"/>
      <c r="K633" s="2537"/>
      <c r="L633" s="2537"/>
      <c r="M633" s="2537"/>
      <c r="N633" s="2537"/>
      <c r="O633" s="2537"/>
      <c r="P633" s="2537"/>
      <c r="Q633" s="2537"/>
      <c r="R633" s="2537"/>
      <c r="S633" s="2537"/>
      <c r="T633" s="2537"/>
      <c r="U633" s="2537"/>
      <c r="V633" s="2537"/>
      <c r="W633" s="2537"/>
      <c r="X633" s="2537"/>
      <c r="Y633" s="2537"/>
      <c r="Z633" s="2537"/>
      <c r="AA633" s="2537"/>
      <c r="AB633" s="2537"/>
      <c r="AC633" s="2537"/>
      <c r="AD633" s="2537"/>
      <c r="AE633" s="2537"/>
      <c r="AF633" s="2537"/>
      <c r="AG633" s="2537"/>
      <c r="AH633" s="2537"/>
      <c r="AI633" s="245"/>
      <c r="AJ633" s="46"/>
      <c r="AK633" s="153"/>
      <c r="AL633" s="153"/>
      <c r="AM633" s="153"/>
      <c r="AN633" s="124"/>
    </row>
    <row r="634" spans="1:46" ht="13.7" customHeight="1">
      <c r="A634" s="46"/>
      <c r="B634" s="2537"/>
      <c r="C634" s="2537"/>
      <c r="D634" s="2537"/>
      <c r="E634" s="2537"/>
      <c r="F634" s="2537"/>
      <c r="G634" s="2537"/>
      <c r="H634" s="2537"/>
      <c r="I634" s="2537"/>
      <c r="J634" s="2537"/>
      <c r="K634" s="2537"/>
      <c r="L634" s="2537"/>
      <c r="M634" s="2537"/>
      <c r="N634" s="2537"/>
      <c r="O634" s="2537"/>
      <c r="P634" s="2537"/>
      <c r="Q634" s="2537"/>
      <c r="R634" s="2537"/>
      <c r="S634" s="2537"/>
      <c r="T634" s="2537"/>
      <c r="U634" s="2537"/>
      <c r="V634" s="2537"/>
      <c r="W634" s="2537"/>
      <c r="X634" s="2537"/>
      <c r="Y634" s="2537"/>
      <c r="Z634" s="2537"/>
      <c r="AA634" s="2537"/>
      <c r="AB634" s="2537"/>
      <c r="AC634" s="2537"/>
      <c r="AD634" s="2537"/>
      <c r="AE634" s="2537"/>
      <c r="AF634" s="2537"/>
      <c r="AG634" s="2537"/>
      <c r="AH634" s="2537"/>
      <c r="AI634" s="245"/>
      <c r="AJ634" s="46"/>
      <c r="AK634" s="153"/>
      <c r="AL634" s="153"/>
      <c r="AM634" s="153"/>
      <c r="AN634" s="124"/>
    </row>
    <row r="635" spans="1:46" ht="13.7" customHeight="1">
      <c r="A635" s="263"/>
      <c r="B635" s="2537"/>
      <c r="C635" s="2537"/>
      <c r="D635" s="2537"/>
      <c r="E635" s="2537"/>
      <c r="F635" s="2537"/>
      <c r="G635" s="2537"/>
      <c r="H635" s="2537"/>
      <c r="I635" s="2537"/>
      <c r="J635" s="2537"/>
      <c r="K635" s="2537"/>
      <c r="L635" s="2537"/>
      <c r="M635" s="2537"/>
      <c r="N635" s="2537"/>
      <c r="O635" s="2537"/>
      <c r="P635" s="2537"/>
      <c r="Q635" s="2537"/>
      <c r="R635" s="2537"/>
      <c r="S635" s="2537"/>
      <c r="T635" s="2537"/>
      <c r="U635" s="2537"/>
      <c r="V635" s="2537"/>
      <c r="W635" s="2537"/>
      <c r="X635" s="2537"/>
      <c r="Y635" s="2537"/>
      <c r="Z635" s="2537"/>
      <c r="AA635" s="2537"/>
      <c r="AB635" s="2537"/>
      <c r="AC635" s="2537"/>
      <c r="AD635" s="2537"/>
      <c r="AE635" s="2537"/>
      <c r="AF635" s="2537"/>
      <c r="AG635" s="2537"/>
      <c r="AH635" s="2537"/>
      <c r="AI635" s="245"/>
      <c r="AJ635" s="46"/>
      <c r="AK635" s="153"/>
      <c r="AL635" s="153"/>
      <c r="AM635" s="153"/>
      <c r="AN635" s="124"/>
    </row>
    <row r="636" spans="1:46" ht="13.7" customHeight="1">
      <c r="A636" s="263"/>
      <c r="B636" s="2537"/>
      <c r="C636" s="2537"/>
      <c r="D636" s="2537"/>
      <c r="E636" s="2537"/>
      <c r="F636" s="2537"/>
      <c r="G636" s="2537"/>
      <c r="H636" s="2537"/>
      <c r="I636" s="2537"/>
      <c r="J636" s="2537"/>
      <c r="K636" s="2537"/>
      <c r="L636" s="2537"/>
      <c r="M636" s="2537"/>
      <c r="N636" s="2537"/>
      <c r="O636" s="2537"/>
      <c r="P636" s="2537"/>
      <c r="Q636" s="2537"/>
      <c r="R636" s="2537"/>
      <c r="S636" s="2537"/>
      <c r="T636" s="2537"/>
      <c r="U636" s="2537"/>
      <c r="V636" s="2537"/>
      <c r="W636" s="2537"/>
      <c r="X636" s="2537"/>
      <c r="Y636" s="2537"/>
      <c r="Z636" s="2537"/>
      <c r="AA636" s="2537"/>
      <c r="AB636" s="2537"/>
      <c r="AC636" s="2537"/>
      <c r="AD636" s="2537"/>
      <c r="AE636" s="2537"/>
      <c r="AF636" s="2537"/>
      <c r="AG636" s="2537"/>
      <c r="AH636" s="2537"/>
      <c r="AI636" s="245"/>
      <c r="AJ636" s="46"/>
      <c r="AK636" s="153"/>
      <c r="AL636" s="153"/>
      <c r="AM636" s="153"/>
      <c r="AN636" s="124"/>
    </row>
    <row r="637" spans="1:46" ht="13.7" customHeight="1">
      <c r="A637" s="263"/>
      <c r="B637" s="2537"/>
      <c r="C637" s="2537"/>
      <c r="D637" s="2537"/>
      <c r="E637" s="2537"/>
      <c r="F637" s="2537"/>
      <c r="G637" s="2537"/>
      <c r="H637" s="2537"/>
      <c r="I637" s="2537"/>
      <c r="J637" s="2537"/>
      <c r="K637" s="2537"/>
      <c r="L637" s="2537"/>
      <c r="M637" s="2537"/>
      <c r="N637" s="2537"/>
      <c r="O637" s="2537"/>
      <c r="P637" s="2537"/>
      <c r="Q637" s="2537"/>
      <c r="R637" s="2537"/>
      <c r="S637" s="2537"/>
      <c r="T637" s="2537"/>
      <c r="U637" s="2537"/>
      <c r="V637" s="2537"/>
      <c r="W637" s="2537"/>
      <c r="X637" s="2537"/>
      <c r="Y637" s="2537"/>
      <c r="Z637" s="2537"/>
      <c r="AA637" s="2537"/>
      <c r="AB637" s="2537"/>
      <c r="AC637" s="2537"/>
      <c r="AD637" s="2537"/>
      <c r="AE637" s="2537"/>
      <c r="AF637" s="2537"/>
      <c r="AG637" s="2537"/>
      <c r="AH637" s="2537"/>
      <c r="AI637" s="245"/>
      <c r="AJ637" s="46"/>
      <c r="AK637" s="153"/>
      <c r="AL637" s="153"/>
      <c r="AM637" s="153"/>
      <c r="AN637" s="124"/>
    </row>
    <row r="638" spans="1:46" ht="13.7" customHeight="1">
      <c r="A638" s="263"/>
      <c r="B638" s="2537"/>
      <c r="C638" s="2537"/>
      <c r="D638" s="2537"/>
      <c r="E638" s="2537"/>
      <c r="F638" s="2537"/>
      <c r="G638" s="2537"/>
      <c r="H638" s="2537"/>
      <c r="I638" s="2537"/>
      <c r="J638" s="2537"/>
      <c r="K638" s="2537"/>
      <c r="L638" s="2537"/>
      <c r="M638" s="2537"/>
      <c r="N638" s="2537"/>
      <c r="O638" s="2537"/>
      <c r="P638" s="2537"/>
      <c r="Q638" s="2537"/>
      <c r="R638" s="2537"/>
      <c r="S638" s="2537"/>
      <c r="T638" s="2537"/>
      <c r="U638" s="2537"/>
      <c r="V638" s="2537"/>
      <c r="W638" s="2537"/>
      <c r="X638" s="2537"/>
      <c r="Y638" s="2537"/>
      <c r="Z638" s="2537"/>
      <c r="AA638" s="2537"/>
      <c r="AB638" s="2537"/>
      <c r="AC638" s="2537"/>
      <c r="AD638" s="2537"/>
      <c r="AE638" s="2537"/>
      <c r="AF638" s="2537"/>
      <c r="AG638" s="2537"/>
      <c r="AH638" s="2537"/>
      <c r="AI638" s="245"/>
      <c r="AJ638" s="46"/>
      <c r="AK638" s="153"/>
      <c r="AL638" s="153"/>
      <c r="AM638" s="153"/>
      <c r="AN638" s="124"/>
    </row>
    <row r="639" spans="1:46">
      <c r="A639" s="263"/>
      <c r="B639" s="2537"/>
      <c r="C639" s="2537"/>
      <c r="D639" s="2537"/>
      <c r="E639" s="2537"/>
      <c r="F639" s="2537"/>
      <c r="G639" s="2537"/>
      <c r="H639" s="2537"/>
      <c r="I639" s="2537"/>
      <c r="J639" s="2537"/>
      <c r="K639" s="2537"/>
      <c r="L639" s="2537"/>
      <c r="M639" s="2537"/>
      <c r="N639" s="2537"/>
      <c r="O639" s="2537"/>
      <c r="P639" s="2537"/>
      <c r="Q639" s="2537"/>
      <c r="R639" s="2537"/>
      <c r="S639" s="2537"/>
      <c r="T639" s="2537"/>
      <c r="U639" s="2537"/>
      <c r="V639" s="2537"/>
      <c r="W639" s="2537"/>
      <c r="X639" s="2537"/>
      <c r="Y639" s="2537"/>
      <c r="Z639" s="2537"/>
      <c r="AA639" s="2537"/>
      <c r="AB639" s="2537"/>
      <c r="AC639" s="2537"/>
      <c r="AD639" s="2537"/>
      <c r="AE639" s="2537"/>
      <c r="AF639" s="2537"/>
      <c r="AG639" s="2537"/>
      <c r="AH639" s="2537"/>
      <c r="AI639" s="245"/>
      <c r="AJ639" s="46"/>
      <c r="AK639" s="153"/>
      <c r="AL639" s="153"/>
      <c r="AM639" s="153"/>
      <c r="AN639" s="124"/>
    </row>
    <row r="640" spans="1:46">
      <c r="A640" s="263"/>
      <c r="B640" s="2537"/>
      <c r="C640" s="2537"/>
      <c r="D640" s="2537"/>
      <c r="E640" s="2537"/>
      <c r="F640" s="2537"/>
      <c r="G640" s="2537"/>
      <c r="H640" s="2537"/>
      <c r="I640" s="2537"/>
      <c r="J640" s="2537"/>
      <c r="K640" s="2537"/>
      <c r="L640" s="2537"/>
      <c r="M640" s="2537"/>
      <c r="N640" s="2537"/>
      <c r="O640" s="2537"/>
      <c r="P640" s="2537"/>
      <c r="Q640" s="2537"/>
      <c r="R640" s="2537"/>
      <c r="S640" s="2537"/>
      <c r="T640" s="2537"/>
      <c r="U640" s="2537"/>
      <c r="V640" s="2537"/>
      <c r="W640" s="2537"/>
      <c r="X640" s="2537"/>
      <c r="Y640" s="2537"/>
      <c r="Z640" s="2537"/>
      <c r="AA640" s="2537"/>
      <c r="AB640" s="2537"/>
      <c r="AC640" s="2537"/>
      <c r="AD640" s="2537"/>
      <c r="AE640" s="2537"/>
      <c r="AF640" s="2537"/>
      <c r="AG640" s="2537"/>
      <c r="AH640" s="2537"/>
      <c r="AI640" s="245"/>
      <c r="AJ640" s="46"/>
      <c r="AK640" s="153"/>
      <c r="AL640" s="153"/>
      <c r="AM640" s="153"/>
      <c r="AN640" s="124"/>
    </row>
    <row r="641" spans="1:60">
      <c r="A641" s="263"/>
      <c r="B641" s="2537"/>
      <c r="C641" s="2537"/>
      <c r="D641" s="2537"/>
      <c r="E641" s="2537"/>
      <c r="F641" s="2537"/>
      <c r="G641" s="2537"/>
      <c r="H641" s="2537"/>
      <c r="I641" s="2537"/>
      <c r="J641" s="2537"/>
      <c r="K641" s="2537"/>
      <c r="L641" s="2537"/>
      <c r="M641" s="2537"/>
      <c r="N641" s="2537"/>
      <c r="O641" s="2537"/>
      <c r="P641" s="2537"/>
      <c r="Q641" s="2537"/>
      <c r="R641" s="2537"/>
      <c r="S641" s="2537"/>
      <c r="T641" s="2537"/>
      <c r="U641" s="2537"/>
      <c r="V641" s="2537"/>
      <c r="W641" s="2537"/>
      <c r="X641" s="2537"/>
      <c r="Y641" s="2537"/>
      <c r="Z641" s="2537"/>
      <c r="AA641" s="2537"/>
      <c r="AB641" s="2537"/>
      <c r="AC641" s="2537"/>
      <c r="AD641" s="2537"/>
      <c r="AE641" s="2537"/>
      <c r="AF641" s="2537"/>
      <c r="AG641" s="2537"/>
      <c r="AH641" s="2537"/>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9"/>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6" t="s">
        <v>196</v>
      </c>
      <c r="AK643" s="2332">
        <f>IF($C$626="yes",10,0)</f>
        <v>10</v>
      </c>
      <c r="AL643" s="2333"/>
      <c r="AM643" s="233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70" t="s">
        <v>118</v>
      </c>
      <c r="D648" s="1670"/>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70" t="s">
        <v>134</v>
      </c>
      <c r="D653" s="1670"/>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0"/>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0" t="s">
        <v>134</v>
      </c>
      <c r="D657" s="1670"/>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0" t="s">
        <v>134</v>
      </c>
      <c r="D661" s="1670"/>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0" t="s">
        <v>134</v>
      </c>
      <c r="D663" s="1670"/>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0" t="s">
        <v>134</v>
      </c>
      <c r="D668" s="1670"/>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6" t="s">
        <v>1103</v>
      </c>
      <c r="AK671" s="2332">
        <f>$AO$654</f>
        <v>2</v>
      </c>
      <c r="AL671" s="2333"/>
      <c r="AM671" s="233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21" t="s">
        <v>783</v>
      </c>
      <c r="B674" s="2521"/>
      <c r="C674" s="2521"/>
      <c r="D674" s="2521"/>
      <c r="E674" s="2521"/>
      <c r="F674" s="2521"/>
      <c r="G674" s="2521"/>
      <c r="H674" s="2521"/>
      <c r="I674" s="2521"/>
      <c r="J674" s="2521"/>
      <c r="K674" s="2521"/>
      <c r="L674" s="2521"/>
      <c r="M674" s="2521"/>
      <c r="N674" s="2521"/>
      <c r="O674" s="2521"/>
      <c r="P674" s="2521"/>
      <c r="Q674" s="2521"/>
      <c r="R674" s="2521"/>
      <c r="S674" s="2521"/>
      <c r="T674" s="2521"/>
      <c r="U674" s="2521"/>
      <c r="V674" s="2521"/>
      <c r="W674" s="2521"/>
      <c r="X674" s="2521"/>
      <c r="Y674" s="2521"/>
      <c r="Z674" s="2521"/>
      <c r="AA674" s="2521"/>
      <c r="AB674" s="2521"/>
      <c r="AC674" s="2521"/>
      <c r="AD674" s="2521"/>
      <c r="AE674" s="2521"/>
      <c r="AF674" s="2521"/>
      <c r="AG674" s="2521"/>
      <c r="AH674" s="2521"/>
      <c r="AI674" s="2521"/>
      <c r="AJ674" s="2521"/>
      <c r="AK674" s="2521"/>
      <c r="AL674" s="2521"/>
      <c r="AM674" s="2521"/>
    </row>
    <row r="675" spans="1:43">
      <c r="A675" s="2522"/>
      <c r="B675" s="2522"/>
      <c r="C675" s="2522"/>
      <c r="D675" s="2522"/>
      <c r="E675" s="2522"/>
      <c r="F675" s="2522"/>
      <c r="G675" s="2522"/>
      <c r="H675" s="2522"/>
      <c r="I675" s="2522"/>
      <c r="J675" s="2522"/>
      <c r="K675" s="2522"/>
      <c r="L675" s="2522"/>
      <c r="M675" s="2522"/>
      <c r="N675" s="2522"/>
      <c r="O675" s="2522"/>
      <c r="P675" s="2522"/>
      <c r="Q675" s="2522"/>
      <c r="R675" s="2522"/>
      <c r="S675" s="2522"/>
      <c r="T675" s="2522"/>
      <c r="U675" s="2522"/>
      <c r="V675" s="2522"/>
      <c r="W675" s="2522"/>
      <c r="X675" s="2522"/>
      <c r="Y675" s="2522"/>
      <c r="Z675" s="2522"/>
      <c r="AA675" s="2522"/>
      <c r="AB675" s="2522"/>
      <c r="AC675" s="2522"/>
      <c r="AD675" s="2522"/>
      <c r="AE675" s="2522"/>
      <c r="AF675" s="2522"/>
      <c r="AG675" s="2522"/>
      <c r="AH675" s="2522"/>
      <c r="AI675" s="2522"/>
      <c r="AJ675" s="2522"/>
      <c r="AK675" s="2522"/>
      <c r="AL675" s="2522"/>
      <c r="AM675" s="252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09" t="s">
        <v>2148</v>
      </c>
      <c r="B677" s="2409"/>
      <c r="C677" s="2409"/>
      <c r="D677" s="2409"/>
      <c r="E677" s="2409"/>
      <c r="F677" s="2409"/>
      <c r="G677" s="2409"/>
      <c r="H677" s="2409"/>
      <c r="I677" s="2409"/>
      <c r="J677" s="2409"/>
      <c r="K677" s="2409"/>
      <c r="L677" s="2409"/>
      <c r="M677" s="2409"/>
      <c r="N677" s="2409"/>
      <c r="O677" s="2409"/>
      <c r="P677" s="2409"/>
      <c r="Q677" s="2409"/>
      <c r="R677" s="2409"/>
      <c r="S677" s="2409"/>
      <c r="T677" s="2409"/>
      <c r="U677" s="2409"/>
      <c r="V677" s="2409"/>
      <c r="W677" s="2409"/>
      <c r="X677" s="2409"/>
      <c r="Y677" s="2409"/>
      <c r="Z677" s="2409"/>
      <c r="AA677" s="2409"/>
      <c r="AB677" s="2409"/>
      <c r="AC677" s="2409"/>
      <c r="AD677" s="2409"/>
      <c r="AE677" s="2409"/>
      <c r="AF677" s="2409"/>
      <c r="AG677" s="2409"/>
      <c r="AH677" s="2409"/>
      <c r="AI677" s="2409"/>
      <c r="AJ677" s="2409"/>
      <c r="AK677" s="2409"/>
      <c r="AL677" s="2409"/>
      <c r="AM677" s="2409"/>
      <c r="AP677" s="732"/>
      <c r="AQ677" s="728"/>
    </row>
    <row r="678" spans="1:43">
      <c r="A678" s="2409" t="s">
        <v>2149</v>
      </c>
      <c r="B678" s="2409"/>
      <c r="C678" s="2409"/>
      <c r="D678" s="2409"/>
      <c r="E678" s="2409"/>
      <c r="F678" s="2409"/>
      <c r="G678" s="2409"/>
      <c r="H678" s="2409"/>
      <c r="I678" s="2409"/>
      <c r="J678" s="2409"/>
      <c r="K678" s="2409"/>
      <c r="L678" s="2409"/>
      <c r="M678" s="2409"/>
      <c r="N678" s="2409"/>
      <c r="O678" s="2409"/>
      <c r="P678" s="2409"/>
      <c r="Q678" s="2409"/>
      <c r="R678" s="2409"/>
      <c r="S678" s="2409"/>
      <c r="T678" s="2409"/>
      <c r="U678" s="2409"/>
      <c r="V678" s="2409"/>
      <c r="W678" s="2409"/>
      <c r="X678" s="2409"/>
      <c r="Y678" s="2409"/>
      <c r="Z678" s="2409"/>
      <c r="AA678" s="2409"/>
      <c r="AB678" s="2409"/>
      <c r="AC678" s="2409"/>
      <c r="AD678" s="2409"/>
      <c r="AE678" s="2409"/>
      <c r="AF678" s="2409"/>
      <c r="AG678" s="2409"/>
      <c r="AH678" s="2409"/>
      <c r="AI678" s="2409"/>
      <c r="AJ678" s="2409"/>
      <c r="AK678" s="2409"/>
      <c r="AL678" s="2409"/>
      <c r="AM678" s="240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94" t="s">
        <v>259</v>
      </c>
      <c r="U679" s="2079"/>
      <c r="V679" s="2079"/>
      <c r="W679" s="2079"/>
      <c r="X679" s="2079"/>
      <c r="Y679" s="2080"/>
      <c r="Z679" s="2394" t="s">
        <v>258</v>
      </c>
      <c r="AA679" s="2079"/>
      <c r="AB679" s="2079"/>
      <c r="AC679" s="2079"/>
      <c r="AD679" s="2079"/>
      <c r="AE679" s="2080"/>
      <c r="AF679" s="2394" t="s">
        <v>260</v>
      </c>
      <c r="AG679" s="2079"/>
      <c r="AH679" s="2079"/>
      <c r="AI679" s="2079"/>
      <c r="AJ679" s="2079"/>
      <c r="AK679" s="2080"/>
      <c r="AL679" s="1257"/>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95"/>
      <c r="U680" s="2081"/>
      <c r="V680" s="2081"/>
      <c r="W680" s="2081"/>
      <c r="X680" s="2081"/>
      <c r="Y680" s="2082"/>
      <c r="Z680" s="2395"/>
      <c r="AA680" s="2081"/>
      <c r="AB680" s="2081"/>
      <c r="AC680" s="2081"/>
      <c r="AD680" s="2081"/>
      <c r="AE680" s="2082"/>
      <c r="AF680" s="2395"/>
      <c r="AG680" s="2081"/>
      <c r="AH680" s="2081"/>
      <c r="AI680" s="2081"/>
      <c r="AJ680" s="2081"/>
      <c r="AK680" s="2082"/>
      <c r="AL680" s="1257"/>
      <c r="AM680" s="458"/>
      <c r="AO680" s="728">
        <f>IF(T687&gt;10,10,T687)</f>
        <v>10</v>
      </c>
      <c r="AP680" s="728"/>
      <c r="AQ680" s="728"/>
    </row>
    <row r="681" spans="1:43">
      <c r="A681" s="935" t="s">
        <v>714</v>
      </c>
      <c r="B681" s="2390" t="s">
        <v>296</v>
      </c>
      <c r="C681" s="2390"/>
      <c r="D681" s="2390"/>
      <c r="E681" s="2390"/>
      <c r="F681" s="2390"/>
      <c r="G681" s="2390"/>
      <c r="H681" s="2390"/>
      <c r="I681" s="2390"/>
      <c r="J681" s="2390"/>
      <c r="K681" s="2390"/>
      <c r="L681" s="2390"/>
      <c r="M681" s="2390"/>
      <c r="N681" s="2390"/>
      <c r="O681" s="2390"/>
      <c r="P681" s="2390"/>
      <c r="Q681" s="2390"/>
      <c r="R681" s="2390"/>
      <c r="S681" s="2391"/>
      <c r="T681" s="2417">
        <f>SUM(T682:Y683)</f>
        <v>10</v>
      </c>
      <c r="U681" s="2417"/>
      <c r="V681" s="2417"/>
      <c r="W681" s="2417"/>
      <c r="X681" s="2417"/>
      <c r="Y681" s="2417"/>
      <c r="Z681" s="1785">
        <v>10</v>
      </c>
      <c r="AA681" s="1785"/>
      <c r="AB681" s="1785"/>
      <c r="AC681" s="1785"/>
      <c r="AD681" s="1785"/>
      <c r="AE681" s="1785"/>
      <c r="AF681" s="1785">
        <f>IF(T681&gt;Z681,Z681,T681)</f>
        <v>10</v>
      </c>
      <c r="AG681" s="1785"/>
      <c r="AH681" s="1785"/>
      <c r="AI681" s="1785"/>
      <c r="AJ681" s="1785"/>
      <c r="AK681" s="1785"/>
      <c r="AL681" s="1257"/>
      <c r="AM681" s="458"/>
    </row>
    <row r="682" spans="1:43">
      <c r="A682" s="937"/>
      <c r="B682" s="938"/>
      <c r="C682" s="946"/>
      <c r="D682" s="936" t="s">
        <v>231</v>
      </c>
      <c r="E682" s="2392" t="s">
        <v>261</v>
      </c>
      <c r="F682" s="2392"/>
      <c r="G682" s="2392"/>
      <c r="H682" s="2392"/>
      <c r="I682" s="2392"/>
      <c r="J682" s="2392"/>
      <c r="K682" s="2392"/>
      <c r="L682" s="2392"/>
      <c r="M682" s="2392"/>
      <c r="N682" s="2392"/>
      <c r="O682" s="2392"/>
      <c r="P682" s="2392"/>
      <c r="Q682" s="2392"/>
      <c r="R682" s="2392"/>
      <c r="S682" s="2393"/>
      <c r="T682" s="2396">
        <f>AJ31</f>
        <v>7</v>
      </c>
      <c r="U682" s="2396"/>
      <c r="V682" s="2396"/>
      <c r="W682" s="2396"/>
      <c r="X682" s="2396"/>
      <c r="Y682" s="2396"/>
      <c r="Z682" s="2421">
        <v>7</v>
      </c>
      <c r="AA682" s="2421"/>
      <c r="AB682" s="2421"/>
      <c r="AC682" s="2421"/>
      <c r="AD682" s="2421"/>
      <c r="AE682" s="2421"/>
      <c r="AF682" s="2523"/>
      <c r="AG682" s="2523"/>
      <c r="AH682" s="2523"/>
      <c r="AI682" s="2523"/>
      <c r="AJ682" s="2523"/>
      <c r="AK682" s="2523"/>
      <c r="AL682" s="1257"/>
      <c r="AM682" s="458"/>
    </row>
    <row r="683" spans="1:43">
      <c r="A683" s="940"/>
      <c r="B683" s="938"/>
      <c r="C683" s="939"/>
      <c r="D683" s="936" t="s">
        <v>473</v>
      </c>
      <c r="E683" s="2392" t="s">
        <v>262</v>
      </c>
      <c r="F683" s="2392"/>
      <c r="G683" s="2392"/>
      <c r="H683" s="2392"/>
      <c r="I683" s="2392"/>
      <c r="J683" s="2392"/>
      <c r="K683" s="2392"/>
      <c r="L683" s="2392"/>
      <c r="M683" s="2392"/>
      <c r="N683" s="2392"/>
      <c r="O683" s="2392"/>
      <c r="P683" s="2392"/>
      <c r="Q683" s="2392"/>
      <c r="R683" s="2392"/>
      <c r="S683" s="2393"/>
      <c r="T683" s="2396">
        <f>AJ47</f>
        <v>3</v>
      </c>
      <c r="U683" s="2396"/>
      <c r="V683" s="2396"/>
      <c r="W683" s="2396"/>
      <c r="X683" s="2396"/>
      <c r="Y683" s="2396"/>
      <c r="Z683" s="2421">
        <v>3</v>
      </c>
      <c r="AA683" s="2421"/>
      <c r="AB683" s="2421"/>
      <c r="AC683" s="2421"/>
      <c r="AD683" s="2421"/>
      <c r="AE683" s="2421"/>
      <c r="AF683" s="2523"/>
      <c r="AG683" s="2523"/>
      <c r="AH683" s="2523"/>
      <c r="AI683" s="2523"/>
      <c r="AJ683" s="2523"/>
      <c r="AK683" s="2523"/>
      <c r="AL683" s="1257"/>
      <c r="AM683" s="458"/>
      <c r="AO683" s="46">
        <f>IF(T690&gt;50,50,T690)</f>
        <v>50</v>
      </c>
    </row>
    <row r="684" spans="1:43">
      <c r="A684" s="935" t="s">
        <v>8</v>
      </c>
      <c r="B684" s="2390" t="s">
        <v>297</v>
      </c>
      <c r="C684" s="2390"/>
      <c r="D684" s="2390"/>
      <c r="E684" s="2390"/>
      <c r="F684" s="2390"/>
      <c r="G684" s="2390"/>
      <c r="H684" s="2390"/>
      <c r="I684" s="2390"/>
      <c r="J684" s="2390"/>
      <c r="K684" s="2390"/>
      <c r="L684" s="2390"/>
      <c r="M684" s="2390"/>
      <c r="N684" s="2390"/>
      <c r="O684" s="2390"/>
      <c r="P684" s="2390"/>
      <c r="Q684" s="2390"/>
      <c r="R684" s="2390"/>
      <c r="S684" s="2391"/>
      <c r="T684" s="2417">
        <f>AK73</f>
        <v>10</v>
      </c>
      <c r="U684" s="2417"/>
      <c r="V684" s="2417"/>
      <c r="W684" s="2417"/>
      <c r="X684" s="2417"/>
      <c r="Y684" s="2417"/>
      <c r="Z684" s="1785">
        <v>10</v>
      </c>
      <c r="AA684" s="1785"/>
      <c r="AB684" s="1785"/>
      <c r="AC684" s="1785"/>
      <c r="AD684" s="1785"/>
      <c r="AE684" s="1785"/>
      <c r="AF684" s="1785">
        <f>IF(T684&gt;Z684,Z684,T684)</f>
        <v>10</v>
      </c>
      <c r="AG684" s="1785"/>
      <c r="AH684" s="1785"/>
      <c r="AI684" s="1785"/>
      <c r="AJ684" s="1785"/>
      <c r="AK684" s="1785"/>
      <c r="AL684" s="1257"/>
      <c r="AM684" s="458"/>
    </row>
    <row r="685" spans="1:43">
      <c r="A685" s="935" t="s">
        <v>129</v>
      </c>
      <c r="B685" s="2390" t="s">
        <v>298</v>
      </c>
      <c r="C685" s="2390"/>
      <c r="D685" s="2390"/>
      <c r="E685" s="2390"/>
      <c r="F685" s="2390"/>
      <c r="G685" s="2390"/>
      <c r="H685" s="2390"/>
      <c r="I685" s="2390"/>
      <c r="J685" s="2390"/>
      <c r="K685" s="2390"/>
      <c r="L685" s="2390"/>
      <c r="M685" s="2390"/>
      <c r="N685" s="2390"/>
      <c r="O685" s="2390"/>
      <c r="P685" s="2390"/>
      <c r="Q685" s="2390"/>
      <c r="R685" s="2390"/>
      <c r="S685" s="2391"/>
      <c r="T685" s="2417">
        <f>AO678</f>
        <v>25</v>
      </c>
      <c r="U685" s="2417">
        <f>IF(AND(AND(A686&gt;15,15+A687),A687&gt;10,A686+10),A685,0)</f>
        <v>0</v>
      </c>
      <c r="V685" s="2417">
        <f>IF(AND(AND(B686&gt;15,15+B687),B687&gt;10,B686+10),#REF!,0)</f>
        <v>0</v>
      </c>
      <c r="W685" s="2417">
        <f>IF(AND(AND(C686&gt;15,15+C687),C687&gt;10,C686+10),B685,0)</f>
        <v>0</v>
      </c>
      <c r="X685" s="2417" t="e">
        <f>IF(AND(AND(D686&gt;15,15+D687),D687&gt;10,D686+10),D685,0)</f>
        <v>#VALUE!</v>
      </c>
      <c r="Y685" s="2417" t="e">
        <f>IF(AND(AND(E686&gt;15,15+E687),E687&gt;10,E686+10),E685,0)</f>
        <v>#VALUE!</v>
      </c>
      <c r="Z685" s="1785">
        <v>25</v>
      </c>
      <c r="AA685" s="1785"/>
      <c r="AB685" s="1785"/>
      <c r="AC685" s="1785"/>
      <c r="AD685" s="1785"/>
      <c r="AE685" s="1785"/>
      <c r="AF685" s="1785">
        <f>IF(T685&gt;Z685,Z685,T685)</f>
        <v>25</v>
      </c>
      <c r="AG685" s="1785"/>
      <c r="AH685" s="1785"/>
      <c r="AI685" s="1785"/>
      <c r="AJ685" s="1785"/>
      <c r="AK685" s="1785"/>
      <c r="AL685" s="1257"/>
      <c r="AM685" s="458"/>
    </row>
    <row r="686" spans="1:43">
      <c r="A686" s="935"/>
      <c r="B686" s="938"/>
      <c r="C686" s="939"/>
      <c r="D686" s="936" t="s">
        <v>1599</v>
      </c>
      <c r="E686" s="2392" t="s">
        <v>322</v>
      </c>
      <c r="F686" s="2392"/>
      <c r="G686" s="2392"/>
      <c r="H686" s="2392"/>
      <c r="I686" s="2392"/>
      <c r="J686" s="2392"/>
      <c r="K686" s="2392"/>
      <c r="L686" s="2392"/>
      <c r="M686" s="2392"/>
      <c r="N686" s="2392"/>
      <c r="O686" s="2392"/>
      <c r="P686" s="2392"/>
      <c r="Q686" s="2392"/>
      <c r="R686" s="2392"/>
      <c r="S686" s="2393"/>
      <c r="T686" s="2396">
        <f>AK285</f>
        <v>18</v>
      </c>
      <c r="U686" s="2396"/>
      <c r="V686" s="2396"/>
      <c r="W686" s="2396"/>
      <c r="X686" s="2396"/>
      <c r="Y686" s="2396"/>
      <c r="Z686" s="2421">
        <v>15</v>
      </c>
      <c r="AA686" s="2421"/>
      <c r="AB686" s="2421"/>
      <c r="AC686" s="2421"/>
      <c r="AD686" s="2421"/>
      <c r="AE686" s="2421"/>
      <c r="AF686" s="2523"/>
      <c r="AG686" s="2523"/>
      <c r="AH686" s="2523"/>
      <c r="AI686" s="2523"/>
      <c r="AJ686" s="2523"/>
      <c r="AK686" s="2523"/>
      <c r="AL686" s="1257"/>
      <c r="AM686" s="458"/>
    </row>
    <row r="687" spans="1:43">
      <c r="A687" s="941"/>
      <c r="B687" s="942"/>
      <c r="C687" s="943"/>
      <c r="D687" s="944" t="s">
        <v>1600</v>
      </c>
      <c r="E687" s="2392" t="s">
        <v>323</v>
      </c>
      <c r="F687" s="2392"/>
      <c r="G687" s="2392"/>
      <c r="H687" s="2392"/>
      <c r="I687" s="2392"/>
      <c r="J687" s="2392"/>
      <c r="K687" s="2392"/>
      <c r="L687" s="2392"/>
      <c r="M687" s="2392"/>
      <c r="N687" s="2392"/>
      <c r="O687" s="2392"/>
      <c r="P687" s="2392"/>
      <c r="Q687" s="2392"/>
      <c r="R687" s="2392"/>
      <c r="S687" s="2393"/>
      <c r="T687" s="2396">
        <f>AK476</f>
        <v>10</v>
      </c>
      <c r="U687" s="2396"/>
      <c r="V687" s="2396"/>
      <c r="W687" s="2396"/>
      <c r="X687" s="2396"/>
      <c r="Y687" s="2396"/>
      <c r="Z687" s="2421">
        <v>10</v>
      </c>
      <c r="AA687" s="2421"/>
      <c r="AB687" s="2421"/>
      <c r="AC687" s="2421"/>
      <c r="AD687" s="2421"/>
      <c r="AE687" s="2421"/>
      <c r="AF687" s="2523"/>
      <c r="AG687" s="2523"/>
      <c r="AH687" s="2523"/>
      <c r="AI687" s="2523"/>
      <c r="AJ687" s="2523"/>
      <c r="AK687" s="2523"/>
      <c r="AL687" s="1257"/>
      <c r="AM687" s="458"/>
    </row>
    <row r="688" spans="1:43" hidden="1">
      <c r="A688" s="935" t="s">
        <v>132</v>
      </c>
      <c r="B688" s="2390" t="s">
        <v>595</v>
      </c>
      <c r="C688" s="2390"/>
      <c r="D688" s="2390"/>
      <c r="E688" s="2390"/>
      <c r="F688" s="2390"/>
      <c r="G688" s="2390"/>
      <c r="H688" s="2390"/>
      <c r="I688" s="2390"/>
      <c r="J688" s="2390"/>
      <c r="K688" s="2390"/>
      <c r="L688" s="2390"/>
      <c r="M688" s="2390"/>
      <c r="N688" s="2390"/>
      <c r="O688" s="2390"/>
      <c r="P688" s="2390"/>
      <c r="Q688" s="2390"/>
      <c r="R688" s="2390"/>
      <c r="S688" s="2391"/>
      <c r="T688" s="2417"/>
      <c r="U688" s="2417"/>
      <c r="V688" s="2417"/>
      <c r="W688" s="2417"/>
      <c r="X688" s="2417"/>
      <c r="Y688" s="2417"/>
      <c r="Z688" s="1785"/>
      <c r="AA688" s="1785"/>
      <c r="AB688" s="1785"/>
      <c r="AC688" s="1785"/>
      <c r="AD688" s="1785"/>
      <c r="AE688" s="1785"/>
      <c r="AF688" s="1785"/>
      <c r="AG688" s="1785"/>
      <c r="AH688" s="1785"/>
      <c r="AI688" s="1785"/>
      <c r="AJ688" s="1785"/>
      <c r="AK688" s="1785"/>
      <c r="AL688" s="1257"/>
      <c r="AM688" s="458"/>
    </row>
    <row r="689" spans="1:39">
      <c r="A689" s="1340" t="s">
        <v>132</v>
      </c>
      <c r="B689" s="2390" t="s">
        <v>596</v>
      </c>
      <c r="C689" s="2390"/>
      <c r="D689" s="2390"/>
      <c r="E689" s="2390"/>
      <c r="F689" s="2390"/>
      <c r="G689" s="2390"/>
      <c r="H689" s="2390"/>
      <c r="I689" s="2390"/>
      <c r="J689" s="2390"/>
      <c r="K689" s="2390"/>
      <c r="L689" s="2390"/>
      <c r="M689" s="2390"/>
      <c r="N689" s="2390"/>
      <c r="O689" s="2390"/>
      <c r="P689" s="2390"/>
      <c r="Q689" s="2390"/>
      <c r="R689" s="2390"/>
      <c r="S689" s="2391"/>
      <c r="T689" s="2513">
        <f>IF(SUM(T690:Y691)&gt;52,52,SUM(T690:Y691))</f>
        <v>52</v>
      </c>
      <c r="U689" s="2514"/>
      <c r="V689" s="2514"/>
      <c r="W689" s="2514"/>
      <c r="X689" s="2514"/>
      <c r="Y689" s="2514"/>
      <c r="Z689" s="2514">
        <v>52</v>
      </c>
      <c r="AA689" s="2514"/>
      <c r="AB689" s="2514"/>
      <c r="AC689" s="2514"/>
      <c r="AD689" s="2514"/>
      <c r="AE689" s="2514"/>
      <c r="AF689" s="2514">
        <f>$AO$683+$T$691</f>
        <v>52</v>
      </c>
      <c r="AG689" s="2514"/>
      <c r="AH689" s="2514"/>
      <c r="AI689" s="2514"/>
      <c r="AJ689" s="2514"/>
      <c r="AK689" s="2514"/>
      <c r="AL689" s="1257"/>
      <c r="AM689" s="458"/>
    </row>
    <row r="690" spans="1:39">
      <c r="A690" s="945"/>
      <c r="B690" s="947"/>
      <c r="C690" s="948"/>
      <c r="D690" s="949" t="s">
        <v>1601</v>
      </c>
      <c r="E690" s="2392" t="s">
        <v>198</v>
      </c>
      <c r="F690" s="2392"/>
      <c r="G690" s="2392"/>
      <c r="H690" s="2392"/>
      <c r="I690" s="2392"/>
      <c r="J690" s="2392"/>
      <c r="K690" s="2392"/>
      <c r="L690" s="2392"/>
      <c r="M690" s="2392"/>
      <c r="N690" s="2392"/>
      <c r="O690" s="2392"/>
      <c r="P690" s="2392"/>
      <c r="Q690" s="2392"/>
      <c r="R690" s="2392"/>
      <c r="S690" s="2393"/>
      <c r="T690" s="2418">
        <f>AC592</f>
        <v>77.5</v>
      </c>
      <c r="U690" s="2419"/>
      <c r="V690" s="2419"/>
      <c r="W690" s="2419"/>
      <c r="X690" s="2419"/>
      <c r="Y690" s="2420"/>
      <c r="Z690" s="2418">
        <v>50</v>
      </c>
      <c r="AA690" s="2419"/>
      <c r="AB690" s="2419"/>
      <c r="AC690" s="2419"/>
      <c r="AD690" s="2419"/>
      <c r="AE690" s="2420"/>
      <c r="AF690" s="2518"/>
      <c r="AG690" s="2519"/>
      <c r="AH690" s="2519"/>
      <c r="AI690" s="2519"/>
      <c r="AJ690" s="2519"/>
      <c r="AK690" s="2520"/>
      <c r="AL690" s="1257"/>
      <c r="AM690" s="46"/>
    </row>
    <row r="691" spans="1:39">
      <c r="A691" s="950"/>
      <c r="B691" s="938"/>
      <c r="C691" s="939"/>
      <c r="D691" s="936" t="s">
        <v>1602</v>
      </c>
      <c r="E691" s="2392" t="s">
        <v>295</v>
      </c>
      <c r="F691" s="2392"/>
      <c r="G691" s="2392"/>
      <c r="H691" s="2392"/>
      <c r="I691" s="2392"/>
      <c r="J691" s="2392"/>
      <c r="K691" s="2392"/>
      <c r="L691" s="2392"/>
      <c r="M691" s="2392"/>
      <c r="N691" s="2392"/>
      <c r="O691" s="2392"/>
      <c r="P691" s="2392"/>
      <c r="Q691" s="2392"/>
      <c r="R691" s="2392"/>
      <c r="S691" s="2393"/>
      <c r="T691" s="2355">
        <f>IF(AJ616&gt;0,2,0)</f>
        <v>2</v>
      </c>
      <c r="U691" s="2356"/>
      <c r="V691" s="2356"/>
      <c r="W691" s="2356"/>
      <c r="X691" s="2356"/>
      <c r="Y691" s="2357"/>
      <c r="Z691" s="2332">
        <v>2</v>
      </c>
      <c r="AA691" s="2333"/>
      <c r="AB691" s="2333"/>
      <c r="AC691" s="2333"/>
      <c r="AD691" s="2333"/>
      <c r="AE691" s="2334"/>
      <c r="AF691" s="2534"/>
      <c r="AG691" s="2535"/>
      <c r="AH691" s="2535"/>
      <c r="AI691" s="2535"/>
      <c r="AJ691" s="2535"/>
      <c r="AK691" s="2536"/>
      <c r="AL691" s="1257"/>
      <c r="AM691" s="46"/>
    </row>
    <row r="692" spans="1:39">
      <c r="A692" s="945" t="s">
        <v>133</v>
      </c>
      <c r="B692" s="2390" t="s">
        <v>597</v>
      </c>
      <c r="C692" s="2390"/>
      <c r="D692" s="2390"/>
      <c r="E692" s="2390"/>
      <c r="F692" s="2390"/>
      <c r="G692" s="2390"/>
      <c r="H692" s="2390"/>
      <c r="I692" s="2390"/>
      <c r="J692" s="2390"/>
      <c r="K692" s="2390"/>
      <c r="L692" s="2390"/>
      <c r="M692" s="2390"/>
      <c r="N692" s="2390"/>
      <c r="O692" s="2390"/>
      <c r="P692" s="2390"/>
      <c r="Q692" s="2390"/>
      <c r="R692" s="2390"/>
      <c r="S692" s="2391"/>
      <c r="T692" s="2417">
        <f>AK643</f>
        <v>10</v>
      </c>
      <c r="U692" s="2417"/>
      <c r="V692" s="2417"/>
      <c r="W692" s="2417"/>
      <c r="X692" s="2417"/>
      <c r="Y692" s="2417"/>
      <c r="Z692" s="1785">
        <v>10</v>
      </c>
      <c r="AA692" s="1785"/>
      <c r="AB692" s="1785"/>
      <c r="AC692" s="1785"/>
      <c r="AD692" s="1785"/>
      <c r="AE692" s="1785"/>
      <c r="AF692" s="2094">
        <f>IF(T692&gt;Z692,Z692,T692)</f>
        <v>10</v>
      </c>
      <c r="AG692" s="2095"/>
      <c r="AH692" s="2095"/>
      <c r="AI692" s="2095"/>
      <c r="AJ692" s="2095"/>
      <c r="AK692" s="2102"/>
      <c r="AL692" s="1257"/>
      <c r="AM692" s="205"/>
    </row>
    <row r="693" spans="1:39">
      <c r="A693" s="945" t="s">
        <v>135</v>
      </c>
      <c r="B693" s="2390" t="s">
        <v>1067</v>
      </c>
      <c r="C693" s="2390"/>
      <c r="D693" s="2390"/>
      <c r="E693" s="2390"/>
      <c r="F693" s="2390"/>
      <c r="G693" s="2390"/>
      <c r="H693" s="2390"/>
      <c r="I693" s="2390"/>
      <c r="J693" s="2390"/>
      <c r="K693" s="2390"/>
      <c r="L693" s="2390"/>
      <c r="M693" s="2390"/>
      <c r="N693" s="2390"/>
      <c r="O693" s="2390"/>
      <c r="P693" s="2390"/>
      <c r="Q693" s="2390"/>
      <c r="R693" s="2390"/>
      <c r="S693" s="2391"/>
      <c r="T693" s="2515">
        <f>IF(AK671&gt;2,2,AK671)</f>
        <v>2</v>
      </c>
      <c r="U693" s="2516"/>
      <c r="V693" s="2516"/>
      <c r="W693" s="2516"/>
      <c r="X693" s="2516"/>
      <c r="Y693" s="2517"/>
      <c r="Z693" s="2094">
        <v>2</v>
      </c>
      <c r="AA693" s="2095"/>
      <c r="AB693" s="2095"/>
      <c r="AC693" s="2095"/>
      <c r="AD693" s="2095"/>
      <c r="AE693" s="2102"/>
      <c r="AF693" s="2094">
        <f>IF(T693&gt;Z693,Z693,T693)</f>
        <v>2</v>
      </c>
      <c r="AG693" s="2532"/>
      <c r="AH693" s="2532"/>
      <c r="AI693" s="2532"/>
      <c r="AJ693" s="2532"/>
      <c r="AK693" s="2533"/>
      <c r="AL693" s="358"/>
      <c r="AM693" s="205"/>
    </row>
    <row r="694" spans="1:39">
      <c r="A694" s="2389" t="s">
        <v>325</v>
      </c>
      <c r="B694" s="2390"/>
      <c r="C694" s="2390"/>
      <c r="D694" s="2390"/>
      <c r="E694" s="2390"/>
      <c r="F694" s="2390"/>
      <c r="G694" s="2390"/>
      <c r="H694" s="2390"/>
      <c r="I694" s="2390"/>
      <c r="J694" s="2390"/>
      <c r="K694" s="2390"/>
      <c r="L694" s="2390"/>
      <c r="M694" s="2390"/>
      <c r="N694" s="2390"/>
      <c r="O694" s="2390"/>
      <c r="P694" s="2390"/>
      <c r="Q694" s="2390"/>
      <c r="R694" s="2390"/>
      <c r="S694" s="2391"/>
      <c r="T694" s="2021"/>
      <c r="U694" s="2021"/>
      <c r="V694" s="2021"/>
      <c r="W694" s="2021"/>
      <c r="X694" s="2021"/>
      <c r="Y694" s="2021"/>
      <c r="Z694" s="2421" t="s">
        <v>324</v>
      </c>
      <c r="AA694" s="2421"/>
      <c r="AB694" s="2421"/>
      <c r="AC694" s="2421"/>
      <c r="AD694" s="2421"/>
      <c r="AE694" s="2421"/>
      <c r="AF694" s="2094">
        <f>IF(T694&gt;0,T694,0)</f>
        <v>0</v>
      </c>
      <c r="AG694" s="2095"/>
      <c r="AH694" s="2095"/>
      <c r="AI694" s="2095"/>
      <c r="AJ694" s="2095"/>
      <c r="AK694" s="2102"/>
      <c r="AL694" s="1248"/>
      <c r="AM694" s="205"/>
    </row>
    <row r="695" spans="1:39" ht="15.75">
      <c r="A695" s="2403" t="s">
        <v>782</v>
      </c>
      <c r="B695" s="2404"/>
      <c r="C695" s="2404"/>
      <c r="D695" s="2404"/>
      <c r="E695" s="2404"/>
      <c r="F695" s="2404"/>
      <c r="G695" s="2404"/>
      <c r="H695" s="2404"/>
      <c r="I695" s="2404"/>
      <c r="J695" s="2404"/>
      <c r="K695" s="2404"/>
      <c r="L695" s="2404"/>
      <c r="M695" s="2404"/>
      <c r="N695" s="2404"/>
      <c r="O695" s="2404"/>
      <c r="P695" s="2404"/>
      <c r="Q695" s="2404"/>
      <c r="R695" s="2404"/>
      <c r="S695" s="2404"/>
      <c r="T695" s="2404"/>
      <c r="U695" s="2404"/>
      <c r="V695" s="2404"/>
      <c r="W695" s="2404"/>
      <c r="X695" s="2404"/>
      <c r="Y695" s="2404"/>
      <c r="Z695" s="2404"/>
      <c r="AA695" s="2404"/>
      <c r="AB695" s="2404"/>
      <c r="AC695" s="2404"/>
      <c r="AD695" s="2404"/>
      <c r="AE695" s="2405"/>
      <c r="AF695" s="2524">
        <f>SUM(AF681:AK693)-AF694</f>
        <v>109</v>
      </c>
      <c r="AG695" s="2525"/>
      <c r="AH695" s="2525"/>
      <c r="AI695" s="2525"/>
      <c r="AJ695" s="2525"/>
      <c r="AK695" s="2526"/>
      <c r="AL695" s="1258"/>
      <c r="AM695" s="46"/>
    </row>
    <row r="696" spans="1:39" ht="15.75">
      <c r="A696" s="2406"/>
      <c r="B696" s="2407"/>
      <c r="C696" s="2407"/>
      <c r="D696" s="2407"/>
      <c r="E696" s="2407"/>
      <c r="F696" s="2407"/>
      <c r="G696" s="2407"/>
      <c r="H696" s="2407"/>
      <c r="I696" s="2407"/>
      <c r="J696" s="2407"/>
      <c r="K696" s="2407"/>
      <c r="L696" s="2407"/>
      <c r="M696" s="2407"/>
      <c r="N696" s="2407"/>
      <c r="O696" s="2407"/>
      <c r="P696" s="2407"/>
      <c r="Q696" s="2407"/>
      <c r="R696" s="2407"/>
      <c r="S696" s="2407"/>
      <c r="T696" s="2407"/>
      <c r="U696" s="2407"/>
      <c r="V696" s="2407"/>
      <c r="W696" s="2407"/>
      <c r="X696" s="2407"/>
      <c r="Y696" s="2407"/>
      <c r="Z696" s="2407"/>
      <c r="AA696" s="2407"/>
      <c r="AB696" s="2407"/>
      <c r="AC696" s="2407"/>
      <c r="AD696" s="2407"/>
      <c r="AE696" s="2408"/>
      <c r="AF696" s="2527"/>
      <c r="AG696" s="2528"/>
      <c r="AH696" s="2528"/>
      <c r="AI696" s="2528"/>
      <c r="AJ696" s="2528"/>
      <c r="AK696" s="2529"/>
      <c r="AL696" s="1258"/>
      <c r="AM696" s="46"/>
    </row>
    <row r="697" spans="1:39">
      <c r="A697" s="1605" t="s">
        <v>7</v>
      </c>
      <c r="B697" s="1605"/>
      <c r="C697" s="1605"/>
      <c r="D697" s="1605"/>
      <c r="E697" s="1605"/>
      <c r="F697" s="1605"/>
      <c r="G697" s="1605"/>
      <c r="H697" s="1605"/>
      <c r="I697" s="1605"/>
      <c r="J697" s="1605"/>
      <c r="K697" s="1605"/>
      <c r="L697" s="1605"/>
      <c r="M697" s="1605"/>
      <c r="N697" s="1605"/>
      <c r="O697" s="1605"/>
      <c r="P697" s="1605"/>
      <c r="Q697" s="1605"/>
      <c r="R697" s="1605"/>
      <c r="S697" s="1605"/>
      <c r="T697" s="1605"/>
      <c r="U697" s="1605"/>
      <c r="V697" s="1605"/>
      <c r="W697" s="1605"/>
      <c r="X697" s="1605"/>
      <c r="Y697" s="1605"/>
      <c r="Z697" s="1605"/>
      <c r="AA697" s="1605"/>
      <c r="AB697" s="1605"/>
      <c r="AC697" s="1605"/>
      <c r="AD697" s="1605"/>
      <c r="AE697" s="1605"/>
      <c r="AF697" s="1605"/>
      <c r="AG697" s="1605"/>
      <c r="AH697" s="1605"/>
      <c r="AI697" s="1605"/>
      <c r="AJ697" s="1605"/>
      <c r="AK697" s="1605"/>
      <c r="AL697" s="1605"/>
      <c r="AM697" s="2582"/>
    </row>
    <row r="698" spans="1:39" ht="12.4" customHeight="1">
      <c r="A698" s="1605"/>
      <c r="B698" s="1605"/>
      <c r="C698" s="1605"/>
      <c r="D698" s="1605"/>
      <c r="E698" s="1605"/>
      <c r="F698" s="1605"/>
      <c r="G698" s="1605"/>
      <c r="H698" s="1605"/>
      <c r="I698" s="1605"/>
      <c r="J698" s="1605"/>
      <c r="K698" s="1605"/>
      <c r="L698" s="1605"/>
      <c r="M698" s="1605"/>
      <c r="N698" s="1605"/>
      <c r="O698" s="1605"/>
      <c r="P698" s="1605"/>
      <c r="Q698" s="1605"/>
      <c r="R698" s="1605"/>
      <c r="S698" s="1605"/>
      <c r="T698" s="1605"/>
      <c r="U698" s="1605"/>
      <c r="V698" s="1605"/>
      <c r="W698" s="1605"/>
      <c r="X698" s="1605"/>
      <c r="Y698" s="1605"/>
      <c r="Z698" s="1605"/>
      <c r="AA698" s="1605"/>
      <c r="AB698" s="1605"/>
      <c r="AC698" s="1605"/>
      <c r="AD698" s="1605"/>
      <c r="AE698" s="1605"/>
      <c r="AF698" s="1605"/>
      <c r="AG698" s="1605"/>
      <c r="AH698" s="1605"/>
      <c r="AI698" s="1605"/>
      <c r="AJ698" s="1605"/>
      <c r="AK698" s="1605"/>
      <c r="AL698" s="1605"/>
      <c r="AM698" s="2582"/>
    </row>
    <row r="699" spans="1:39" ht="56.25" customHeight="1">
      <c r="A699" s="1605"/>
      <c r="B699" s="1605"/>
      <c r="C699" s="1605"/>
      <c r="D699" s="1605"/>
      <c r="E699" s="1605"/>
      <c r="F699" s="1605"/>
      <c r="G699" s="1605"/>
      <c r="H699" s="1605"/>
      <c r="I699" s="1605"/>
      <c r="J699" s="1605"/>
      <c r="K699" s="1605"/>
      <c r="L699" s="1605"/>
      <c r="M699" s="1605"/>
      <c r="N699" s="1605"/>
      <c r="O699" s="1605"/>
      <c r="P699" s="1605"/>
      <c r="Q699" s="1605"/>
      <c r="R699" s="1605"/>
      <c r="S699" s="1605"/>
      <c r="T699" s="1605"/>
      <c r="U699" s="1605"/>
      <c r="V699" s="1605"/>
      <c r="W699" s="1605"/>
      <c r="X699" s="1605"/>
      <c r="Y699" s="1605"/>
      <c r="Z699" s="1605"/>
      <c r="AA699" s="1605"/>
      <c r="AB699" s="1605"/>
      <c r="AC699" s="1605"/>
      <c r="AD699" s="1605"/>
      <c r="AE699" s="1605"/>
      <c r="AF699" s="1605"/>
      <c r="AG699" s="1605"/>
      <c r="AH699" s="1605"/>
      <c r="AI699" s="1605"/>
      <c r="AJ699" s="1605"/>
      <c r="AK699" s="1605"/>
      <c r="AL699" s="1605"/>
      <c r="AM699" s="2582"/>
    </row>
    <row r="700" spans="1:39" ht="12.4" hidden="1" customHeight="1">
      <c r="A700" s="1605"/>
      <c r="B700" s="1605"/>
      <c r="C700" s="1605"/>
      <c r="D700" s="1605"/>
      <c r="E700" s="1605"/>
      <c r="F700" s="1605"/>
      <c r="G700" s="1605"/>
      <c r="H700" s="1605"/>
      <c r="I700" s="1605"/>
      <c r="J700" s="1605"/>
      <c r="K700" s="1605"/>
      <c r="L700" s="1605"/>
      <c r="M700" s="1605"/>
      <c r="N700" s="1605"/>
      <c r="O700" s="1605"/>
      <c r="P700" s="1605"/>
      <c r="Q700" s="1605"/>
      <c r="R700" s="1605"/>
      <c r="S700" s="1605"/>
      <c r="T700" s="1605"/>
      <c r="U700" s="1605"/>
      <c r="V700" s="1605"/>
      <c r="W700" s="1605"/>
      <c r="X700" s="1605"/>
      <c r="Y700" s="1605"/>
      <c r="Z700" s="1605"/>
      <c r="AA700" s="1605"/>
      <c r="AB700" s="1605"/>
      <c r="AC700" s="1605"/>
      <c r="AD700" s="1605"/>
      <c r="AE700" s="1605"/>
      <c r="AF700" s="1605"/>
      <c r="AG700" s="1605"/>
      <c r="AH700" s="1605"/>
      <c r="AI700" s="1605"/>
      <c r="AJ700" s="1605"/>
      <c r="AK700" s="1605"/>
      <c r="AL700" s="1605"/>
      <c r="AM700" s="2582"/>
    </row>
    <row r="701" spans="1:39" ht="12.4" hidden="1" customHeight="1">
      <c r="A701" s="1605"/>
      <c r="B701" s="1605"/>
      <c r="C701" s="1605"/>
      <c r="D701" s="1605"/>
      <c r="E701" s="1605"/>
      <c r="F701" s="1605"/>
      <c r="G701" s="1605"/>
      <c r="H701" s="1605"/>
      <c r="I701" s="1605"/>
      <c r="J701" s="1605"/>
      <c r="K701" s="1605"/>
      <c r="L701" s="1605"/>
      <c r="M701" s="1605"/>
      <c r="N701" s="1605"/>
      <c r="O701" s="1605"/>
      <c r="P701" s="1605"/>
      <c r="Q701" s="1605"/>
      <c r="R701" s="1605"/>
      <c r="S701" s="1605"/>
      <c r="T701" s="1605"/>
      <c r="U701" s="1605"/>
      <c r="V701" s="1605"/>
      <c r="W701" s="1605"/>
      <c r="X701" s="1605"/>
      <c r="Y701" s="1605"/>
      <c r="Z701" s="1605"/>
      <c r="AA701" s="1605"/>
      <c r="AB701" s="1605"/>
      <c r="AC701" s="1605"/>
      <c r="AD701" s="1605"/>
      <c r="AE701" s="1605"/>
      <c r="AF701" s="1605"/>
      <c r="AG701" s="1605"/>
      <c r="AH701" s="1605"/>
      <c r="AI701" s="1605"/>
      <c r="AJ701" s="1605"/>
      <c r="AK701" s="1605"/>
      <c r="AL701" s="1605"/>
      <c r="AM701" s="2582"/>
    </row>
    <row r="702" spans="1:39" ht="12.4" hidden="1" customHeight="1">
      <c r="A702" s="1605"/>
      <c r="B702" s="1605"/>
      <c r="C702" s="1605"/>
      <c r="D702" s="1605"/>
      <c r="E702" s="1605"/>
      <c r="F702" s="1605"/>
      <c r="G702" s="1605"/>
      <c r="H702" s="1605"/>
      <c r="I702" s="1605"/>
      <c r="J702" s="1605"/>
      <c r="K702" s="1605"/>
      <c r="L702" s="1605"/>
      <c r="M702" s="1605"/>
      <c r="N702" s="1605"/>
      <c r="O702" s="1605"/>
      <c r="P702" s="1605"/>
      <c r="Q702" s="1605"/>
      <c r="R702" s="1605"/>
      <c r="S702" s="1605"/>
      <c r="T702" s="1605"/>
      <c r="U702" s="1605"/>
      <c r="V702" s="1605"/>
      <c r="W702" s="1605"/>
      <c r="X702" s="1605"/>
      <c r="Y702" s="1605"/>
      <c r="Z702" s="1605"/>
      <c r="AA702" s="1605"/>
      <c r="AB702" s="1605"/>
      <c r="AC702" s="1605"/>
      <c r="AD702" s="1605"/>
      <c r="AE702" s="1605"/>
      <c r="AF702" s="1605"/>
      <c r="AG702" s="1605"/>
      <c r="AH702" s="1605"/>
      <c r="AI702" s="1605"/>
      <c r="AJ702" s="1605"/>
      <c r="AK702" s="1605"/>
      <c r="AL702" s="1605"/>
      <c r="AM702" s="258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7" customWidth="1"/>
    <col min="6" max="6" width="2.5703125" style="1461" customWidth="1"/>
    <col min="7" max="7" width="2.5703125" style="1457" customWidth="1"/>
    <col min="8" max="8" width="2.5703125" style="1461" customWidth="1"/>
    <col min="9" max="10" width="2.5703125" style="1457" customWidth="1"/>
    <col min="11" max="11" width="2.5703125" style="1458" customWidth="1"/>
    <col min="12" max="43" width="2.5703125" style="1457" customWidth="1"/>
    <col min="44" max="47" width="2.5703125" style="1457" hidden="1" customWidth="1"/>
    <col min="48" max="16384" width="9.140625" style="1457" hidden="1"/>
  </cols>
  <sheetData>
    <row r="1" spans="1:57" ht="15" customHeight="1">
      <c r="A1" s="2604" t="s">
        <v>2259</v>
      </c>
      <c r="B1" s="2604"/>
      <c r="C1" s="2604"/>
      <c r="D1" s="2604"/>
      <c r="E1" s="2604"/>
      <c r="F1" s="2604"/>
      <c r="G1" s="2604"/>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604"/>
      <c r="AJ1" s="2604"/>
      <c r="AK1" s="2604"/>
      <c r="AL1" s="2604"/>
      <c r="AM1" s="2604"/>
      <c r="AN1" s="2604"/>
      <c r="AO1" s="2604"/>
      <c r="AP1" s="2604"/>
      <c r="AQ1" s="2604"/>
    </row>
    <row r="2" spans="1:57" ht="15" customHeight="1">
      <c r="A2" s="2604"/>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row>
    <row r="3" spans="1:57">
      <c r="A3" s="1459"/>
      <c r="B3" s="1459"/>
      <c r="E3" s="1460"/>
      <c r="I3" s="1462"/>
      <c r="K3" s="1463"/>
    </row>
    <row r="4" spans="1:57" ht="14.25" customHeight="1">
      <c r="A4" s="2603" t="s">
        <v>2260</v>
      </c>
      <c r="B4" s="2603"/>
      <c r="C4" s="2603"/>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row>
    <row r="5" spans="1:57">
      <c r="A5" s="1459"/>
      <c r="B5" s="1459"/>
      <c r="E5" s="1460"/>
      <c r="I5" s="1462"/>
      <c r="K5" s="1463"/>
    </row>
    <row r="6" spans="1:57">
      <c r="A6" s="1459"/>
      <c r="B6" s="1459"/>
      <c r="D6" s="1457" t="s">
        <v>2263</v>
      </c>
      <c r="I6" s="1462"/>
      <c r="K6" s="1463"/>
      <c r="U6" s="2602"/>
      <c r="V6" s="2602"/>
      <c r="W6" s="2602"/>
      <c r="BC6" s="1457" t="s">
        <v>2261</v>
      </c>
    </row>
    <row r="7" spans="1:57">
      <c r="A7" s="1459"/>
      <c r="B7" s="1459"/>
      <c r="D7" s="1464" t="s">
        <v>2264</v>
      </c>
      <c r="E7" s="1460"/>
      <c r="I7" s="1462"/>
      <c r="K7" s="1463"/>
      <c r="BC7" s="1457" t="s">
        <v>2262</v>
      </c>
    </row>
    <row r="8" spans="1:57">
      <c r="A8" s="1459"/>
      <c r="B8" s="1459"/>
      <c r="D8" s="1464"/>
      <c r="E8" s="1457" t="s">
        <v>2277</v>
      </c>
      <c r="BC8" s="1457" t="s">
        <v>2265</v>
      </c>
    </row>
    <row r="9" spans="1:57">
      <c r="A9" s="1459"/>
      <c r="B9" s="1459"/>
      <c r="E9" s="1460" t="s">
        <v>2276</v>
      </c>
      <c r="I9" s="1462"/>
      <c r="K9" s="1463"/>
      <c r="P9" s="2610"/>
      <c r="Q9" s="2610"/>
      <c r="R9" s="2610"/>
      <c r="S9" s="2610"/>
      <c r="T9" s="2610"/>
    </row>
    <row r="10" spans="1:57">
      <c r="A10" s="1459"/>
      <c r="B10" s="1459"/>
      <c r="E10" s="1460"/>
      <c r="I10" s="1462"/>
      <c r="K10" s="1463"/>
    </row>
    <row r="11" spans="1:57">
      <c r="A11" s="2603" t="s">
        <v>2266</v>
      </c>
      <c r="B11" s="2603"/>
      <c r="C11" s="2603"/>
      <c r="D11" s="2603"/>
      <c r="E11" s="2603"/>
      <c r="F11" s="2603"/>
      <c r="G11" s="2603"/>
      <c r="H11" s="2603"/>
      <c r="I11" s="2603"/>
      <c r="J11" s="2603"/>
      <c r="K11" s="2603"/>
      <c r="L11" s="2603"/>
      <c r="M11" s="2603"/>
      <c r="N11" s="2603"/>
      <c r="O11" s="2603"/>
      <c r="P11" s="2603"/>
      <c r="Q11" s="2603"/>
      <c r="R11" s="2603"/>
      <c r="S11" s="2603"/>
      <c r="T11" s="2603"/>
      <c r="U11" s="2603"/>
      <c r="V11" s="2603"/>
      <c r="W11" s="2603"/>
      <c r="X11" s="2603"/>
      <c r="Y11" s="2603"/>
      <c r="Z11" s="2603"/>
      <c r="AA11" s="2603"/>
      <c r="AB11" s="2603"/>
      <c r="AC11" s="2603"/>
      <c r="AD11" s="2603"/>
      <c r="AE11" s="2603"/>
      <c r="AF11" s="2603"/>
      <c r="AG11" s="2603"/>
      <c r="AH11" s="2603"/>
      <c r="AI11" s="2603"/>
      <c r="AJ11" s="2603"/>
      <c r="AK11" s="2603"/>
      <c r="AL11" s="2603"/>
      <c r="AM11" s="2603"/>
      <c r="AN11" s="2603"/>
      <c r="AO11" s="2603"/>
      <c r="AP11" s="2603"/>
      <c r="AQ11" s="2603"/>
      <c r="BC11" s="1457" t="s">
        <v>118</v>
      </c>
    </row>
    <row r="12" spans="1:57">
      <c r="A12" s="1459"/>
      <c r="B12" s="1459"/>
      <c r="E12" s="1460"/>
      <c r="I12" s="1462"/>
      <c r="K12" s="1463"/>
      <c r="BC12" s="1457" t="s">
        <v>527</v>
      </c>
    </row>
    <row r="13" spans="1:57">
      <c r="A13" s="1459"/>
      <c r="B13" s="1459"/>
      <c r="D13" s="1457" t="s">
        <v>2267</v>
      </c>
      <c r="E13" s="1460"/>
      <c r="I13" s="1462"/>
      <c r="K13" s="1463"/>
      <c r="T13" s="2602"/>
      <c r="U13" s="2602"/>
      <c r="V13" s="2602"/>
    </row>
    <row r="14" spans="1:57">
      <c r="A14" s="1459"/>
      <c r="B14" s="1459"/>
      <c r="E14" s="1460" t="s">
        <v>2274</v>
      </c>
      <c r="I14" s="1462"/>
      <c r="K14" s="1463"/>
      <c r="N14" s="2608"/>
      <c r="O14" s="2608"/>
      <c r="P14" s="2608"/>
      <c r="Q14" s="2608"/>
      <c r="R14" s="2608"/>
      <c r="S14" s="2608"/>
      <c r="T14" s="2608"/>
      <c r="U14" s="2608"/>
      <c r="V14" s="2608"/>
      <c r="W14" s="2608"/>
      <c r="X14" s="2608"/>
      <c r="Y14" s="2608"/>
      <c r="Z14" s="2608"/>
      <c r="AA14" s="2608"/>
      <c r="AB14" s="2608"/>
      <c r="AC14" s="2608"/>
      <c r="AD14" s="2608"/>
      <c r="AE14" s="2608"/>
    </row>
    <row r="15" spans="1:57">
      <c r="A15" s="1459"/>
      <c r="B15" s="1459"/>
      <c r="E15" s="1460" t="s">
        <v>2268</v>
      </c>
      <c r="I15" s="1462"/>
      <c r="K15" s="1463"/>
      <c r="N15" s="1488"/>
      <c r="O15" s="1488"/>
      <c r="P15" s="1488"/>
      <c r="Q15" s="1488"/>
      <c r="R15" s="1488"/>
      <c r="S15" s="1488"/>
      <c r="T15" s="1488"/>
      <c r="U15" s="1488"/>
      <c r="V15" s="1488"/>
      <c r="W15" s="1488"/>
      <c r="X15" s="1488"/>
      <c r="Y15" s="1488"/>
      <c r="Z15" s="1488"/>
      <c r="AA15" s="1488"/>
      <c r="AB15" s="1488"/>
      <c r="AC15" s="1488"/>
      <c r="AD15" s="1488"/>
      <c r="AE15" s="1488"/>
      <c r="BC15" s="1457" t="s">
        <v>2278</v>
      </c>
      <c r="BE15" s="1457">
        <f>'Basis &amp; Credits'!AB55</f>
        <v>2500000</v>
      </c>
    </row>
    <row r="16" spans="1:57">
      <c r="A16" s="1459"/>
      <c r="B16" s="1459"/>
      <c r="BC16" s="1457" t="s">
        <v>2279</v>
      </c>
      <c r="BE16" s="1457">
        <f>'Basis &amp; Credits'!T11+'Basis &amp; Credits'!AD11</f>
        <v>38815509.06984631</v>
      </c>
    </row>
    <row r="17" spans="1:43">
      <c r="A17" s="1459"/>
      <c r="B17" s="1459"/>
      <c r="D17" s="1457" t="s">
        <v>2269</v>
      </c>
      <c r="E17" s="1460"/>
      <c r="I17" s="1462"/>
      <c r="K17" s="1463"/>
      <c r="U17" s="2609" t="str">
        <f>IF(T13="yes",(BE15/BE16)," ")</f>
        <v xml:space="preserve"> </v>
      </c>
      <c r="V17" s="2609"/>
      <c r="W17" s="2609"/>
      <c r="X17" s="2609"/>
      <c r="Y17" s="2609"/>
    </row>
    <row r="18" spans="1:43">
      <c r="A18" s="1459"/>
      <c r="B18" s="1459"/>
      <c r="E18" s="1460"/>
      <c r="I18" s="1462"/>
      <c r="K18" s="1463"/>
    </row>
    <row r="19" spans="1:43">
      <c r="A19" s="2603" t="s">
        <v>2271</v>
      </c>
      <c r="B19" s="2603"/>
      <c r="C19" s="2603"/>
      <c r="D19" s="2603"/>
      <c r="E19" s="2603"/>
      <c r="F19" s="2603"/>
      <c r="G19" s="2603"/>
      <c r="H19" s="2603"/>
      <c r="I19" s="2603"/>
      <c r="J19" s="2603"/>
      <c r="K19" s="2603"/>
      <c r="L19" s="2603"/>
      <c r="M19" s="2603"/>
      <c r="N19" s="2603"/>
      <c r="O19" s="2603"/>
      <c r="P19" s="2603"/>
      <c r="Q19" s="2603"/>
      <c r="R19" s="2603"/>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c r="AN19" s="2603"/>
      <c r="AO19" s="2603"/>
      <c r="AP19" s="2603"/>
      <c r="AQ19" s="2603"/>
    </row>
    <row r="20" spans="1:43">
      <c r="C20" s="1459"/>
      <c r="D20" s="1459"/>
      <c r="F20" s="1457"/>
      <c r="G20" s="1460"/>
      <c r="J20" s="1461"/>
      <c r="K20" s="1462"/>
      <c r="M20" s="1463"/>
    </row>
    <row r="21" spans="1:43">
      <c r="C21" s="1459"/>
      <c r="D21" s="1459"/>
      <c r="F21" s="1457"/>
      <c r="G21" s="1460"/>
      <c r="J21" s="1461"/>
      <c r="K21" s="1462"/>
      <c r="M21" s="1463"/>
    </row>
    <row r="22" spans="1:43">
      <c r="C22" s="1465" t="s">
        <v>789</v>
      </c>
      <c r="D22" s="1465"/>
      <c r="E22" s="1457" t="s">
        <v>2272</v>
      </c>
      <c r="F22" s="1457"/>
      <c r="H22" s="1466"/>
      <c r="J22" s="1461"/>
      <c r="K22" s="1457"/>
      <c r="M22" s="1467"/>
      <c r="Q22" s="2611">
        <f>ROUND('Basis &amp; Credits'!AB55,0)</f>
        <v>2500000</v>
      </c>
      <c r="R22" s="2611"/>
      <c r="S22" s="2611"/>
      <c r="T22" s="2611"/>
      <c r="U22" s="2611"/>
      <c r="V22" s="2611"/>
      <c r="W22" s="2611"/>
      <c r="X22" s="2611"/>
      <c r="Y22" s="1487"/>
    </row>
    <row r="23" spans="1:43">
      <c r="C23" s="1459"/>
      <c r="D23" s="1459"/>
      <c r="F23" s="1457"/>
      <c r="G23" s="1468"/>
      <c r="H23" s="1469"/>
      <c r="I23" s="1470"/>
      <c r="J23" s="1471"/>
      <c r="K23" s="1468"/>
      <c r="M23" s="1458"/>
    </row>
    <row r="24" spans="1:43" s="1474" customFormat="1">
      <c r="C24" s="1472"/>
      <c r="D24" s="1472"/>
      <c r="E24" s="1473"/>
      <c r="J24" s="1471"/>
      <c r="L24" s="2614" t="s">
        <v>2249</v>
      </c>
      <c r="M24" s="2614"/>
      <c r="N24" s="2614"/>
      <c r="P24" s="2599" t="s">
        <v>2250</v>
      </c>
      <c r="Q24" s="2599"/>
      <c r="R24" s="2599"/>
      <c r="S24" s="2599"/>
      <c r="T24" s="2599"/>
      <c r="V24" s="2599" t="s">
        <v>2251</v>
      </c>
      <c r="W24" s="2599"/>
      <c r="X24" s="2599"/>
      <c r="AC24" s="1457"/>
      <c r="AD24" s="1457"/>
      <c r="AE24" s="1457"/>
      <c r="AF24" s="1457"/>
      <c r="AG24" s="1457"/>
      <c r="AH24" s="1457"/>
    </row>
    <row r="25" spans="1:43">
      <c r="C25" s="1465" t="s">
        <v>205</v>
      </c>
      <c r="D25" s="1465"/>
      <c r="E25" s="1457" t="s">
        <v>1068</v>
      </c>
      <c r="F25" s="1457"/>
      <c r="J25" s="1471"/>
      <c r="L25" s="2600" t="s">
        <v>2252</v>
      </c>
      <c r="M25" s="2600"/>
      <c r="N25" s="2600"/>
      <c r="P25" s="2600" t="s">
        <v>2253</v>
      </c>
      <c r="Q25" s="2600"/>
      <c r="R25" s="2600"/>
      <c r="S25" s="2600"/>
      <c r="T25" s="2600"/>
      <c r="V25" s="2600" t="s">
        <v>2252</v>
      </c>
      <c r="W25" s="2600"/>
      <c r="X25" s="2600"/>
    </row>
    <row r="26" spans="1:43">
      <c r="C26" s="1459"/>
      <c r="D26" s="1459"/>
      <c r="E26" s="1475" t="s">
        <v>2254</v>
      </c>
      <c r="F26" s="1475"/>
      <c r="J26" s="1476"/>
      <c r="L26" s="2615">
        <f>Application!BN627</f>
        <v>37</v>
      </c>
      <c r="M26" s="2615"/>
      <c r="N26" s="2615"/>
      <c r="P26" s="2601">
        <v>0.9</v>
      </c>
      <c r="Q26" s="2601"/>
      <c r="R26" s="2601"/>
      <c r="S26" s="2601"/>
      <c r="T26" s="2601"/>
      <c r="V26" s="2601">
        <f>L26*P26</f>
        <v>33.300000000000004</v>
      </c>
      <c r="W26" s="2601"/>
      <c r="X26" s="2601"/>
    </row>
    <row r="27" spans="1:43">
      <c r="C27" s="1459"/>
      <c r="D27" s="1459"/>
      <c r="E27" s="1474" t="s">
        <v>2255</v>
      </c>
      <c r="F27" s="1474"/>
      <c r="J27" s="1476"/>
      <c r="L27" s="2591">
        <f>Application!BS627</f>
        <v>8</v>
      </c>
      <c r="M27" s="2591">
        <f>Application!BS635+Application!BS644+Application!CX658</f>
        <v>0</v>
      </c>
      <c r="N27" s="2591"/>
      <c r="P27" s="2596">
        <v>1</v>
      </c>
      <c r="Q27" s="2596"/>
      <c r="R27" s="2596"/>
      <c r="S27" s="2596"/>
      <c r="T27" s="2596"/>
      <c r="V27" s="2597">
        <f t="shared" ref="V27:V29" si="0">L27*P27</f>
        <v>8</v>
      </c>
      <c r="W27" s="2597"/>
      <c r="X27" s="2597"/>
    </row>
    <row r="28" spans="1:43">
      <c r="C28" s="1459"/>
      <c r="D28" s="1459"/>
      <c r="E28" s="1474" t="s">
        <v>2256</v>
      </c>
      <c r="F28" s="1474"/>
      <c r="J28" s="1476"/>
      <c r="L28" s="2591">
        <f>Application!BX627</f>
        <v>4</v>
      </c>
      <c r="M28" s="2591">
        <f>Application!BX635+Application!BX644+Application!DC658</f>
        <v>0</v>
      </c>
      <c r="N28" s="2591"/>
      <c r="P28" s="2596">
        <v>1.25</v>
      </c>
      <c r="Q28" s="2596"/>
      <c r="R28" s="2596"/>
      <c r="S28" s="2596"/>
      <c r="T28" s="2596"/>
      <c r="V28" s="2597">
        <f t="shared" si="0"/>
        <v>5</v>
      </c>
      <c r="W28" s="2597"/>
      <c r="X28" s="2597"/>
    </row>
    <row r="29" spans="1:43">
      <c r="C29" s="1459"/>
      <c r="D29" s="1459"/>
      <c r="E29" s="1474" t="s">
        <v>2257</v>
      </c>
      <c r="F29" s="1474"/>
      <c r="J29" s="1476"/>
      <c r="L29" s="2591">
        <f>Application!CC627</f>
        <v>0</v>
      </c>
      <c r="M29" s="2591">
        <f>Application!CC635+Application!CC644+Application!DH658</f>
        <v>0</v>
      </c>
      <c r="N29" s="2591"/>
      <c r="P29" s="2596">
        <v>1.5</v>
      </c>
      <c r="Q29" s="2596"/>
      <c r="R29" s="2596"/>
      <c r="S29" s="2596"/>
      <c r="T29" s="2596"/>
      <c r="V29" s="2597">
        <f t="shared" si="0"/>
        <v>0</v>
      </c>
      <c r="W29" s="2597"/>
      <c r="X29" s="2597"/>
    </row>
    <row r="30" spans="1:43">
      <c r="C30" s="1459"/>
      <c r="D30" s="1459"/>
      <c r="E30" s="1474" t="s">
        <v>2258</v>
      </c>
      <c r="F30" s="1474"/>
      <c r="J30" s="1476"/>
      <c r="L30" s="2592">
        <f>Application!CH627+Application!CM627</f>
        <v>0</v>
      </c>
      <c r="M30" s="2592"/>
      <c r="N30" s="2592"/>
      <c r="P30" s="2596">
        <v>1.75</v>
      </c>
      <c r="Q30" s="2596"/>
      <c r="R30" s="2596">
        <f>1.75+0.25*0</f>
        <v>1.75</v>
      </c>
      <c r="S30" s="2596"/>
      <c r="T30" s="2596"/>
      <c r="V30" s="2598">
        <f>L30*P30</f>
        <v>0</v>
      </c>
      <c r="W30" s="2598"/>
      <c r="X30" s="2598"/>
    </row>
    <row r="31" spans="1:43">
      <c r="C31" s="1459"/>
      <c r="D31" s="1459"/>
      <c r="F31" s="1457"/>
      <c r="J31" s="1461"/>
      <c r="L31" s="2612">
        <f>SUM(L26:N30)</f>
        <v>49</v>
      </c>
      <c r="M31" s="2613"/>
      <c r="N31" s="2613"/>
      <c r="V31" s="2601">
        <f>SUM(V26:X30)</f>
        <v>46.300000000000004</v>
      </c>
      <c r="W31" s="2601"/>
      <c r="X31" s="2601"/>
      <c r="AA31" s="1460"/>
    </row>
    <row r="32" spans="1:43">
      <c r="C32" s="1459"/>
      <c r="D32" s="1459"/>
      <c r="F32" s="1457"/>
      <c r="G32" s="1460"/>
      <c r="J32" s="1461"/>
      <c r="K32" s="1477"/>
      <c r="N32" s="1461"/>
    </row>
    <row r="33" spans="1:27">
      <c r="C33" s="1465" t="s">
        <v>206</v>
      </c>
      <c r="D33" s="1465"/>
      <c r="E33" s="1478" t="s">
        <v>2273</v>
      </c>
      <c r="H33" s="1479"/>
      <c r="I33" s="1480"/>
      <c r="J33" s="1481"/>
      <c r="K33" s="1477"/>
      <c r="M33" s="1458"/>
      <c r="V33" s="2593">
        <f>IF(V31&gt;0,V31/Q22," ")</f>
        <v>1.8520000000000002E-5</v>
      </c>
      <c r="W33" s="2594"/>
      <c r="X33" s="2594"/>
      <c r="Y33" s="2594"/>
      <c r="Z33" s="2594"/>
      <c r="AA33" s="2595"/>
    </row>
    <row r="34" spans="1:27">
      <c r="F34" s="1457"/>
      <c r="J34" s="1461"/>
      <c r="K34" s="1457"/>
      <c r="M34" s="1458"/>
    </row>
    <row r="35" spans="1:27">
      <c r="E35" s="1459" t="s">
        <v>2280</v>
      </c>
      <c r="F35" s="1459"/>
      <c r="G35" s="1459"/>
      <c r="H35" s="1478"/>
      <c r="I35" s="1459"/>
      <c r="J35" s="1478"/>
      <c r="K35" s="1459"/>
      <c r="L35" s="1459"/>
      <c r="M35" s="1489"/>
      <c r="N35" s="1459"/>
      <c r="O35" s="1459"/>
      <c r="P35" s="1459"/>
      <c r="Q35" s="1459"/>
      <c r="R35" s="1459"/>
      <c r="V35" s="2605">
        <f>IF(V31&gt;0,1/V33," ")</f>
        <v>53995.680345572349</v>
      </c>
      <c r="W35" s="2606"/>
      <c r="X35" s="2606"/>
      <c r="Y35" s="2606"/>
      <c r="Z35" s="2606"/>
      <c r="AA35" s="2607"/>
    </row>
    <row r="36" spans="1:27" ht="12.75" customHeight="1">
      <c r="B36" s="1482"/>
      <c r="C36" s="1482"/>
      <c r="D36" s="1482"/>
      <c r="E36" s="1482"/>
      <c r="F36" s="1482"/>
      <c r="G36" s="1482"/>
      <c r="H36" s="1482"/>
      <c r="I36" s="1482"/>
    </row>
    <row r="37" spans="1:27">
      <c r="A37" s="1482"/>
      <c r="B37" s="1482"/>
      <c r="C37" s="1482"/>
      <c r="D37" s="1482"/>
      <c r="E37" s="1482"/>
      <c r="F37" s="1482"/>
      <c r="G37" s="1482"/>
      <c r="H37" s="1482"/>
      <c r="I37" s="1482"/>
    </row>
    <row r="38" spans="1:27">
      <c r="A38" s="1482"/>
      <c r="B38" s="1482"/>
      <c r="C38" s="1482"/>
      <c r="D38" s="1482"/>
      <c r="E38" s="1482"/>
      <c r="F38" s="1482"/>
      <c r="G38" s="1482"/>
      <c r="H38" s="1482"/>
      <c r="I38" s="1482"/>
    </row>
    <row r="39" spans="1:27">
      <c r="A39" s="1482"/>
      <c r="B39" s="1482"/>
      <c r="C39" s="1482"/>
      <c r="D39" s="1482"/>
      <c r="E39" s="1482"/>
      <c r="F39" s="1482"/>
      <c r="G39" s="1482"/>
      <c r="H39" s="1482"/>
      <c r="I39" s="148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Kate Blessing-Kawamura</cp:lastModifiedBy>
  <cp:lastPrinted>2022-06-30T02:50:25Z</cp:lastPrinted>
  <dcterms:created xsi:type="dcterms:W3CDTF">2007-12-27T18:26:28Z</dcterms:created>
  <dcterms:modified xsi:type="dcterms:W3CDTF">2022-06-30T04:03:19Z</dcterms:modified>
</cp:coreProperties>
</file>