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Y:\02. Pipeline Projects\19-10 Mariposa II Phase II (City San Marcos)\08. Funding\8.2 CTCAC\Application\2022 2nd Round\2. App Incomplete\"/>
    </mc:Choice>
  </mc:AlternateContent>
  <bookViews>
    <workbookView xWindow="-120" yWindow="-120" windowWidth="25440" windowHeight="15396" tabRatio="779" firstSheet="2" activeTab="2"/>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29" i="4" l="1"/>
  <c r="E34" i="4"/>
  <c r="F31" i="4"/>
  <c r="G4" i="4"/>
  <c r="H14" i="4"/>
  <c r="C4" i="4"/>
  <c r="J60" i="4"/>
  <c r="C60" i="4"/>
  <c r="AG388" i="3"/>
  <c r="F34" i="4"/>
  <c r="AM561" i="3"/>
  <c r="C5" i="4"/>
  <c r="AO637" i="3"/>
  <c r="AO636" i="3"/>
  <c r="K85" i="4"/>
  <c r="K87" i="4"/>
  <c r="K88" i="4"/>
  <c r="F45" i="4"/>
  <c r="J30" i="4"/>
  <c r="F30" i="4"/>
  <c r="F98" i="4"/>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AC752" i="3"/>
  <c r="AC753" i="3"/>
  <c r="AC754" i="3"/>
  <c r="AC755" i="3"/>
  <c r="AC756" i="3"/>
  <c r="AC766" i="3"/>
  <c r="AC767" i="3"/>
  <c r="AC768" i="3"/>
  <c r="AC769" i="3"/>
  <c r="AC770" i="3"/>
  <c r="AC771" i="3"/>
  <c r="AC772" i="3"/>
  <c r="AC773" i="3"/>
  <c r="AC774" i="3"/>
  <c r="AC775" i="3"/>
  <c r="AC776" i="3"/>
  <c r="Y779" i="3"/>
  <c r="E4" i="9"/>
  <c r="G4" i="9"/>
  <c r="C5" i="9"/>
  <c r="G5" i="9"/>
  <c r="H4" i="10"/>
  <c r="I4" i="10"/>
  <c r="H5" i="10"/>
  <c r="I5" i="10"/>
  <c r="C6" i="10"/>
  <c r="H6" i="10"/>
  <c r="B6" i="10"/>
  <c r="I6" i="10"/>
  <c r="H7" i="10"/>
  <c r="I7" i="10"/>
  <c r="H8" i="10"/>
  <c r="I8" i="10"/>
  <c r="C9" i="10"/>
  <c r="H9" i="10"/>
  <c r="B9" i="10"/>
  <c r="I9" i="10"/>
  <c r="C10" i="10"/>
  <c r="H10" i="10"/>
  <c r="B10" i="10"/>
  <c r="I10" i="10"/>
  <c r="H11" i="10"/>
  <c r="I11" i="10"/>
  <c r="C12" i="10"/>
  <c r="H12" i="10"/>
  <c r="B12" i="10"/>
  <c r="I12" i="10"/>
  <c r="C13" i="10"/>
  <c r="H13" i="10"/>
  <c r="B13" i="10"/>
  <c r="I13" i="10"/>
  <c r="C14" i="10"/>
  <c r="H14" i="10"/>
  <c r="B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I30" i="10"/>
  <c r="Z787" i="3"/>
  <c r="E6" i="9"/>
  <c r="G6" i="9"/>
  <c r="C7" i="9"/>
  <c r="G7" i="9"/>
  <c r="Z795" i="3"/>
  <c r="E8" i="9"/>
  <c r="G8" i="9"/>
  <c r="C9" i="9"/>
  <c r="G9" i="9"/>
  <c r="G10" i="9"/>
  <c r="W825" i="3"/>
  <c r="E14" i="9"/>
  <c r="G14" i="9"/>
  <c r="E15" i="9"/>
  <c r="G15" i="9"/>
  <c r="W833" i="3"/>
  <c r="E16" i="9"/>
  <c r="G16" i="9"/>
  <c r="W840" i="3"/>
  <c r="E17" i="9"/>
  <c r="G17" i="9"/>
  <c r="E18" i="9"/>
  <c r="G18" i="9"/>
  <c r="W850" i="3"/>
  <c r="E19" i="9"/>
  <c r="G19" i="9"/>
  <c r="W857" i="3"/>
  <c r="E20" i="9"/>
  <c r="G20" i="9"/>
  <c r="G21" i="9"/>
  <c r="G23" i="9"/>
  <c r="E25" i="9"/>
  <c r="G25" i="9"/>
  <c r="E26" i="9"/>
  <c r="G26" i="9"/>
  <c r="E27" i="9"/>
  <c r="G27" i="9"/>
  <c r="E28" i="9"/>
  <c r="G28" i="9"/>
  <c r="E29" i="9"/>
  <c r="G29" i="9"/>
  <c r="E30" i="9"/>
  <c r="G30" i="9"/>
  <c r="E31" i="9"/>
  <c r="G31" i="9"/>
  <c r="E32" i="9"/>
  <c r="G32" i="9"/>
  <c r="G34" i="9"/>
  <c r="G36" i="9"/>
  <c r="E39" i="9"/>
  <c r="G39" i="9"/>
  <c r="G40" i="9"/>
  <c r="G41" i="9"/>
  <c r="G42" i="9"/>
  <c r="G44" i="9"/>
  <c r="G52" i="9"/>
  <c r="G53" i="9"/>
  <c r="G54" i="9"/>
  <c r="G55" i="9"/>
  <c r="G56" i="9"/>
  <c r="G57" i="9"/>
  <c r="G59" i="9"/>
  <c r="I4" i="9"/>
  <c r="I5" i="9"/>
  <c r="I6" i="9"/>
  <c r="I7" i="9"/>
  <c r="I8" i="9"/>
  <c r="I9" i="9"/>
  <c r="I10" i="9"/>
  <c r="I14" i="9"/>
  <c r="I15" i="9"/>
  <c r="I16" i="9"/>
  <c r="I17" i="9"/>
  <c r="I18" i="9"/>
  <c r="I19" i="9"/>
  <c r="I20" i="9"/>
  <c r="I21" i="9"/>
  <c r="I23" i="9"/>
  <c r="I25" i="9"/>
  <c r="I26" i="9"/>
  <c r="I27" i="9"/>
  <c r="I28" i="9"/>
  <c r="I29" i="9"/>
  <c r="I30" i="9"/>
  <c r="I31" i="9"/>
  <c r="I32" i="9"/>
  <c r="I34" i="9"/>
  <c r="I36" i="9"/>
  <c r="I39" i="9"/>
  <c r="I40" i="9"/>
  <c r="I41" i="9"/>
  <c r="I42" i="9"/>
  <c r="I44" i="9"/>
  <c r="I52" i="9"/>
  <c r="I53" i="9"/>
  <c r="I54" i="9"/>
  <c r="I55" i="9"/>
  <c r="I56" i="9"/>
  <c r="I57" i="9"/>
  <c r="I59" i="9"/>
  <c r="K4" i="9"/>
  <c r="K5" i="9"/>
  <c r="K6" i="9"/>
  <c r="K7" i="9"/>
  <c r="K8" i="9"/>
  <c r="K9" i="9"/>
  <c r="K10" i="9"/>
  <c r="K14" i="9"/>
  <c r="K15" i="9"/>
  <c r="K16" i="9"/>
  <c r="K17" i="9"/>
  <c r="K18" i="9"/>
  <c r="K19" i="9"/>
  <c r="K20" i="9"/>
  <c r="K21" i="9"/>
  <c r="K23" i="9"/>
  <c r="K25" i="9"/>
  <c r="K26" i="9"/>
  <c r="K27" i="9"/>
  <c r="K28" i="9"/>
  <c r="K29" i="9"/>
  <c r="K30" i="9"/>
  <c r="K31" i="9"/>
  <c r="K32" i="9"/>
  <c r="K34" i="9"/>
  <c r="K36" i="9"/>
  <c r="K39" i="9"/>
  <c r="K40" i="9"/>
  <c r="K41" i="9"/>
  <c r="K42" i="9"/>
  <c r="K44" i="9"/>
  <c r="K52" i="9"/>
  <c r="K53" i="9"/>
  <c r="K54" i="9"/>
  <c r="K55" i="9"/>
  <c r="K56" i="9"/>
  <c r="K57" i="9"/>
  <c r="K59" i="9"/>
  <c r="M4" i="9"/>
  <c r="M5" i="9"/>
  <c r="M6" i="9"/>
  <c r="M7" i="9"/>
  <c r="M8" i="9"/>
  <c r="M9" i="9"/>
  <c r="M10" i="9"/>
  <c r="M14" i="9"/>
  <c r="M15" i="9"/>
  <c r="M16" i="9"/>
  <c r="M17" i="9"/>
  <c r="M18" i="9"/>
  <c r="M19" i="9"/>
  <c r="M20" i="9"/>
  <c r="M21" i="9"/>
  <c r="M23" i="9"/>
  <c r="M25" i="9"/>
  <c r="M26" i="9"/>
  <c r="M27" i="9"/>
  <c r="M28" i="9"/>
  <c r="M29" i="9"/>
  <c r="M30" i="9"/>
  <c r="M31" i="9"/>
  <c r="M32" i="9"/>
  <c r="M34" i="9"/>
  <c r="M36" i="9"/>
  <c r="M39" i="9"/>
  <c r="M40" i="9"/>
  <c r="M41" i="9"/>
  <c r="M42" i="9"/>
  <c r="M44" i="9"/>
  <c r="M52" i="9"/>
  <c r="M53" i="9"/>
  <c r="M54" i="9"/>
  <c r="M55" i="9"/>
  <c r="M56" i="9"/>
  <c r="M57" i="9"/>
  <c r="M59" i="9"/>
  <c r="O4" i="9"/>
  <c r="O5" i="9"/>
  <c r="O6" i="9"/>
  <c r="O7" i="9"/>
  <c r="O8" i="9"/>
  <c r="O9" i="9"/>
  <c r="O10" i="9"/>
  <c r="O14" i="9"/>
  <c r="O15" i="9"/>
  <c r="O16" i="9"/>
  <c r="O17" i="9"/>
  <c r="O18" i="9"/>
  <c r="O19" i="9"/>
  <c r="O20" i="9"/>
  <c r="O21" i="9"/>
  <c r="O23" i="9"/>
  <c r="O25" i="9"/>
  <c r="O26" i="9"/>
  <c r="O27" i="9"/>
  <c r="O28" i="9"/>
  <c r="O29" i="9"/>
  <c r="O30" i="9"/>
  <c r="O31" i="9"/>
  <c r="O32" i="9"/>
  <c r="O34" i="9"/>
  <c r="O36" i="9"/>
  <c r="O39" i="9"/>
  <c r="O40" i="9"/>
  <c r="O41" i="9"/>
  <c r="O42" i="9"/>
  <c r="O44" i="9"/>
  <c r="O52" i="9"/>
  <c r="O53" i="9"/>
  <c r="O54" i="9"/>
  <c r="O55" i="9"/>
  <c r="O56" i="9"/>
  <c r="O57" i="9"/>
  <c r="O59" i="9"/>
  <c r="Q4" i="9"/>
  <c r="Q5" i="9"/>
  <c r="Q6" i="9"/>
  <c r="Q7" i="9"/>
  <c r="Q8" i="9"/>
  <c r="Q9" i="9"/>
  <c r="Q10" i="9"/>
  <c r="Q14" i="9"/>
  <c r="Q15" i="9"/>
  <c r="Q16" i="9"/>
  <c r="Q17" i="9"/>
  <c r="Q18" i="9"/>
  <c r="Q19" i="9"/>
  <c r="Q20" i="9"/>
  <c r="Q21" i="9"/>
  <c r="Q23" i="9"/>
  <c r="Q25" i="9"/>
  <c r="Q26" i="9"/>
  <c r="Q27" i="9"/>
  <c r="Q28" i="9"/>
  <c r="Q29" i="9"/>
  <c r="Q30" i="9"/>
  <c r="Q31" i="9"/>
  <c r="Q32" i="9"/>
  <c r="Q34" i="9"/>
  <c r="Q36" i="9"/>
  <c r="Q39" i="9"/>
  <c r="Q40" i="9"/>
  <c r="Q41" i="9"/>
  <c r="Q42" i="9"/>
  <c r="Q44" i="9"/>
  <c r="Q52" i="9"/>
  <c r="Q53" i="9"/>
  <c r="Q54" i="9"/>
  <c r="Q55" i="9"/>
  <c r="Q56" i="9"/>
  <c r="Q57" i="9"/>
  <c r="Q59" i="9"/>
  <c r="S4" i="9"/>
  <c r="S5" i="9"/>
  <c r="S6" i="9"/>
  <c r="S7" i="9"/>
  <c r="S8" i="9"/>
  <c r="S9" i="9"/>
  <c r="S10" i="9"/>
  <c r="S14" i="9"/>
  <c r="S15" i="9"/>
  <c r="S16" i="9"/>
  <c r="S17" i="9"/>
  <c r="S18" i="9"/>
  <c r="S19" i="9"/>
  <c r="S20" i="9"/>
  <c r="S21" i="9"/>
  <c r="S23" i="9"/>
  <c r="S25" i="9"/>
  <c r="S26" i="9"/>
  <c r="S27" i="9"/>
  <c r="S28" i="9"/>
  <c r="S29" i="9"/>
  <c r="S30" i="9"/>
  <c r="S31" i="9"/>
  <c r="S32" i="9"/>
  <c r="S34" i="9"/>
  <c r="S36" i="9"/>
  <c r="S39" i="9"/>
  <c r="S40" i="9"/>
  <c r="S41" i="9"/>
  <c r="S42" i="9"/>
  <c r="S44" i="9"/>
  <c r="S52" i="9"/>
  <c r="S53" i="9"/>
  <c r="S54" i="9"/>
  <c r="S55" i="9"/>
  <c r="S56" i="9"/>
  <c r="S57" i="9"/>
  <c r="S59" i="9"/>
  <c r="U4" i="9"/>
  <c r="U5" i="9"/>
  <c r="U6" i="9"/>
  <c r="U7" i="9"/>
  <c r="U8" i="9"/>
  <c r="U9" i="9"/>
  <c r="U10" i="9"/>
  <c r="U14" i="9"/>
  <c r="U15" i="9"/>
  <c r="U16" i="9"/>
  <c r="U17" i="9"/>
  <c r="U18" i="9"/>
  <c r="U19" i="9"/>
  <c r="U20" i="9"/>
  <c r="U21" i="9"/>
  <c r="U23" i="9"/>
  <c r="U25" i="9"/>
  <c r="U26" i="9"/>
  <c r="U27" i="9"/>
  <c r="U28" i="9"/>
  <c r="U29" i="9"/>
  <c r="U30" i="9"/>
  <c r="U31" i="9"/>
  <c r="U32" i="9"/>
  <c r="U34" i="9"/>
  <c r="U36" i="9"/>
  <c r="U39" i="9"/>
  <c r="U40" i="9"/>
  <c r="U41" i="9"/>
  <c r="U42" i="9"/>
  <c r="U44" i="9"/>
  <c r="U52" i="9"/>
  <c r="U53" i="9"/>
  <c r="U54" i="9"/>
  <c r="U55" i="9"/>
  <c r="U56" i="9"/>
  <c r="U57" i="9"/>
  <c r="U59" i="9"/>
  <c r="W4" i="9"/>
  <c r="W5" i="9"/>
  <c r="W6" i="9"/>
  <c r="W7" i="9"/>
  <c r="W8" i="9"/>
  <c r="W9" i="9"/>
  <c r="W10" i="9"/>
  <c r="W14" i="9"/>
  <c r="W15" i="9"/>
  <c r="W16" i="9"/>
  <c r="W17" i="9"/>
  <c r="W18" i="9"/>
  <c r="W19" i="9"/>
  <c r="W20" i="9"/>
  <c r="W21" i="9"/>
  <c r="W23" i="9"/>
  <c r="W25" i="9"/>
  <c r="W26" i="9"/>
  <c r="W27" i="9"/>
  <c r="W28" i="9"/>
  <c r="W29" i="9"/>
  <c r="W30" i="9"/>
  <c r="W31" i="9"/>
  <c r="W32" i="9"/>
  <c r="W34" i="9"/>
  <c r="W36" i="9"/>
  <c r="W39" i="9"/>
  <c r="W40" i="9"/>
  <c r="W41" i="9"/>
  <c r="W42" i="9"/>
  <c r="W44" i="9"/>
  <c r="W52" i="9"/>
  <c r="W53" i="9"/>
  <c r="W54" i="9"/>
  <c r="W55" i="9"/>
  <c r="W56" i="9"/>
  <c r="W57" i="9"/>
  <c r="W59" i="9"/>
  <c r="Y4" i="9"/>
  <c r="Y5" i="9"/>
  <c r="Y6" i="9"/>
  <c r="Y7" i="9"/>
  <c r="Y8" i="9"/>
  <c r="Y9" i="9"/>
  <c r="Y10" i="9"/>
  <c r="Y14" i="9"/>
  <c r="Y15" i="9"/>
  <c r="Y16" i="9"/>
  <c r="Y17" i="9"/>
  <c r="Y18" i="9"/>
  <c r="Y19" i="9"/>
  <c r="Y20" i="9"/>
  <c r="Y21" i="9"/>
  <c r="Y23" i="9"/>
  <c r="Y25" i="9"/>
  <c r="Y26" i="9"/>
  <c r="Y27" i="9"/>
  <c r="Y28" i="9"/>
  <c r="Y29" i="9"/>
  <c r="Y30" i="9"/>
  <c r="Y31" i="9"/>
  <c r="Y32" i="9"/>
  <c r="Y34" i="9"/>
  <c r="Y36" i="9"/>
  <c r="Y39" i="9"/>
  <c r="Y40" i="9"/>
  <c r="Y41" i="9"/>
  <c r="Y42" i="9"/>
  <c r="Y44" i="9"/>
  <c r="Y52" i="9"/>
  <c r="Y53" i="9"/>
  <c r="Y54" i="9"/>
  <c r="Y55" i="9"/>
  <c r="Y56" i="9"/>
  <c r="Y57" i="9"/>
  <c r="Y59" i="9"/>
  <c r="AA4" i="9"/>
  <c r="AA5" i="9"/>
  <c r="AA6" i="9"/>
  <c r="AA7" i="9"/>
  <c r="AA8" i="9"/>
  <c r="AA9" i="9"/>
  <c r="AA10" i="9"/>
  <c r="AA14" i="9"/>
  <c r="AA15" i="9"/>
  <c r="AA16" i="9"/>
  <c r="AA17" i="9"/>
  <c r="AA18" i="9"/>
  <c r="AA19" i="9"/>
  <c r="AA20" i="9"/>
  <c r="AA21" i="9"/>
  <c r="AA23" i="9"/>
  <c r="AA25" i="9"/>
  <c r="AA26" i="9"/>
  <c r="AA27" i="9"/>
  <c r="AA28" i="9"/>
  <c r="AA29" i="9"/>
  <c r="AA30" i="9"/>
  <c r="AA31" i="9"/>
  <c r="AA32" i="9"/>
  <c r="AA34" i="9"/>
  <c r="AA36" i="9"/>
  <c r="AA39" i="9"/>
  <c r="AA40" i="9"/>
  <c r="AA41" i="9"/>
  <c r="AA42" i="9"/>
  <c r="AA44" i="9"/>
  <c r="AA52" i="9"/>
  <c r="AA53" i="9"/>
  <c r="AA54" i="9"/>
  <c r="AA55" i="9"/>
  <c r="AA56" i="9"/>
  <c r="AA57" i="9"/>
  <c r="AA59" i="9"/>
  <c r="AC4" i="9"/>
  <c r="AC5" i="9"/>
  <c r="AC6" i="9"/>
  <c r="AC7" i="9"/>
  <c r="AC8" i="9"/>
  <c r="AC9" i="9"/>
  <c r="AC10" i="9"/>
  <c r="AC14" i="9"/>
  <c r="AC15" i="9"/>
  <c r="AC16" i="9"/>
  <c r="AC17" i="9"/>
  <c r="AC18" i="9"/>
  <c r="AC19" i="9"/>
  <c r="AC20" i="9"/>
  <c r="AC21" i="9"/>
  <c r="AC23" i="9"/>
  <c r="AC25" i="9"/>
  <c r="AC26" i="9"/>
  <c r="AC27" i="9"/>
  <c r="AC28" i="9"/>
  <c r="AC29" i="9"/>
  <c r="AC30" i="9"/>
  <c r="AC31" i="9"/>
  <c r="AC32" i="9"/>
  <c r="AC34" i="9"/>
  <c r="AC36" i="9"/>
  <c r="AC39" i="9"/>
  <c r="AC40" i="9"/>
  <c r="AC41" i="9"/>
  <c r="AC42" i="9"/>
  <c r="AC44" i="9"/>
  <c r="AC52" i="9"/>
  <c r="AC53" i="9"/>
  <c r="AC54" i="9"/>
  <c r="AC55" i="9"/>
  <c r="AC56" i="9"/>
  <c r="AC57" i="9"/>
  <c r="AC59" i="9"/>
  <c r="AE4" i="9"/>
  <c r="AE5" i="9"/>
  <c r="AE6" i="9"/>
  <c r="AE7" i="9"/>
  <c r="AE8" i="9"/>
  <c r="AE9" i="9"/>
  <c r="AE10" i="9"/>
  <c r="AE14" i="9"/>
  <c r="AE15" i="9"/>
  <c r="AE16" i="9"/>
  <c r="AE17" i="9"/>
  <c r="AE18" i="9"/>
  <c r="AE19" i="9"/>
  <c r="AE20" i="9"/>
  <c r="AE21" i="9"/>
  <c r="AE23" i="9"/>
  <c r="AE25" i="9"/>
  <c r="AE26" i="9"/>
  <c r="AE27" i="9"/>
  <c r="AE28" i="9"/>
  <c r="AE29" i="9"/>
  <c r="AE30" i="9"/>
  <c r="AE31" i="9"/>
  <c r="AE32" i="9"/>
  <c r="AE34" i="9"/>
  <c r="AE36" i="9"/>
  <c r="AE39" i="9"/>
  <c r="AE40" i="9"/>
  <c r="AE41" i="9"/>
  <c r="AE42" i="9"/>
  <c r="AE44" i="9"/>
  <c r="AE52" i="9"/>
  <c r="AE53" i="9"/>
  <c r="AE54" i="9"/>
  <c r="AE55" i="9"/>
  <c r="AE56" i="9"/>
  <c r="AE57" i="9"/>
  <c r="AE59" i="9"/>
  <c r="AG4" i="9"/>
  <c r="AG5" i="9"/>
  <c r="AG6" i="9"/>
  <c r="AG7" i="9"/>
  <c r="AG8" i="9"/>
  <c r="AG9" i="9"/>
  <c r="AG10" i="9"/>
  <c r="AG14" i="9"/>
  <c r="AG15" i="9"/>
  <c r="AG16" i="9"/>
  <c r="AG17" i="9"/>
  <c r="AG18" i="9"/>
  <c r="AG19" i="9"/>
  <c r="AG20" i="9"/>
  <c r="AG21" i="9"/>
  <c r="AG23" i="9"/>
  <c r="AG25" i="9"/>
  <c r="AG26" i="9"/>
  <c r="AG27" i="9"/>
  <c r="AG28" i="9"/>
  <c r="AG29" i="9"/>
  <c r="AG30" i="9"/>
  <c r="AG31" i="9"/>
  <c r="AG32" i="9"/>
  <c r="AG34" i="9"/>
  <c r="AG36" i="9"/>
  <c r="AG39" i="9"/>
  <c r="AG40" i="9"/>
  <c r="AG41" i="9"/>
  <c r="AG42" i="9"/>
  <c r="AG44" i="9"/>
  <c r="AG52" i="9"/>
  <c r="AG53" i="9"/>
  <c r="AG54" i="9"/>
  <c r="AG55" i="9"/>
  <c r="AG56" i="9"/>
  <c r="AG57" i="9"/>
  <c r="AG59" i="9"/>
  <c r="E5" i="9"/>
  <c r="E7" i="9"/>
  <c r="E9" i="9"/>
  <c r="E10" i="9"/>
  <c r="E21" i="9"/>
  <c r="E34" i="9"/>
  <c r="E36" i="9"/>
  <c r="E42" i="9"/>
  <c r="E44" i="9"/>
  <c r="E57" i="9"/>
  <c r="E59" i="9"/>
  <c r="L920" i="3"/>
  <c r="AA910" i="3"/>
  <c r="AG441" i="3"/>
  <c r="AB49" i="5"/>
  <c r="J79" i="4"/>
  <c r="R79" i="4"/>
  <c r="S79" i="4"/>
  <c r="J78" i="4"/>
  <c r="R78" i="4"/>
  <c r="S78" i="4"/>
  <c r="R98" i="4"/>
  <c r="S98" i="4"/>
  <c r="K89" i="4"/>
  <c r="R89" i="4"/>
  <c r="S89" i="4"/>
  <c r="K90" i="4"/>
  <c r="R90" i="4"/>
  <c r="S90" i="4"/>
  <c r="K91" i="4"/>
  <c r="R91" i="4"/>
  <c r="S91" i="4"/>
  <c r="K92" i="4"/>
  <c r="R92" i="4"/>
  <c r="K93" i="4"/>
  <c r="R93" i="4"/>
  <c r="S93" i="4"/>
  <c r="R88" i="4"/>
  <c r="S88" i="4"/>
  <c r="K84" i="4"/>
  <c r="R84" i="4"/>
  <c r="S84" i="4"/>
  <c r="R85" i="4"/>
  <c r="S85" i="4"/>
  <c r="K86" i="4"/>
  <c r="R86" i="4"/>
  <c r="S86" i="4"/>
  <c r="K83" i="4"/>
  <c r="R83" i="4"/>
  <c r="S83" i="4"/>
  <c r="F46" i="4"/>
  <c r="R46" i="4"/>
  <c r="R47" i="4"/>
  <c r="S47" i="4"/>
  <c r="R48" i="4"/>
  <c r="S48" i="4"/>
  <c r="J49" i="4"/>
  <c r="R49" i="4"/>
  <c r="S49" i="4"/>
  <c r="J50" i="4"/>
  <c r="R50" i="4"/>
  <c r="S50" i="4"/>
  <c r="J51" i="4"/>
  <c r="R51" i="4"/>
  <c r="S51" i="4"/>
  <c r="J52" i="4"/>
  <c r="R52" i="4"/>
  <c r="S52" i="4"/>
  <c r="R45" i="4"/>
  <c r="S45" i="4"/>
  <c r="F43" i="4"/>
  <c r="R43" i="4"/>
  <c r="S43" i="4"/>
  <c r="F40" i="4"/>
  <c r="R40" i="4"/>
  <c r="S40" i="4"/>
  <c r="J35" i="4"/>
  <c r="R35" i="4"/>
  <c r="S35" i="4"/>
  <c r="R36" i="4"/>
  <c r="S36" i="4"/>
  <c r="J37" i="4"/>
  <c r="R37" i="4"/>
  <c r="S37" i="4"/>
  <c r="R34" i="4"/>
  <c r="S34" i="4"/>
  <c r="R30" i="4"/>
  <c r="S30" i="4"/>
  <c r="R31" i="4"/>
  <c r="S31" i="4"/>
  <c r="R32" i="4"/>
  <c r="S32" i="4"/>
  <c r="J33" i="4"/>
  <c r="R33" i="4"/>
  <c r="S33" i="4"/>
  <c r="E29" i="4"/>
  <c r="R29" i="4"/>
  <c r="S29" i="4"/>
  <c r="K94" i="4"/>
  <c r="K82" i="4"/>
  <c r="J74" i="4"/>
  <c r="J65" i="4"/>
  <c r="J66" i="4"/>
  <c r="J67" i="4"/>
  <c r="J68" i="4"/>
  <c r="J64" i="4"/>
  <c r="F27" i="4"/>
  <c r="F13" i="4"/>
  <c r="F5" i="4"/>
  <c r="R41" i="4"/>
  <c r="R27" i="4"/>
  <c r="R18" i="4"/>
  <c r="R19" i="4"/>
  <c r="R20" i="4"/>
  <c r="R21" i="4"/>
  <c r="R22" i="4"/>
  <c r="R23" i="4"/>
  <c r="R24" i="4"/>
  <c r="R25" i="4"/>
  <c r="R17" i="4"/>
  <c r="R14" i="4"/>
  <c r="R15" i="4"/>
  <c r="R13" i="4"/>
  <c r="R10" i="4"/>
  <c r="R9" i="4"/>
  <c r="R5" i="4"/>
  <c r="R6" i="4"/>
  <c r="R7" i="4"/>
  <c r="R4" i="4"/>
  <c r="T25" i="5"/>
  <c r="AI7" i="5"/>
  <c r="U373" i="6"/>
  <c r="AF978" i="3"/>
  <c r="AJ977" i="3"/>
  <c r="AJ982" i="3"/>
  <c r="U17" i="28"/>
  <c r="S10" i="4"/>
  <c r="R30" i="28"/>
  <c r="AC706" i="3"/>
  <c r="BA689" i="3"/>
  <c r="AM706" i="3"/>
  <c r="AC707" i="3"/>
  <c r="AC708" i="3"/>
  <c r="AC709" i="3"/>
  <c r="AC710" i="3"/>
  <c r="AC711" i="3"/>
  <c r="AC712" i="3"/>
  <c r="AC713" i="3"/>
  <c r="AC714" i="3"/>
  <c r="AC715" i="3"/>
  <c r="AC716" i="3"/>
  <c r="AC717" i="3"/>
  <c r="AC718"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K606" i="3"/>
  <c r="BI607" i="3"/>
  <c r="BK607" i="3"/>
  <c r="BI608" i="3"/>
  <c r="BK608" i="3"/>
  <c r="BI609" i="3"/>
  <c r="BI610" i="3"/>
  <c r="BK610" i="3"/>
  <c r="BI611" i="3"/>
  <c r="BI612" i="3"/>
  <c r="BI613" i="3"/>
  <c r="BI614" i="3"/>
  <c r="BI615" i="3"/>
  <c r="BI616" i="3"/>
  <c r="BI617" i="3"/>
  <c r="BI618" i="3"/>
  <c r="BI619" i="3"/>
  <c r="BI620" i="3"/>
  <c r="BI621" i="3"/>
  <c r="BI622" i="3"/>
  <c r="BI623" i="3"/>
  <c r="BI624" i="3"/>
  <c r="BI625" i="3"/>
  <c r="BI626" i="3"/>
  <c r="BI627" i="3"/>
  <c r="BK627" i="3"/>
  <c r="BI603" i="3"/>
  <c r="BE604" i="3"/>
  <c r="BE605" i="3"/>
  <c r="BE606" i="3"/>
  <c r="BE607" i="3"/>
  <c r="BG607" i="3"/>
  <c r="BE608" i="3"/>
  <c r="BG608" i="3"/>
  <c r="BE609" i="3"/>
  <c r="BE610" i="3"/>
  <c r="BG610" i="3"/>
  <c r="BE611" i="3"/>
  <c r="BG611" i="3"/>
  <c r="BE612" i="3"/>
  <c r="BG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E84" i="15"/>
  <c r="D84" i="15"/>
  <c r="B85" i="15"/>
  <c r="C85" i="15"/>
  <c r="D85" i="15"/>
  <c r="B86" i="15"/>
  <c r="C86" i="15"/>
  <c r="E86" i="15"/>
  <c r="D86" i="15"/>
  <c r="B87" i="15"/>
  <c r="C87" i="15"/>
  <c r="E87" i="15"/>
  <c r="D87" i="15"/>
  <c r="B88" i="15"/>
  <c r="C88" i="15"/>
  <c r="E88" i="15"/>
  <c r="D88" i="15"/>
  <c r="B89" i="15"/>
  <c r="C89" i="15"/>
  <c r="D89" i="15"/>
  <c r="B90" i="15"/>
  <c r="C90" i="15"/>
  <c r="D90" i="15"/>
  <c r="B91" i="15"/>
  <c r="C91" i="15"/>
  <c r="E91" i="15"/>
  <c r="D91" i="15"/>
  <c r="B92" i="15"/>
  <c r="C92" i="15"/>
  <c r="E92" i="15"/>
  <c r="D92" i="15"/>
  <c r="B93" i="15"/>
  <c r="C93" i="15"/>
  <c r="D93" i="15"/>
  <c r="B94" i="15"/>
  <c r="C94" i="15"/>
  <c r="E94" i="15"/>
  <c r="D94" i="15"/>
  <c r="B95" i="15"/>
  <c r="C95" i="15"/>
  <c r="E95" i="15"/>
  <c r="D95" i="15"/>
  <c r="E85" i="15"/>
  <c r="E93" i="15"/>
  <c r="D83" i="15"/>
  <c r="C83" i="15"/>
  <c r="B83" i="15"/>
  <c r="E83" i="15"/>
  <c r="B80" i="15"/>
  <c r="C80" i="15"/>
  <c r="E80" i="15"/>
  <c r="D80" i="15"/>
  <c r="D79" i="15"/>
  <c r="C79" i="15"/>
  <c r="B79" i="15"/>
  <c r="E79" i="15"/>
  <c r="B73" i="15"/>
  <c r="C73" i="15"/>
  <c r="D73" i="15"/>
  <c r="B74" i="15"/>
  <c r="C74" i="15"/>
  <c r="E74" i="15"/>
  <c r="D74" i="15"/>
  <c r="B75" i="15"/>
  <c r="C75" i="15"/>
  <c r="E75" i="15"/>
  <c r="D75" i="15"/>
  <c r="B76" i="15"/>
  <c r="C76" i="15"/>
  <c r="D76" i="15"/>
  <c r="D72" i="15"/>
  <c r="C72" i="15"/>
  <c r="B72" i="15"/>
  <c r="B66" i="15"/>
  <c r="C66" i="15"/>
  <c r="E66" i="15"/>
  <c r="D66" i="15"/>
  <c r="B67" i="15"/>
  <c r="C67" i="15"/>
  <c r="E67" i="15"/>
  <c r="D67" i="15"/>
  <c r="B68" i="15"/>
  <c r="C68" i="15"/>
  <c r="E68" i="15"/>
  <c r="D68" i="15"/>
  <c r="B69" i="15"/>
  <c r="C69" i="15"/>
  <c r="E69" i="15"/>
  <c r="D69" i="15"/>
  <c r="D65" i="15"/>
  <c r="C65" i="15"/>
  <c r="B65" i="15"/>
  <c r="B57" i="15"/>
  <c r="C57" i="15"/>
  <c r="E57" i="15"/>
  <c r="D57" i="15"/>
  <c r="B58" i="15"/>
  <c r="C58" i="15"/>
  <c r="D58" i="15"/>
  <c r="B59" i="15"/>
  <c r="C59" i="15"/>
  <c r="E59" i="15"/>
  <c r="D59" i="15"/>
  <c r="B60" i="15"/>
  <c r="C60" i="15"/>
  <c r="E60" i="15"/>
  <c r="D60" i="15"/>
  <c r="B61" i="15"/>
  <c r="C61" i="15"/>
  <c r="D61" i="15"/>
  <c r="D56" i="15"/>
  <c r="C56" i="15"/>
  <c r="B56" i="15"/>
  <c r="B47" i="15"/>
  <c r="C47" i="15"/>
  <c r="E47" i="15"/>
  <c r="D47" i="15"/>
  <c r="B48" i="15"/>
  <c r="C48" i="15"/>
  <c r="E48" i="15"/>
  <c r="D48" i="15"/>
  <c r="B49" i="15"/>
  <c r="C49" i="15"/>
  <c r="E49" i="15"/>
  <c r="D49" i="15"/>
  <c r="B50" i="15"/>
  <c r="C50" i="15"/>
  <c r="D50" i="15"/>
  <c r="B51" i="15"/>
  <c r="C51" i="15"/>
  <c r="E51" i="15"/>
  <c r="D51" i="15"/>
  <c r="B52" i="15"/>
  <c r="C52" i="15"/>
  <c r="E52" i="15"/>
  <c r="D52" i="15"/>
  <c r="B53" i="15"/>
  <c r="C53" i="15"/>
  <c r="D53" i="15"/>
  <c r="D46" i="15"/>
  <c r="C46" i="15"/>
  <c r="B46" i="15"/>
  <c r="E46" i="15"/>
  <c r="B44" i="15"/>
  <c r="C44" i="15"/>
  <c r="D44" i="15"/>
  <c r="B42" i="15"/>
  <c r="C42" i="15"/>
  <c r="E42" i="15"/>
  <c r="D42" i="15"/>
  <c r="D41" i="15"/>
  <c r="C41" i="15"/>
  <c r="B41" i="15"/>
  <c r="B38" i="15"/>
  <c r="C38" i="15"/>
  <c r="E38" i="15"/>
  <c r="D38" i="15"/>
  <c r="B31" i="15"/>
  <c r="C31" i="15"/>
  <c r="D31" i="15"/>
  <c r="B32" i="15"/>
  <c r="C32" i="15"/>
  <c r="E32" i="15"/>
  <c r="D32" i="15"/>
  <c r="B33" i="15"/>
  <c r="C33" i="15"/>
  <c r="D33" i="15"/>
  <c r="B34" i="15"/>
  <c r="C34" i="15"/>
  <c r="D34" i="15"/>
  <c r="B35" i="15"/>
  <c r="C35" i="15"/>
  <c r="D35" i="15"/>
  <c r="B36" i="15"/>
  <c r="C36" i="15"/>
  <c r="D36" i="15"/>
  <c r="B37" i="15"/>
  <c r="C37" i="15"/>
  <c r="D37" i="15"/>
  <c r="D30" i="15"/>
  <c r="C30" i="15"/>
  <c r="B30" i="15"/>
  <c r="E30" i="15"/>
  <c r="B19" i="15"/>
  <c r="C19" i="15"/>
  <c r="E19" i="15"/>
  <c r="D19" i="15"/>
  <c r="B20" i="15"/>
  <c r="C20" i="15"/>
  <c r="E20" i="15"/>
  <c r="D20" i="15"/>
  <c r="B21" i="15"/>
  <c r="C21" i="15"/>
  <c r="E21" i="15"/>
  <c r="D21" i="15"/>
  <c r="B22" i="15"/>
  <c r="C22" i="15"/>
  <c r="E22" i="15"/>
  <c r="D22" i="15"/>
  <c r="B23" i="15"/>
  <c r="C23" i="15"/>
  <c r="E23" i="15"/>
  <c r="D23" i="15"/>
  <c r="B24" i="15"/>
  <c r="C24" i="15"/>
  <c r="E24" i="15"/>
  <c r="D24" i="15"/>
  <c r="B25" i="15"/>
  <c r="C25" i="15"/>
  <c r="E25" i="15"/>
  <c r="D25" i="15"/>
  <c r="B26" i="15"/>
  <c r="C26" i="15"/>
  <c r="E26" i="15"/>
  <c r="D26" i="15"/>
  <c r="B28" i="15"/>
  <c r="C28" i="15"/>
  <c r="D28" i="15"/>
  <c r="B5" i="15"/>
  <c r="C5" i="15"/>
  <c r="B6" i="15"/>
  <c r="B7" i="15"/>
  <c r="B8" i="15"/>
  <c r="B9" i="15"/>
  <c r="C6" i="15"/>
  <c r="E6" i="15"/>
  <c r="C7" i="15"/>
  <c r="E7" i="15"/>
  <c r="C8" i="15"/>
  <c r="E8" i="15"/>
  <c r="B10" i="15"/>
  <c r="C10" i="15"/>
  <c r="E10" i="15"/>
  <c r="B11" i="15"/>
  <c r="C11" i="15"/>
  <c r="B14" i="15"/>
  <c r="C14" i="15"/>
  <c r="B15" i="15"/>
  <c r="C15" i="15"/>
  <c r="E15" i="15"/>
  <c r="B16" i="15"/>
  <c r="C16" i="15"/>
  <c r="E16" i="15"/>
  <c r="B18" i="15"/>
  <c r="C18" i="15"/>
  <c r="E18" i="15"/>
  <c r="C28" i="10"/>
  <c r="C5" i="10"/>
  <c r="C7" i="10"/>
  <c r="C8" i="10"/>
  <c r="C11" i="10"/>
  <c r="C15" i="10"/>
  <c r="C16" i="10"/>
  <c r="C17" i="10"/>
  <c r="C18" i="10"/>
  <c r="C19" i="10"/>
  <c r="C20" i="10"/>
  <c r="C21" i="10"/>
  <c r="C22" i="10"/>
  <c r="C23" i="10"/>
  <c r="C24" i="10"/>
  <c r="C25" i="10"/>
  <c r="C26" i="10"/>
  <c r="C27" i="10"/>
  <c r="C4" i="10"/>
  <c r="AJ973" i="3"/>
  <c r="E76" i="15"/>
  <c r="E34" i="15"/>
  <c r="E101" i="15"/>
  <c r="E53" i="15"/>
  <c r="E56" i="15"/>
  <c r="E73" i="15"/>
  <c r="E33" i="15"/>
  <c r="E90" i="15"/>
  <c r="E58" i="15"/>
  <c r="E89" i="15"/>
  <c r="E31" i="15"/>
  <c r="E61" i="15"/>
  <c r="E14" i="15"/>
  <c r="E44" i="15"/>
  <c r="E28" i="15"/>
  <c r="E72" i="15"/>
  <c r="E50" i="15"/>
  <c r="C12" i="15"/>
  <c r="E99" i="15"/>
  <c r="E41" i="15"/>
  <c r="E11" i="15"/>
  <c r="E5" i="15"/>
  <c r="E35" i="15"/>
  <c r="E65" i="15"/>
  <c r="E36" i="15"/>
  <c r="E37" i="15"/>
  <c r="AJ998" i="3"/>
  <c r="AJ993" i="3"/>
  <c r="AJ989" i="3"/>
  <c r="AJ986" i="3"/>
  <c r="AF983" i="3"/>
  <c r="AJ970" i="3"/>
  <c r="AJ968" i="3"/>
  <c r="AJ964" i="3"/>
  <c r="AJ958" i="3"/>
  <c r="BO819" i="3"/>
  <c r="R94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30" i="3"/>
  <c r="BN631" i="3"/>
  <c r="BN632" i="3"/>
  <c r="BN633" i="3"/>
  <c r="BN634" i="3"/>
  <c r="BN636" i="3"/>
  <c r="BN637" i="3"/>
  <c r="BN638" i="3"/>
  <c r="BN639" i="3"/>
  <c r="BN640" i="3"/>
  <c r="BN641" i="3"/>
  <c r="BN642" i="3"/>
  <c r="BN643" i="3"/>
  <c r="BN644" i="3"/>
  <c r="BN645" i="3"/>
  <c r="BN646" i="3"/>
  <c r="BN652" i="3"/>
  <c r="AB947" i="3"/>
  <c r="AJ947" i="3"/>
  <c r="R948"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30" i="3"/>
  <c r="BS631" i="3"/>
  <c r="BS632" i="3"/>
  <c r="BS633" i="3"/>
  <c r="BS634" i="3"/>
  <c r="BS636" i="3"/>
  <c r="BS637" i="3"/>
  <c r="BS638" i="3"/>
  <c r="BS639" i="3"/>
  <c r="BS640" i="3"/>
  <c r="BS641" i="3"/>
  <c r="BS642" i="3"/>
  <c r="BS643" i="3"/>
  <c r="BS644" i="3"/>
  <c r="BS645" i="3"/>
  <c r="BS646" i="3"/>
  <c r="BS652" i="3"/>
  <c r="AB948" i="3"/>
  <c r="AJ948" i="3"/>
  <c r="R949"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30" i="3"/>
  <c r="BX631" i="3"/>
  <c r="BX632" i="3"/>
  <c r="BX633" i="3"/>
  <c r="BX634" i="3"/>
  <c r="BX636" i="3"/>
  <c r="BX637" i="3"/>
  <c r="BX638" i="3"/>
  <c r="BX639" i="3"/>
  <c r="BX640" i="3"/>
  <c r="BX641" i="3"/>
  <c r="BX642" i="3"/>
  <c r="BX643" i="3"/>
  <c r="BX644" i="3"/>
  <c r="BX645" i="3"/>
  <c r="BX646" i="3"/>
  <c r="BX652" i="3"/>
  <c r="AB949" i="3"/>
  <c r="AJ949" i="3"/>
  <c r="R950"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30" i="3"/>
  <c r="CC631" i="3"/>
  <c r="CC632" i="3"/>
  <c r="CC633" i="3"/>
  <c r="CC634" i="3"/>
  <c r="CC636" i="3"/>
  <c r="CC637" i="3"/>
  <c r="CC638" i="3"/>
  <c r="CC639" i="3"/>
  <c r="CC640" i="3"/>
  <c r="CC641" i="3"/>
  <c r="CC642" i="3"/>
  <c r="CC643" i="3"/>
  <c r="CC644" i="3"/>
  <c r="CC645" i="3"/>
  <c r="CC646" i="3"/>
  <c r="CC652" i="3"/>
  <c r="AB950" i="3"/>
  <c r="AJ950" i="3"/>
  <c r="R951" i="3"/>
  <c r="CM636" i="3"/>
  <c r="CM637" i="3"/>
  <c r="CM638" i="3"/>
  <c r="CM639" i="3"/>
  <c r="CM640" i="3"/>
  <c r="CM641" i="3"/>
  <c r="CM642" i="3"/>
  <c r="CM643" i="3"/>
  <c r="CM644" i="3"/>
  <c r="CM645" i="3"/>
  <c r="CM646" i="3"/>
  <c r="CM630" i="3"/>
  <c r="CM631" i="3"/>
  <c r="CM632" i="3"/>
  <c r="CM633" i="3"/>
  <c r="CM634"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52"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30" i="3"/>
  <c r="CH631" i="3"/>
  <c r="CH632" i="3"/>
  <c r="CH633" i="3"/>
  <c r="CH634" i="3"/>
  <c r="CH636" i="3"/>
  <c r="CH637" i="3"/>
  <c r="CH638" i="3"/>
  <c r="CH639" i="3"/>
  <c r="CH640" i="3"/>
  <c r="CH641" i="3"/>
  <c r="CH642" i="3"/>
  <c r="CH643" i="3"/>
  <c r="CH644" i="3"/>
  <c r="CH645" i="3"/>
  <c r="CH646" i="3"/>
  <c r="CH652" i="3"/>
  <c r="AB951" i="3"/>
  <c r="AJ951" i="3"/>
  <c r="AJ953" i="3"/>
  <c r="AJ955" i="3"/>
  <c r="O776" i="3"/>
  <c r="O756"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BG746" i="3"/>
  <c r="G731" i="3"/>
  <c r="AC730" i="3"/>
  <c r="AC729" i="3"/>
  <c r="AC728" i="3"/>
  <c r="AC727" i="3"/>
  <c r="AC726" i="3"/>
  <c r="AC725" i="3"/>
  <c r="AC724" i="3"/>
  <c r="AC723" i="3"/>
  <c r="AC722" i="3"/>
  <c r="AC721" i="3"/>
  <c r="AC720" i="3"/>
  <c r="AC719" i="3"/>
  <c r="AO644" i="3"/>
  <c r="AM572" i="3"/>
  <c r="H64" i="18"/>
  <c r="H65" i="18"/>
  <c r="H66" i="18"/>
  <c r="E64" i="18"/>
  <c r="E65" i="18"/>
  <c r="E66" i="18"/>
  <c r="B64" i="18"/>
  <c r="B65" i="18"/>
  <c r="B66" i="18"/>
  <c r="B101" i="4"/>
  <c r="R101" i="4"/>
  <c r="R67" i="4"/>
  <c r="R66" i="4"/>
  <c r="R65" i="4"/>
  <c r="B67" i="4"/>
  <c r="B66" i="4"/>
  <c r="B65" i="4"/>
  <c r="B36" i="4"/>
  <c r="B24" i="4"/>
  <c r="AG494" i="6"/>
  <c r="AG487" i="6"/>
  <c r="AG492" i="6"/>
  <c r="AG499" i="6"/>
  <c r="AG503" i="6"/>
  <c r="AG505" i="6"/>
  <c r="AG510" i="6"/>
  <c r="AG515" i="6"/>
  <c r="AG519" i="6"/>
  <c r="AG522" i="6"/>
  <c r="AG526" i="6"/>
  <c r="AG530" i="6"/>
  <c r="AK542" i="6"/>
  <c r="AD66" i="5"/>
  <c r="Y66" i="5"/>
  <c r="AD20" i="5"/>
  <c r="AD22" i="5"/>
  <c r="BA945" i="3"/>
  <c r="BA946" i="3"/>
  <c r="BA947" i="3"/>
  <c r="BA948" i="3"/>
  <c r="BA949" i="3"/>
  <c r="BA950" i="3"/>
  <c r="BA951" i="3"/>
  <c r="BA952" i="3"/>
  <c r="BA953" i="3"/>
  <c r="G90" i="25"/>
  <c r="G91" i="25"/>
  <c r="G92" i="25"/>
  <c r="G93" i="25"/>
  <c r="G94" i="25"/>
  <c r="G95" i="25"/>
  <c r="G96" i="25"/>
  <c r="G97" i="25"/>
  <c r="G98" i="25"/>
  <c r="Q91" i="25"/>
  <c r="Q93" i="25"/>
  <c r="D100" i="25"/>
  <c r="D102" i="25"/>
  <c r="D104" i="25"/>
  <c r="D110" i="25"/>
  <c r="G38" i="25"/>
  <c r="B15" i="4"/>
  <c r="E50" i="25"/>
  <c r="G52" i="25"/>
  <c r="G53" i="25"/>
  <c r="AB47" i="27"/>
  <c r="Q48" i="25"/>
  <c r="D8" i="4"/>
  <c r="D11" i="4"/>
  <c r="D26" i="4"/>
  <c r="D38" i="4"/>
  <c r="D42" i="4"/>
  <c r="D53" i="4"/>
  <c r="D61" i="4"/>
  <c r="D62" i="4"/>
  <c r="D69" i="4"/>
  <c r="D76" i="4"/>
  <c r="D80" i="4"/>
  <c r="D95" i="4"/>
  <c r="D96" i="4"/>
  <c r="D103" i="4"/>
  <c r="D104" i="4"/>
  <c r="C8" i="4"/>
  <c r="C11" i="4"/>
  <c r="C26" i="4"/>
  <c r="C38" i="4"/>
  <c r="B37" i="18"/>
  <c r="C42" i="4"/>
  <c r="C53" i="4"/>
  <c r="C61" i="4"/>
  <c r="C69" i="4"/>
  <c r="C76" i="4"/>
  <c r="C80" i="4"/>
  <c r="C95" i="4"/>
  <c r="B94" i="18"/>
  <c r="C103" i="4"/>
  <c r="C65" i="25"/>
  <c r="C66" i="25"/>
  <c r="G67" i="25"/>
  <c r="C67" i="25"/>
  <c r="Y20" i="5"/>
  <c r="Y22" i="5"/>
  <c r="AI20" i="5"/>
  <c r="AI22" i="5"/>
  <c r="S26" i="4"/>
  <c r="S38" i="4"/>
  <c r="S42" i="4"/>
  <c r="S53" i="4"/>
  <c r="S69" i="4"/>
  <c r="S80" i="4"/>
  <c r="E79" i="18"/>
  <c r="S95" i="4"/>
  <c r="E94" i="18"/>
  <c r="S103" i="4"/>
  <c r="E102" i="18"/>
  <c r="F25" i="18"/>
  <c r="F37" i="18"/>
  <c r="F41" i="18"/>
  <c r="F52" i="18"/>
  <c r="F68" i="18"/>
  <c r="F79" i="18"/>
  <c r="F94" i="18"/>
  <c r="F102" i="18"/>
  <c r="T20" i="5"/>
  <c r="T22" i="5"/>
  <c r="T26" i="4"/>
  <c r="H25" i="18"/>
  <c r="T38" i="4"/>
  <c r="T42" i="4"/>
  <c r="T53" i="4"/>
  <c r="T11" i="4"/>
  <c r="T69" i="4"/>
  <c r="H68" i="18"/>
  <c r="T80" i="4"/>
  <c r="H79" i="18"/>
  <c r="T95" i="4"/>
  <c r="T103" i="4"/>
  <c r="I11" i="18"/>
  <c r="I25" i="18"/>
  <c r="I37" i="18"/>
  <c r="I41" i="18"/>
  <c r="I52" i="18"/>
  <c r="I61" i="18"/>
  <c r="I68" i="18"/>
  <c r="I79" i="18"/>
  <c r="I94" i="18"/>
  <c r="I95" i="18"/>
  <c r="I102" i="18"/>
  <c r="I103" i="18"/>
  <c r="I105" i="18"/>
  <c r="U61" i="25"/>
  <c r="U63" i="25"/>
  <c r="U65" i="25"/>
  <c r="U67" i="25"/>
  <c r="U69" i="25"/>
  <c r="AG434" i="3"/>
  <c r="AG437" i="3"/>
  <c r="BR647" i="3"/>
  <c r="M27" i="28"/>
  <c r="CB647" i="3"/>
  <c r="M28" i="28"/>
  <c r="M29" i="28"/>
  <c r="AP380" i="6"/>
  <c r="AP379" i="6"/>
  <c r="AP378" i="6"/>
  <c r="AP375" i="6"/>
  <c r="AP373" i="6"/>
  <c r="AP371" i="6"/>
  <c r="AP368" i="6"/>
  <c r="AP367" i="6"/>
  <c r="AP366" i="6"/>
  <c r="AP364" i="6"/>
  <c r="AP363" i="6"/>
  <c r="AP361" i="6"/>
  <c r="AP356" i="6"/>
  <c r="AP358" i="6"/>
  <c r="AP360" i="6"/>
  <c r="AP370" i="6"/>
  <c r="AQ370" i="6"/>
  <c r="E592" i="6"/>
  <c r="BD527" i="6"/>
  <c r="J11" i="18"/>
  <c r="J25" i="18"/>
  <c r="J37" i="18"/>
  <c r="J41" i="18"/>
  <c r="J52" i="18"/>
  <c r="J68" i="18"/>
  <c r="J79" i="18"/>
  <c r="J61" i="18"/>
  <c r="J94" i="18"/>
  <c r="J95" i="18"/>
  <c r="J102" i="18"/>
  <c r="J103" i="18"/>
  <c r="J105" i="18"/>
  <c r="AD39" i="27"/>
  <c r="AD39" i="26"/>
  <c r="T21" i="27"/>
  <c r="Y21" i="27"/>
  <c r="AD21" i="27"/>
  <c r="AI21" i="27"/>
  <c r="T13" i="27"/>
  <c r="Y13" i="27"/>
  <c r="Y14" i="27"/>
  <c r="Y15" i="27"/>
  <c r="Y16" i="27"/>
  <c r="Y17" i="27"/>
  <c r="Y18" i="27"/>
  <c r="Y19" i="27"/>
  <c r="Y20" i="27"/>
  <c r="Y22" i="27"/>
  <c r="AD13" i="27"/>
  <c r="AD14" i="27"/>
  <c r="AD15" i="27"/>
  <c r="AD16" i="27"/>
  <c r="AD17" i="27"/>
  <c r="AD18" i="27"/>
  <c r="AD19" i="27"/>
  <c r="AD20" i="27"/>
  <c r="AD22" i="27"/>
  <c r="AI13" i="27"/>
  <c r="AI14" i="27"/>
  <c r="AI15" i="27"/>
  <c r="AI16" i="27"/>
  <c r="AI17" i="27"/>
  <c r="AI18" i="27"/>
  <c r="AI19" i="27"/>
  <c r="AI20" i="27"/>
  <c r="AI22" i="27"/>
  <c r="T14" i="27"/>
  <c r="T15" i="27"/>
  <c r="T16" i="27"/>
  <c r="T17" i="27"/>
  <c r="T18" i="27"/>
  <c r="T19" i="27"/>
  <c r="C19" i="27"/>
  <c r="AD67" i="27"/>
  <c r="AY919" i="3"/>
  <c r="AY920" i="3"/>
  <c r="AY921" i="3"/>
  <c r="AY922" i="3"/>
  <c r="AY923" i="3"/>
  <c r="AY927" i="3"/>
  <c r="AY930" i="3"/>
  <c r="B1011" i="3"/>
  <c r="T20" i="27"/>
  <c r="T22" i="27"/>
  <c r="T21" i="26"/>
  <c r="Y21" i="26"/>
  <c r="AD21" i="26"/>
  <c r="AI21" i="26"/>
  <c r="C19" i="26"/>
  <c r="T13" i="26"/>
  <c r="Y13" i="26"/>
  <c r="Y14" i="26"/>
  <c r="Y15" i="26"/>
  <c r="Y16" i="26"/>
  <c r="Y17" i="26"/>
  <c r="Y18" i="26"/>
  <c r="Y19" i="26"/>
  <c r="Y20" i="26"/>
  <c r="Y22" i="26"/>
  <c r="AD13" i="26"/>
  <c r="AI13" i="26"/>
  <c r="AI14" i="26"/>
  <c r="AI15" i="26"/>
  <c r="AI16" i="26"/>
  <c r="AI17" i="26"/>
  <c r="AI18" i="26"/>
  <c r="AI19" i="26"/>
  <c r="AI20" i="26"/>
  <c r="AI22" i="26"/>
  <c r="T14" i="26"/>
  <c r="AD14" i="26"/>
  <c r="AD15" i="26"/>
  <c r="AD16" i="26"/>
  <c r="AD17" i="26"/>
  <c r="AD18" i="26"/>
  <c r="AD19" i="26"/>
  <c r="AD20" i="26"/>
  <c r="AD22" i="26"/>
  <c r="T15" i="26"/>
  <c r="T16" i="26"/>
  <c r="T17" i="26"/>
  <c r="T18" i="26"/>
  <c r="T19" i="26"/>
  <c r="T20" i="26"/>
  <c r="T22" i="26"/>
  <c r="AD67" i="26"/>
  <c r="I38" i="4"/>
  <c r="I8" i="4"/>
  <c r="I11" i="4"/>
  <c r="I26" i="4"/>
  <c r="I42" i="4"/>
  <c r="I53" i="4"/>
  <c r="I61" i="4"/>
  <c r="I62" i="4"/>
  <c r="I69" i="4"/>
  <c r="I76" i="4"/>
  <c r="I80" i="4"/>
  <c r="I95" i="4"/>
  <c r="I96" i="4"/>
  <c r="I103" i="4"/>
  <c r="I104" i="4"/>
  <c r="J80" i="4"/>
  <c r="J8" i="4"/>
  <c r="J11" i="4"/>
  <c r="J12" i="4"/>
  <c r="J26" i="4"/>
  <c r="J38" i="4"/>
  <c r="J42" i="4"/>
  <c r="J53" i="4"/>
  <c r="J61" i="4"/>
  <c r="J62" i="4"/>
  <c r="J69" i="4"/>
  <c r="J76" i="4"/>
  <c r="J95" i="4"/>
  <c r="J96" i="4"/>
  <c r="J103" i="4"/>
  <c r="J104" i="4"/>
  <c r="K8" i="4"/>
  <c r="K11" i="4"/>
  <c r="K26" i="4"/>
  <c r="K38" i="4"/>
  <c r="K42" i="4"/>
  <c r="K53" i="4"/>
  <c r="K61" i="4"/>
  <c r="K62" i="4"/>
  <c r="K69" i="4"/>
  <c r="K76" i="4"/>
  <c r="K80" i="4"/>
  <c r="K95" i="4"/>
  <c r="K96" i="4"/>
  <c r="K103" i="4"/>
  <c r="K104" i="4"/>
  <c r="L8" i="4"/>
  <c r="L11" i="4"/>
  <c r="L26" i="4"/>
  <c r="L38" i="4"/>
  <c r="L42" i="4"/>
  <c r="L53" i="4"/>
  <c r="L61" i="4"/>
  <c r="L69" i="4"/>
  <c r="L76" i="4"/>
  <c r="L80" i="4"/>
  <c r="L95" i="4"/>
  <c r="M8" i="4"/>
  <c r="M11" i="4"/>
  <c r="M26" i="4"/>
  <c r="M38" i="4"/>
  <c r="M42" i="4"/>
  <c r="M53" i="4"/>
  <c r="M61" i="4"/>
  <c r="M62" i="4"/>
  <c r="M69" i="4"/>
  <c r="M76" i="4"/>
  <c r="M80" i="4"/>
  <c r="M95" i="4"/>
  <c r="M96" i="4"/>
  <c r="M103" i="4"/>
  <c r="M104" i="4"/>
  <c r="N8" i="4"/>
  <c r="N11" i="4"/>
  <c r="N12" i="4"/>
  <c r="N26" i="4"/>
  <c r="N38" i="4"/>
  <c r="N42" i="4"/>
  <c r="N53" i="4"/>
  <c r="N61" i="4"/>
  <c r="N69" i="4"/>
  <c r="N76" i="4"/>
  <c r="N80" i="4"/>
  <c r="N95" i="4"/>
  <c r="O8" i="4"/>
  <c r="O11" i="4"/>
  <c r="O12" i="4"/>
  <c r="O26" i="4"/>
  <c r="O38" i="4"/>
  <c r="O42" i="4"/>
  <c r="O53" i="4"/>
  <c r="O61" i="4"/>
  <c r="O69" i="4"/>
  <c r="O76" i="4"/>
  <c r="O80" i="4"/>
  <c r="O95" i="4"/>
  <c r="P8" i="4"/>
  <c r="P11" i="4"/>
  <c r="P12" i="4"/>
  <c r="P26" i="4"/>
  <c r="P38" i="4"/>
  <c r="P42" i="4"/>
  <c r="P53" i="4"/>
  <c r="P61" i="4"/>
  <c r="P62" i="4"/>
  <c r="P69" i="4"/>
  <c r="P76" i="4"/>
  <c r="P80" i="4"/>
  <c r="P95" i="4"/>
  <c r="P96" i="4"/>
  <c r="P103" i="4"/>
  <c r="P104" i="4"/>
  <c r="Q8" i="4"/>
  <c r="Q11" i="4"/>
  <c r="Q26" i="4"/>
  <c r="Q38" i="4"/>
  <c r="Q42" i="4"/>
  <c r="Q53" i="4"/>
  <c r="Q61" i="4"/>
  <c r="Q62" i="4"/>
  <c r="Q69" i="4"/>
  <c r="Q76" i="4"/>
  <c r="Q80" i="4"/>
  <c r="Q95" i="4"/>
  <c r="Q96" i="4"/>
  <c r="Q103" i="4"/>
  <c r="Q104" i="4"/>
  <c r="G79" i="18"/>
  <c r="D79" i="18"/>
  <c r="C79" i="18"/>
  <c r="R71" i="4"/>
  <c r="R72" i="4"/>
  <c r="R73" i="4"/>
  <c r="R74" i="4"/>
  <c r="R75" i="4"/>
  <c r="E80" i="4"/>
  <c r="F80" i="4"/>
  <c r="G80" i="4"/>
  <c r="H80" i="4"/>
  <c r="B79" i="18"/>
  <c r="G76" i="4"/>
  <c r="F76" i="4"/>
  <c r="E76" i="4"/>
  <c r="B78" i="18"/>
  <c r="E78" i="18"/>
  <c r="H78" i="18"/>
  <c r="B79" i="4"/>
  <c r="B78" i="4"/>
  <c r="R80" i="4"/>
  <c r="AG443" i="3"/>
  <c r="B102" i="4"/>
  <c r="B53" i="4"/>
  <c r="B25" i="18"/>
  <c r="G25" i="18"/>
  <c r="G37" i="18"/>
  <c r="G41" i="18"/>
  <c r="G52" i="18"/>
  <c r="G61" i="18"/>
  <c r="G68" i="18"/>
  <c r="G94" i="18"/>
  <c r="G95" i="18"/>
  <c r="G102" i="18"/>
  <c r="G103" i="18"/>
  <c r="G105" i="18"/>
  <c r="A5" i="10"/>
  <c r="B5" i="10"/>
  <c r="F5" i="10"/>
  <c r="A6" i="10"/>
  <c r="F6" i="10"/>
  <c r="A7" i="10"/>
  <c r="B7" i="10"/>
  <c r="F7" i="10"/>
  <c r="A8" i="10"/>
  <c r="B8" i="10"/>
  <c r="F8" i="10"/>
  <c r="A9" i="10"/>
  <c r="F9" i="10"/>
  <c r="A10" i="10"/>
  <c r="F10" i="10"/>
  <c r="A11" i="10"/>
  <c r="B11" i="10"/>
  <c r="F11" i="10"/>
  <c r="A12" i="10"/>
  <c r="F12" i="10"/>
  <c r="A13" i="10"/>
  <c r="F13" i="10"/>
  <c r="A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C8" i="18"/>
  <c r="C12" i="18"/>
  <c r="D8" i="18"/>
  <c r="AO653" i="6"/>
  <c r="AO648" i="6"/>
  <c r="AO649" i="6"/>
  <c r="AO650" i="6"/>
  <c r="AO651" i="6"/>
  <c r="AO652" i="6"/>
  <c r="AO654" i="6"/>
  <c r="AK671" i="6"/>
  <c r="T693" i="6"/>
  <c r="AF693" i="6"/>
  <c r="AJ273" i="6"/>
  <c r="AJ258" i="6"/>
  <c r="AJ246" i="6"/>
  <c r="AJ232" i="6"/>
  <c r="AJ220" i="6"/>
  <c r="AJ208" i="6"/>
  <c r="AJ189" i="6"/>
  <c r="AJ144" i="6"/>
  <c r="AJ129" i="6"/>
  <c r="AK73" i="6"/>
  <c r="T684" i="6"/>
  <c r="AF684" i="6"/>
  <c r="AJ47" i="6"/>
  <c r="T683" i="6"/>
  <c r="AJ31" i="6"/>
  <c r="T682" i="6"/>
  <c r="R99" i="4"/>
  <c r="R100" i="4"/>
  <c r="R102" i="4"/>
  <c r="R103" i="4"/>
  <c r="R94" i="4"/>
  <c r="R82" i="4"/>
  <c r="R87" i="4"/>
  <c r="R95" i="4"/>
  <c r="R60" i="4"/>
  <c r="R59" i="4"/>
  <c r="R58" i="4"/>
  <c r="R57" i="4"/>
  <c r="R56" i="4"/>
  <c r="R53" i="4"/>
  <c r="R42" i="4"/>
  <c r="R38" i="4"/>
  <c r="R26" i="4"/>
  <c r="R8" i="4"/>
  <c r="R11" i="4"/>
  <c r="R12" i="4"/>
  <c r="D5" i="15"/>
  <c r="D6" i="15"/>
  <c r="D7" i="15"/>
  <c r="D8" i="15"/>
  <c r="D9" i="15"/>
  <c r="D10" i="15"/>
  <c r="D11" i="15"/>
  <c r="D12" i="15"/>
  <c r="D13" i="15"/>
  <c r="D14" i="15"/>
  <c r="D15" i="15"/>
  <c r="D16" i="15"/>
  <c r="D18" i="15"/>
  <c r="E37" i="18"/>
  <c r="E41" i="18"/>
  <c r="E52" i="18"/>
  <c r="E68" i="18"/>
  <c r="H37" i="18"/>
  <c r="H52" i="18"/>
  <c r="H94" i="18"/>
  <c r="H102" i="18"/>
  <c r="B41" i="18"/>
  <c r="B61" i="4"/>
  <c r="B102" i="18"/>
  <c r="A31" i="9"/>
  <c r="A32" i="9"/>
  <c r="A39" i="9"/>
  <c r="AO110" i="6"/>
  <c r="AJ156" i="6"/>
  <c r="BJ530" i="6"/>
  <c r="Q585" i="6"/>
  <c r="W585" i="6"/>
  <c r="AC585"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E12" i="4"/>
  <c r="F8" i="4"/>
  <c r="G8" i="4"/>
  <c r="H8" i="4"/>
  <c r="H11" i="4"/>
  <c r="H12" i="4"/>
  <c r="H26" i="4"/>
  <c r="H38" i="4"/>
  <c r="H42" i="4"/>
  <c r="H53" i="4"/>
  <c r="H61" i="4"/>
  <c r="H62" i="4"/>
  <c r="H69" i="4"/>
  <c r="H76" i="4"/>
  <c r="H95" i="4"/>
  <c r="H96" i="4"/>
  <c r="H103" i="4"/>
  <c r="H104" i="4"/>
  <c r="L12" i="4"/>
  <c r="B9" i="4"/>
  <c r="B10" i="4"/>
  <c r="F11" i="4"/>
  <c r="G11" i="4"/>
  <c r="I12" i="4"/>
  <c r="B13" i="4"/>
  <c r="B14" i="4"/>
  <c r="B17" i="4"/>
  <c r="B18" i="4"/>
  <c r="B19" i="4"/>
  <c r="B20" i="4"/>
  <c r="B21" i="4"/>
  <c r="B22" i="4"/>
  <c r="B23" i="4"/>
  <c r="B25" i="4"/>
  <c r="E26" i="4"/>
  <c r="F26" i="4"/>
  <c r="G26" i="4"/>
  <c r="G38" i="4"/>
  <c r="G42" i="4"/>
  <c r="G53" i="4"/>
  <c r="G61" i="4"/>
  <c r="G62" i="4"/>
  <c r="G69" i="4"/>
  <c r="G95" i="4"/>
  <c r="G96" i="4"/>
  <c r="G103" i="4"/>
  <c r="G104" i="4"/>
  <c r="B27" i="4"/>
  <c r="B29" i="4"/>
  <c r="B30" i="4"/>
  <c r="B31" i="4"/>
  <c r="B32" i="4"/>
  <c r="B33" i="4"/>
  <c r="B34" i="4"/>
  <c r="B35" i="4"/>
  <c r="B37" i="4"/>
  <c r="E38" i="4"/>
  <c r="F38" i="4"/>
  <c r="O103" i="4"/>
  <c r="B40" i="4"/>
  <c r="B41" i="4"/>
  <c r="E42" i="4"/>
  <c r="F42" i="4"/>
  <c r="B43" i="4"/>
  <c r="B45" i="4"/>
  <c r="B46" i="4"/>
  <c r="B47" i="4"/>
  <c r="B48" i="4"/>
  <c r="B49" i="4"/>
  <c r="B50" i="4"/>
  <c r="B51" i="4"/>
  <c r="B52" i="4"/>
  <c r="E53" i="4"/>
  <c r="F53" i="4"/>
  <c r="F61" i="4"/>
  <c r="F95" i="4"/>
  <c r="F69" i="4"/>
  <c r="F103" i="4"/>
  <c r="B55" i="4"/>
  <c r="R55" i="4"/>
  <c r="R61" i="4"/>
  <c r="B56" i="4"/>
  <c r="B57" i="4"/>
  <c r="B58" i="4"/>
  <c r="B59" i="4"/>
  <c r="B60" i="4"/>
  <c r="E61" i="4"/>
  <c r="B64" i="4"/>
  <c r="R64" i="4"/>
  <c r="R68" i="4"/>
  <c r="R69" i="4"/>
  <c r="B68" i="4"/>
  <c r="E69" i="4"/>
  <c r="B71" i="4"/>
  <c r="B72" i="4"/>
  <c r="B73" i="4"/>
  <c r="B74" i="4"/>
  <c r="B75" i="4"/>
  <c r="B82" i="4"/>
  <c r="B83" i="4"/>
  <c r="B84" i="4"/>
  <c r="B85" i="4"/>
  <c r="B86" i="4"/>
  <c r="B87" i="4"/>
  <c r="B88" i="4"/>
  <c r="B89" i="4"/>
  <c r="B90" i="4"/>
  <c r="B91" i="4"/>
  <c r="B92" i="4"/>
  <c r="B93" i="4"/>
  <c r="B94" i="4"/>
  <c r="E95" i="4"/>
  <c r="B98" i="4"/>
  <c r="B99" i="4"/>
  <c r="B100" i="4"/>
  <c r="E103" i="4"/>
  <c r="L103" i="4"/>
  <c r="N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G606" i="3"/>
  <c r="Z606" i="3"/>
  <c r="BG609" i="3"/>
  <c r="BK609" i="3"/>
  <c r="BK611"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B60" i="18"/>
  <c r="H41" i="18"/>
  <c r="B52" i="18"/>
  <c r="E25" i="18"/>
  <c r="T692" i="6"/>
  <c r="AF692" i="6"/>
  <c r="B26" i="4"/>
  <c r="B80" i="4"/>
  <c r="B95" i="4"/>
  <c r="D12" i="4"/>
  <c r="B43" i="15"/>
  <c r="C43" i="15"/>
  <c r="E43" i="15"/>
  <c r="D43" i="15"/>
  <c r="G12" i="4"/>
  <c r="C104" i="15"/>
  <c r="B104" i="15"/>
  <c r="E104" i="15"/>
  <c r="D104" i="15"/>
  <c r="D39" i="15"/>
  <c r="F12" i="4"/>
  <c r="B96" i="15"/>
  <c r="C96" i="15"/>
  <c r="E96" i="15"/>
  <c r="D96" i="15"/>
  <c r="B27" i="15"/>
  <c r="D27" i="15"/>
  <c r="C27" i="15"/>
  <c r="C81" i="15"/>
  <c r="B81" i="15"/>
  <c r="E81" i="15"/>
  <c r="D81" i="15"/>
  <c r="B11" i="4"/>
  <c r="B76" i="4"/>
  <c r="B77" i="15"/>
  <c r="C77" i="15"/>
  <c r="D77" i="15"/>
  <c r="B8" i="4"/>
  <c r="T62" i="4"/>
  <c r="H61" i="18"/>
  <c r="B68" i="18"/>
  <c r="B70" i="15"/>
  <c r="C70" i="15"/>
  <c r="E70" i="15"/>
  <c r="D70" i="15"/>
  <c r="C62" i="15"/>
  <c r="D62" i="15"/>
  <c r="B62" i="15"/>
  <c r="B54" i="15"/>
  <c r="C54" i="15"/>
  <c r="E54" i="15"/>
  <c r="D54" i="15"/>
  <c r="B11" i="18"/>
  <c r="AM709" i="3"/>
  <c r="AM707" i="3"/>
  <c r="AM718" i="3"/>
  <c r="AM717" i="3"/>
  <c r="AM716" i="3"/>
  <c r="AM715" i="3"/>
  <c r="AM710" i="3"/>
  <c r="AM714" i="3"/>
  <c r="AM713" i="3"/>
  <c r="AM708" i="3"/>
  <c r="AM712" i="3"/>
  <c r="AM711" i="3"/>
  <c r="AB47" i="26"/>
  <c r="R76" i="4"/>
  <c r="K12" i="4"/>
  <c r="B42" i="4"/>
  <c r="B103" i="4"/>
  <c r="C12" i="4"/>
  <c r="B12" i="18"/>
  <c r="F62" i="4"/>
  <c r="F96" i="4"/>
  <c r="F104" i="4"/>
  <c r="O62" i="4"/>
  <c r="O96" i="4"/>
  <c r="O104" i="4"/>
  <c r="N62" i="4"/>
  <c r="N96" i="4"/>
  <c r="N104" i="4"/>
  <c r="B75" i="18"/>
  <c r="B8" i="18"/>
  <c r="L62" i="4"/>
  <c r="L96" i="4"/>
  <c r="L104" i="4"/>
  <c r="S62" i="4"/>
  <c r="S96" i="4"/>
  <c r="H11" i="18"/>
  <c r="M12" i="4"/>
  <c r="D12" i="18"/>
  <c r="B69" i="4"/>
  <c r="F61" i="18"/>
  <c r="F95" i="18"/>
  <c r="F103" i="18"/>
  <c r="F105" i="18"/>
  <c r="D61" i="18"/>
  <c r="D95" i="18"/>
  <c r="D103" i="18"/>
  <c r="AP383" i="6"/>
  <c r="AQ383" i="6"/>
  <c r="DM628" i="3"/>
  <c r="T608" i="6"/>
  <c r="CL647" i="3"/>
  <c r="AY932" i="3"/>
  <c r="AY924" i="3"/>
  <c r="AY928" i="3"/>
  <c r="AD63" i="5"/>
  <c r="T7" i="5"/>
  <c r="Y7" i="5"/>
  <c r="E27" i="15"/>
  <c r="E62" i="15"/>
  <c r="E77" i="15"/>
  <c r="E61" i="18"/>
  <c r="B1013" i="3"/>
  <c r="T24" i="27"/>
  <c r="T24" i="26"/>
  <c r="AD7" i="5"/>
  <c r="DH628" i="3"/>
  <c r="T609" i="6"/>
  <c r="BQ529" i="6"/>
  <c r="BQ533" i="6"/>
  <c r="DC628" i="3"/>
  <c r="T610" i="6"/>
  <c r="AZ576" i="6"/>
  <c r="L28" i="28"/>
  <c r="V28" i="28"/>
  <c r="E95" i="18"/>
  <c r="S104" i="4"/>
  <c r="AS357" i="6"/>
  <c r="AS359" i="6"/>
  <c r="AK476" i="6"/>
  <c r="T687" i="6"/>
  <c r="AO680" i="6"/>
  <c r="C61" i="18"/>
  <c r="C95" i="18"/>
  <c r="C103" i="18"/>
  <c r="C62" i="4"/>
  <c r="B63" i="15"/>
  <c r="AC861" i="3"/>
  <c r="AB47" i="5"/>
  <c r="T96" i="4"/>
  <c r="BW647" i="3"/>
  <c r="B12" i="15"/>
  <c r="B13" i="15"/>
  <c r="C30" i="10"/>
  <c r="DR628" i="3"/>
  <c r="T607" i="6"/>
  <c r="AZ573" i="6"/>
  <c r="AK285" i="6"/>
  <c r="T686" i="6"/>
  <c r="AO679" i="6"/>
  <c r="AO678" i="6"/>
  <c r="T685" i="6"/>
  <c r="AF685" i="6"/>
  <c r="E62" i="4"/>
  <c r="E96" i="4"/>
  <c r="E104" i="4"/>
  <c r="BG628" i="3"/>
  <c r="B39" i="15"/>
  <c r="Q12" i="4"/>
  <c r="CG647" i="3"/>
  <c r="L26" i="28"/>
  <c r="V26" i="28"/>
  <c r="CS634" i="3"/>
  <c r="C9" i="15"/>
  <c r="B38" i="4"/>
  <c r="C39" i="15"/>
  <c r="E39" i="15"/>
  <c r="AC862" i="3"/>
  <c r="BG715" i="3"/>
  <c r="BH703" i="3"/>
  <c r="BI703" i="3"/>
  <c r="CS628" i="3"/>
  <c r="T612" i="6"/>
  <c r="AZ578" i="6"/>
  <c r="B12" i="4"/>
  <c r="O607" i="6"/>
  <c r="AU573" i="6"/>
  <c r="O611" i="6"/>
  <c r="AU577" i="6"/>
  <c r="CX628" i="3"/>
  <c r="T611" i="6"/>
  <c r="AZ577" i="6"/>
  <c r="AG438" i="3"/>
  <c r="T27" i="5"/>
  <c r="Q590" i="6"/>
  <c r="W590" i="6"/>
  <c r="AC590" i="6"/>
  <c r="Q589" i="6"/>
  <c r="W589" i="6"/>
  <c r="AC589" i="6"/>
  <c r="Q591" i="6"/>
  <c r="W591" i="6"/>
  <c r="Q586" i="6"/>
  <c r="W586" i="6"/>
  <c r="AC586" i="6"/>
  <c r="Q588" i="6"/>
  <c r="W588" i="6"/>
  <c r="AC588" i="6"/>
  <c r="Q587" i="6"/>
  <c r="W587" i="6"/>
  <c r="AC587" i="6"/>
  <c r="AZ260" i="3"/>
  <c r="BO245" i="3"/>
  <c r="T269" i="3"/>
  <c r="Y27" i="26"/>
  <c r="AD27" i="27"/>
  <c r="Y27" i="27"/>
  <c r="BH726" i="3"/>
  <c r="BI726" i="3"/>
  <c r="BH723" i="3"/>
  <c r="BI723" i="3"/>
  <c r="BH729" i="3"/>
  <c r="BI729" i="3"/>
  <c r="BH740" i="3"/>
  <c r="BI740" i="3"/>
  <c r="BH722" i="3"/>
  <c r="BI722" i="3"/>
  <c r="BH728" i="3"/>
  <c r="BI728" i="3"/>
  <c r="BH724" i="3"/>
  <c r="BI724" i="3"/>
  <c r="BH727" i="3"/>
  <c r="BI727" i="3"/>
  <c r="BH732" i="3"/>
  <c r="BI732" i="3"/>
  <c r="BH743" i="3"/>
  <c r="BI743" i="3"/>
  <c r="BH725" i="3"/>
  <c r="BI725" i="3"/>
  <c r="BH733" i="3"/>
  <c r="BI733" i="3"/>
  <c r="BH735" i="3"/>
  <c r="BI735" i="3"/>
  <c r="BH745" i="3"/>
  <c r="BI745" i="3"/>
  <c r="BH744" i="3"/>
  <c r="BI744" i="3"/>
  <c r="BH742" i="3"/>
  <c r="BI742" i="3"/>
  <c r="BH741" i="3"/>
  <c r="BI741" i="3"/>
  <c r="BH739" i="3"/>
  <c r="BI739" i="3"/>
  <c r="BH737" i="3"/>
  <c r="BI737" i="3"/>
  <c r="BH736" i="3"/>
  <c r="BI736" i="3"/>
  <c r="BH734" i="3"/>
  <c r="BI734" i="3"/>
  <c r="CQ647" i="3"/>
  <c r="BH731" i="3"/>
  <c r="BI731" i="3"/>
  <c r="BH738" i="3"/>
  <c r="BI738" i="3"/>
  <c r="BH730" i="3"/>
  <c r="BI730" i="3"/>
  <c r="BK628" i="3"/>
  <c r="O608" i="6"/>
  <c r="AU574" i="6"/>
  <c r="CL628" i="3"/>
  <c r="AZ574" i="6"/>
  <c r="BM528" i="6"/>
  <c r="BM533" i="6"/>
  <c r="Y608" i="6"/>
  <c r="BE574" i="6"/>
  <c r="BH714" i="3"/>
  <c r="BI714" i="3"/>
  <c r="O610" i="6"/>
  <c r="AU576" i="6"/>
  <c r="L29" i="28"/>
  <c r="V29" i="28"/>
  <c r="CQ648" i="3"/>
  <c r="BH721" i="3"/>
  <c r="CG628" i="3"/>
  <c r="CB628" i="3"/>
  <c r="AO646" i="3"/>
  <c r="O609" i="6"/>
  <c r="AU575" i="6"/>
  <c r="AZ575" i="6"/>
  <c r="F30" i="10"/>
  <c r="BU530" i="6"/>
  <c r="BU533" i="6"/>
  <c r="Q583" i="6"/>
  <c r="W583" i="6"/>
  <c r="AC583" i="6"/>
  <c r="BD526" i="6"/>
  <c r="Q584" i="6"/>
  <c r="W584" i="6"/>
  <c r="AC584" i="6"/>
  <c r="T681" i="6"/>
  <c r="AF681" i="6"/>
  <c r="AK66" i="6"/>
  <c r="R62" i="4"/>
  <c r="R96" i="4"/>
  <c r="R104" i="4"/>
  <c r="L30" i="28"/>
  <c r="V30" i="28"/>
  <c r="CQ628" i="3"/>
  <c r="Y609" i="6"/>
  <c r="CH549" i="6"/>
  <c r="O612" i="6"/>
  <c r="AU578" i="6"/>
  <c r="Y610" i="6"/>
  <c r="BH710" i="3"/>
  <c r="BI710" i="3"/>
  <c r="BH713" i="3"/>
  <c r="BI713" i="3"/>
  <c r="L27" i="28"/>
  <c r="V27" i="28"/>
  <c r="V31" i="28"/>
  <c r="BW628" i="3"/>
  <c r="AP535" i="6"/>
  <c r="BP585" i="6"/>
  <c r="AP537" i="6"/>
  <c r="BP587" i="6"/>
  <c r="AP536" i="6"/>
  <c r="BH586" i="6"/>
  <c r="CC532" i="6"/>
  <c r="CC533" i="6"/>
  <c r="Y612" i="6"/>
  <c r="BH692" i="3"/>
  <c r="BI692" i="3"/>
  <c r="BH708" i="3"/>
  <c r="BI708" i="3"/>
  <c r="BH706" i="3"/>
  <c r="BI706" i="3"/>
  <c r="BH700" i="3"/>
  <c r="BI700" i="3"/>
  <c r="BH705" i="3"/>
  <c r="BI705" i="3"/>
  <c r="BH707" i="3"/>
  <c r="BI707" i="3"/>
  <c r="BH690" i="3"/>
  <c r="BI690" i="3"/>
  <c r="BH697" i="3"/>
  <c r="BI697" i="3"/>
  <c r="BH704" i="3"/>
  <c r="BI704" i="3"/>
  <c r="BH696" i="3"/>
  <c r="BI696" i="3"/>
  <c r="BH693" i="3"/>
  <c r="BI693" i="3"/>
  <c r="BH712" i="3"/>
  <c r="BI712" i="3"/>
  <c r="BH695" i="3"/>
  <c r="BI695" i="3"/>
  <c r="BH709" i="3"/>
  <c r="BI709" i="3"/>
  <c r="BH701" i="3"/>
  <c r="BI701" i="3"/>
  <c r="BH694" i="3"/>
  <c r="BI694" i="3"/>
  <c r="BH699" i="3"/>
  <c r="BI699" i="3"/>
  <c r="BR628" i="3"/>
  <c r="BH698" i="3"/>
  <c r="BI698" i="3"/>
  <c r="BH691" i="3"/>
  <c r="BI691" i="3"/>
  <c r="BE575" i="6"/>
  <c r="AP585" i="6"/>
  <c r="AP550" i="6"/>
  <c r="AP539" i="6"/>
  <c r="BN589" i="6"/>
  <c r="BN590" i="6"/>
  <c r="B62" i="4"/>
  <c r="AY543" i="6"/>
  <c r="AI27" i="26"/>
  <c r="BH702" i="3"/>
  <c r="BI702" i="3"/>
  <c r="AD27" i="5"/>
  <c r="T104" i="4"/>
  <c r="H95" i="18"/>
  <c r="T613" i="6"/>
  <c r="AP538" i="6"/>
  <c r="BJ588" i="6"/>
  <c r="BJ590" i="6"/>
  <c r="T27" i="27"/>
  <c r="AC863" i="3"/>
  <c r="BY531" i="6"/>
  <c r="BY533" i="6"/>
  <c r="C63" i="15"/>
  <c r="E63" i="15"/>
  <c r="BK567" i="6"/>
  <c r="Y611" i="6"/>
  <c r="AU538" i="6"/>
  <c r="Y27" i="5"/>
  <c r="C13" i="15"/>
  <c r="E13" i="15"/>
  <c r="E9" i="15"/>
  <c r="BH711" i="3"/>
  <c r="BI711" i="3"/>
  <c r="Y607" i="6"/>
  <c r="BE573" i="6"/>
  <c r="AP583" i="6"/>
  <c r="BJ573" i="6"/>
  <c r="BJ579" i="6"/>
  <c r="Y778" i="3"/>
  <c r="T27" i="26"/>
  <c r="AI27" i="5"/>
  <c r="D63" i="15"/>
  <c r="C96" i="4"/>
  <c r="AD27" i="26"/>
  <c r="E12" i="15"/>
  <c r="AI27" i="27"/>
  <c r="E103" i="18"/>
  <c r="S106" i="4"/>
  <c r="B61" i="18"/>
  <c r="BF567" i="6"/>
  <c r="BK570" i="6"/>
  <c r="AU548" i="6"/>
  <c r="BI721" i="3"/>
  <c r="BI746" i="3"/>
  <c r="AM731" i="3"/>
  <c r="BH746" i="3"/>
  <c r="CH548" i="6"/>
  <c r="BE547" i="6"/>
  <c r="BE552" i="6"/>
  <c r="BO528" i="6"/>
  <c r="BO533" i="6"/>
  <c r="BM534" i="6"/>
  <c r="CQ629" i="3"/>
  <c r="O613" i="6"/>
  <c r="AC592" i="6"/>
  <c r="AP584" i="6"/>
  <c r="CH550" i="6"/>
  <c r="BE576" i="6"/>
  <c r="AP586" i="6"/>
  <c r="BW530" i="6"/>
  <c r="BW533" i="6"/>
  <c r="BU534" i="6"/>
  <c r="CE532" i="6"/>
  <c r="CE533" i="6"/>
  <c r="CC534" i="6"/>
  <c r="CH552" i="6"/>
  <c r="BE578" i="6"/>
  <c r="AP588" i="6"/>
  <c r="C104" i="4"/>
  <c r="D105" i="15"/>
  <c r="C97" i="15"/>
  <c r="B97" i="15"/>
  <c r="BS529" i="6"/>
  <c r="BS533" i="6"/>
  <c r="BQ534" i="6"/>
  <c r="L31" i="28"/>
  <c r="BQ535" i="6"/>
  <c r="BQ539" i="6"/>
  <c r="AX548" i="6"/>
  <c r="BL587" i="6"/>
  <c r="BP588" i="6"/>
  <c r="BF587" i="6"/>
  <c r="BF590" i="6"/>
  <c r="BB586" i="6"/>
  <c r="BB590" i="6"/>
  <c r="BI715" i="3"/>
  <c r="AH731" i="3"/>
  <c r="BH585" i="6"/>
  <c r="BH590" i="6"/>
  <c r="BF591" i="6"/>
  <c r="BL585" i="6"/>
  <c r="AX585" i="6"/>
  <c r="AX590" i="6"/>
  <c r="AX591" i="6"/>
  <c r="BD585" i="6"/>
  <c r="BD590" i="6"/>
  <c r="BP586" i="6"/>
  <c r="BI548" i="6"/>
  <c r="BI552" i="6"/>
  <c r="BL586" i="6"/>
  <c r="BH715" i="3"/>
  <c r="BO574" i="6"/>
  <c r="BO579" i="6"/>
  <c r="AJ1002" i="3"/>
  <c r="T24" i="5"/>
  <c r="AU537" i="6"/>
  <c r="AC448" i="3"/>
  <c r="AU536" i="6"/>
  <c r="B104" i="4"/>
  <c r="Z796" i="3"/>
  <c r="B95" i="18"/>
  <c r="D97" i="15"/>
  <c r="B96" i="4"/>
  <c r="H103" i="18"/>
  <c r="T106" i="4"/>
  <c r="H105" i="18"/>
  <c r="AS544" i="6"/>
  <c r="AU535" i="6"/>
  <c r="B103" i="18"/>
  <c r="AU539" i="6"/>
  <c r="AU551" i="6"/>
  <c r="CA531" i="6"/>
  <c r="CA533" i="6"/>
  <c r="BY534" i="6"/>
  <c r="BY535" i="6"/>
  <c r="AC449" i="3"/>
  <c r="X1006" i="3"/>
  <c r="E105" i="18"/>
  <c r="BE577" i="6"/>
  <c r="AP587" i="6"/>
  <c r="CH551" i="6"/>
  <c r="B105" i="15"/>
  <c r="C105" i="15"/>
  <c r="AB952" i="3"/>
  <c r="P414" i="3"/>
  <c r="O734" i="3"/>
  <c r="CQ650" i="3"/>
  <c r="U372" i="6"/>
  <c r="T690" i="6"/>
  <c r="AK618" i="6"/>
  <c r="CC537" i="6"/>
  <c r="CC535" i="6"/>
  <c r="CC538" i="6"/>
  <c r="BU536" i="6"/>
  <c r="BU535" i="6"/>
  <c r="E97" i="15"/>
  <c r="E105" i="15"/>
  <c r="AB46" i="5"/>
  <c r="AB48" i="5"/>
  <c r="AC447" i="3"/>
  <c r="J58" i="25"/>
  <c r="AB46" i="27"/>
  <c r="AB48" i="27"/>
  <c r="AB46" i="26"/>
  <c r="AB48" i="26"/>
  <c r="BB591" i="6"/>
  <c r="BP590" i="6"/>
  <c r="BN591" i="6"/>
  <c r="X1007" i="3"/>
  <c r="D1008" i="3"/>
  <c r="BL590" i="6"/>
  <c r="BJ591" i="6"/>
  <c r="BT575" i="6"/>
  <c r="BY576" i="6"/>
  <c r="BY579" i="6"/>
  <c r="BM549" i="6"/>
  <c r="BM552" i="6"/>
  <c r="BJ592" i="6"/>
  <c r="AV556" i="6"/>
  <c r="BU539" i="6"/>
  <c r="AI11" i="5"/>
  <c r="AI23" i="5"/>
  <c r="AI26" i="5"/>
  <c r="AI28" i="5"/>
  <c r="AI11" i="26"/>
  <c r="AI23" i="26"/>
  <c r="AI26" i="26"/>
  <c r="AI28" i="26"/>
  <c r="AD63" i="26"/>
  <c r="AD11" i="27"/>
  <c r="AD23" i="27"/>
  <c r="AD26" i="27"/>
  <c r="AD28" i="27"/>
  <c r="AI11" i="27"/>
  <c r="AI23" i="27"/>
  <c r="AI26" i="27"/>
  <c r="AI28" i="27"/>
  <c r="AD63" i="27"/>
  <c r="AD11" i="5"/>
  <c r="AD23" i="5"/>
  <c r="AD26" i="5"/>
  <c r="AD28" i="5"/>
  <c r="AD11" i="26"/>
  <c r="AD23" i="26"/>
  <c r="AD26" i="26"/>
  <c r="AD28" i="26"/>
  <c r="BY536" i="6"/>
  <c r="BY537" i="6"/>
  <c r="Y11" i="26"/>
  <c r="Y23" i="26"/>
  <c r="Y26" i="26"/>
  <c r="Y28" i="26"/>
  <c r="Y63" i="26"/>
  <c r="Y67" i="26"/>
  <c r="T11" i="27"/>
  <c r="T23" i="27"/>
  <c r="Y11" i="27"/>
  <c r="Y23" i="27"/>
  <c r="Y26" i="27"/>
  <c r="Y28" i="27"/>
  <c r="Y63" i="27"/>
  <c r="Y67" i="27"/>
  <c r="T11" i="5"/>
  <c r="Y11" i="5"/>
  <c r="Y23" i="5"/>
  <c r="Y26" i="5"/>
  <c r="Y28" i="5"/>
  <c r="T23" i="5"/>
  <c r="T26" i="5"/>
  <c r="T28" i="5"/>
  <c r="Y63" i="5"/>
  <c r="Y67" i="5"/>
  <c r="T11" i="26"/>
  <c r="T23" i="26"/>
  <c r="E48" i="9"/>
  <c r="BT579" i="6"/>
  <c r="CD577" i="6"/>
  <c r="CD579" i="6"/>
  <c r="CC536" i="6"/>
  <c r="CC539" i="6"/>
  <c r="T689" i="6"/>
  <c r="AO683" i="6"/>
  <c r="AF689" i="6"/>
  <c r="AF695" i="6"/>
  <c r="AB53" i="26"/>
  <c r="AB54" i="26"/>
  <c r="AB53" i="27"/>
  <c r="AB54" i="27"/>
  <c r="AB53" i="5"/>
  <c r="AB54" i="5"/>
  <c r="G71" i="25"/>
  <c r="G72" i="25"/>
  <c r="B75" i="25"/>
  <c r="B76" i="25"/>
  <c r="O76" i="25"/>
  <c r="BQ550" i="6"/>
  <c r="BY539" i="6"/>
  <c r="T26" i="26"/>
  <c r="T28" i="26"/>
  <c r="T29" i="26"/>
  <c r="AD38" i="26"/>
  <c r="AD40" i="26"/>
  <c r="Y38" i="26"/>
  <c r="Y40" i="26"/>
  <c r="Y41" i="26"/>
  <c r="AB55" i="26"/>
  <c r="AB56" i="26"/>
  <c r="AB58" i="26"/>
  <c r="BE16" i="28"/>
  <c r="CG539" i="6"/>
  <c r="T26" i="27"/>
  <c r="T28" i="27"/>
  <c r="T29" i="27"/>
  <c r="AD38" i="27"/>
  <c r="AD40" i="27"/>
  <c r="G48" i="9"/>
  <c r="BQ552" i="6"/>
  <c r="BU551" i="6"/>
  <c r="BU552" i="6"/>
  <c r="CC552" i="6"/>
  <c r="CI578" i="6"/>
  <c r="CI579" i="6"/>
  <c r="CN579" i="6"/>
  <c r="BD560" i="6"/>
  <c r="E46" i="9"/>
  <c r="E47" i="9"/>
  <c r="T29" i="5"/>
  <c r="Q71" i="25"/>
  <c r="O75" i="25"/>
  <c r="R75" i="25"/>
  <c r="AD38" i="5"/>
  <c r="AD40" i="5"/>
  <c r="Y38" i="5"/>
  <c r="Y40" i="5"/>
  <c r="Y38" i="27"/>
  <c r="Y40" i="27"/>
  <c r="Y41" i="27"/>
  <c r="AB55" i="27"/>
  <c r="AB56" i="27"/>
  <c r="AB58" i="27"/>
  <c r="AW564" i="6"/>
  <c r="AT562" i="6"/>
  <c r="I48" i="9"/>
  <c r="G47" i="9"/>
  <c r="G46" i="9"/>
  <c r="F59" i="26"/>
  <c r="AB75" i="26"/>
  <c r="AB76" i="26"/>
  <c r="AB77" i="26"/>
  <c r="AB79" i="26"/>
  <c r="J80" i="26"/>
  <c r="E69" i="9"/>
  <c r="E71" i="9"/>
  <c r="F59" i="27"/>
  <c r="AB75" i="27"/>
  <c r="AB76" i="27"/>
  <c r="AB77" i="27"/>
  <c r="AB79" i="27"/>
  <c r="J80" i="27"/>
  <c r="AR42" i="5"/>
  <c r="Y41" i="5"/>
  <c r="AB55" i="5"/>
  <c r="AR43" i="5"/>
  <c r="G67" i="9"/>
  <c r="G68" i="9"/>
  <c r="G61" i="9"/>
  <c r="I47" i="9"/>
  <c r="I46" i="9"/>
  <c r="K48" i="9"/>
  <c r="BE15" i="28"/>
  <c r="Q22" i="28"/>
  <c r="V33" i="28"/>
  <c r="V35" i="28"/>
  <c r="M25" i="3"/>
  <c r="P203" i="3"/>
  <c r="AB56" i="5"/>
  <c r="AB58" i="5"/>
  <c r="M48" i="9"/>
  <c r="K47" i="9"/>
  <c r="K46" i="9"/>
  <c r="I67" i="9"/>
  <c r="I61" i="9"/>
  <c r="I68" i="9"/>
  <c r="G69" i="9"/>
  <c r="G71" i="9"/>
  <c r="AB75" i="5"/>
  <c r="AB76" i="5"/>
  <c r="F59" i="5"/>
  <c r="I69" i="9"/>
  <c r="I71" i="9"/>
  <c r="K61" i="9"/>
  <c r="K67" i="9"/>
  <c r="K68" i="9"/>
  <c r="M46" i="9"/>
  <c r="M47" i="9"/>
  <c r="O48" i="9"/>
  <c r="AB77" i="5"/>
  <c r="AB79" i="5"/>
  <c r="J80" i="5"/>
  <c r="M27" i="3"/>
  <c r="K69" i="9"/>
  <c r="K71" i="9"/>
  <c r="Q48" i="9"/>
  <c r="M68" i="9"/>
  <c r="M67" i="9"/>
  <c r="M61" i="9"/>
  <c r="O46" i="9"/>
  <c r="O47" i="9"/>
  <c r="W203" i="3"/>
  <c r="D203" i="3"/>
  <c r="S48" i="9"/>
  <c r="O68" i="9"/>
  <c r="O67" i="9"/>
  <c r="O61" i="9"/>
  <c r="M69" i="9"/>
  <c r="M71" i="9"/>
  <c r="Q46" i="9"/>
  <c r="Q47" i="9"/>
  <c r="O69" i="9"/>
  <c r="O71" i="9"/>
  <c r="Q61" i="9"/>
  <c r="Q68" i="9"/>
  <c r="Q67" i="9"/>
  <c r="U48" i="9"/>
  <c r="S47" i="9"/>
  <c r="S46" i="9"/>
  <c r="S68" i="9"/>
  <c r="S61" i="9"/>
  <c r="S67" i="9"/>
  <c r="W48" i="9"/>
  <c r="U47" i="9"/>
  <c r="U46" i="9"/>
  <c r="Q69" i="9"/>
  <c r="Q71" i="9"/>
  <c r="S69" i="9"/>
  <c r="S71" i="9"/>
  <c r="Y48" i="9"/>
  <c r="U68" i="9"/>
  <c r="U61" i="9"/>
  <c r="U67" i="9"/>
  <c r="W46" i="9"/>
  <c r="W47" i="9"/>
  <c r="AA48" i="9"/>
  <c r="W61" i="9"/>
  <c r="W68" i="9"/>
  <c r="W67" i="9"/>
  <c r="U69" i="9"/>
  <c r="U71" i="9"/>
  <c r="Y46" i="9"/>
  <c r="Y47" i="9"/>
  <c r="Y67" i="9"/>
  <c r="Y68" i="9"/>
  <c r="Y61" i="9"/>
  <c r="AC48" i="9"/>
  <c r="W69" i="9"/>
  <c r="W71" i="9"/>
  <c r="AA47" i="9"/>
  <c r="AA46" i="9"/>
  <c r="AA61" i="9"/>
  <c r="AA67" i="9"/>
  <c r="AA68" i="9"/>
  <c r="AE48" i="9"/>
  <c r="AC47" i="9"/>
  <c r="AC46" i="9"/>
  <c r="Y69" i="9"/>
  <c r="Y71" i="9"/>
  <c r="AA69" i="9"/>
  <c r="AA71" i="9"/>
  <c r="AC67" i="9"/>
  <c r="AC61" i="9"/>
  <c r="AC68" i="9"/>
  <c r="AG48" i="9"/>
  <c r="AE47" i="9"/>
  <c r="AE46" i="9"/>
  <c r="AE68" i="9"/>
  <c r="AE61" i="9"/>
  <c r="AE67" i="9"/>
  <c r="AG46" i="9"/>
  <c r="AG47" i="9"/>
  <c r="AC69" i="9"/>
  <c r="AC71" i="9"/>
  <c r="AG67" i="9"/>
  <c r="AG61" i="9"/>
  <c r="AG68" i="9"/>
  <c r="AE69" i="9"/>
  <c r="AE71" i="9"/>
  <c r="AG69" i="9"/>
  <c r="AG71" i="9"/>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<sst xmlns="http://schemas.openxmlformats.org/spreadsheetml/2006/main" count="4783" uniqueCount="2513">
  <si>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</si>
  <si>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</si>
  <si>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</si>
  <si>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</si>
  <si>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</si>
  <si>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</si>
  <si>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</si>
  <si>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</si>
  <si>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</si>
  <si>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</si>
  <si>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</si>
  <si>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</si>
  <si>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</si>
  <si>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</si>
  <si>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</si>
  <si>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</si>
  <si>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</si>
  <si>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</si>
  <si>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</si>
  <si>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</si>
  <si>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</si>
  <si>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</si>
  <si>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</si>
  <si>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</si>
  <si>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</si>
  <si>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</si>
  <si>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</si>
  <si>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</si>
  <si>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</si>
  <si>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</si>
  <si>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</si>
  <si>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</si>
  <si>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</si>
  <si>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</si>
  <si>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</si>
  <si>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</si>
  <si>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</si>
  <si>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</si>
  <si>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</si>
  <si>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</si>
  <si>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</si>
  <si>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</si>
  <si>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</si>
  <si>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</si>
  <si>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</si>
  <si>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</si>
  <si>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</si>
  <si>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</si>
  <si>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</si>
  <si>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</si>
  <si>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</si>
  <si>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</si>
  <si>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</si>
  <si>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</si>
  <si>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</si>
  <si>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</si>
  <si>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</si>
  <si>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</si>
  <si>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</si>
  <si>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</si>
  <si>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</si>
  <si>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</si>
  <si>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</si>
  <si>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</si>
  <si>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</si>
  <si>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</si>
  <si>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</si>
  <si>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</si>
  <si>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</si>
  <si>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</si>
  <si>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</si>
  <si>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</si>
  <si>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</si>
  <si>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</si>
  <si>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</si>
  <si>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</si>
  <si>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</si>
  <si>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</si>
  <si>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</si>
  <si>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</si>
  <si>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</si>
  <si>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</si>
  <si>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</si>
  <si>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</si>
  <si>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</si>
  <si>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</si>
  <si>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</si>
  <si>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</si>
  <si>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</si>
  <si>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</si>
  <si>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</si>
  <si>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</si>
  <si>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</si>
  <si>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</si>
  <si>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</si>
  <si>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</si>
  <si>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</si>
  <si>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</si>
  <si>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</si>
  <si>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</si>
  <si>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</si>
  <si>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</si>
  <si>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</si>
  <si>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</si>
  <si>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</si>
  <si>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</si>
  <si>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</si>
  <si>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</si>
  <si>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</si>
  <si>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</si>
  <si>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</si>
  <si>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</si>
  <si>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</si>
  <si>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</si>
  <si>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</si>
  <si>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</si>
  <si>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</si>
  <si>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</si>
  <si>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</si>
  <si>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</si>
  <si>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</si>
  <si>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</si>
  <si>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</si>
  <si>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</si>
  <si>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</si>
  <si>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</si>
  <si>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</si>
  <si>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</si>
  <si>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</si>
  <si>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</si>
  <si>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</si>
  <si>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</si>
  <si>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</si>
  <si>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</si>
  <si>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</si>
  <si>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</si>
  <si>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</si>
  <si>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</si>
  <si>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</si>
  <si>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</si>
  <si>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</si>
  <si>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</si>
  <si>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</si>
  <si>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</si>
  <si>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</si>
  <si>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</si>
  <si>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</si>
  <si>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</si>
  <si>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</si>
  <si>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</si>
  <si>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</si>
  <si>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</si>
  <si>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</si>
  <si>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</si>
  <si>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</si>
  <si>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</si>
  <si>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</si>
  <si>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</si>
  <si>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</si>
  <si>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</si>
  <si>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</si>
  <si>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</si>
  <si>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</si>
  <si>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</si>
  <si>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</si>
  <si>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</si>
  <si>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</si>
  <si>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</si>
  <si>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</si>
  <si>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</si>
  <si>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</si>
  <si>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</si>
  <si>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</si>
  <si>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</si>
  <si>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</si>
  <si>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</si>
  <si>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</si>
  <si>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</si>
  <si>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</si>
  <si>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</si>
  <si>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</si>
  <si>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</si>
  <si>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</si>
  <si>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</si>
  <si>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</si>
  <si>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</si>
  <si>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</si>
  <si>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</si>
  <si>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</si>
  <si>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</si>
  <si>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</si>
  <si>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</si>
  <si>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</si>
  <si>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</si>
  <si>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</si>
  <si>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</si>
  <si>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</si>
  <si>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</si>
  <si>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</si>
  <si>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</si>
  <si>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</si>
  <si>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</si>
  <si>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</si>
  <si>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</si>
  <si>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</si>
  <si>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</si>
  <si>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</si>
  <si>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</si>
  <si>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</si>
  <si>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</si>
  <si>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</si>
  <si>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</si>
  <si>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</si>
  <si>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</si>
  <si>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</si>
  <si>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</si>
  <si>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</si>
  <si>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</si>
  <si>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</si>
  <si>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</si>
  <si>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</si>
  <si>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</si>
  <si>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</si>
  <si>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</si>
  <si>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</si>
  <si>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</si>
  <si>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</si>
  <si>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</si>
  <si>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</si>
  <si>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</si>
  <si>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</si>
  <si>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</si>
  <si>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</si>
  <si>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</si>
  <si>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</si>
  <si>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</si>
  <si>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</si>
  <si>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</si>
  <si>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</si>
  <si>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</si>
  <si>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</si>
  <si>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</si>
  <si>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</si>
  <si>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</si>
  <si>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</si>
  <si>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</si>
  <si>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</si>
  <si>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</si>
  <si>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</si>
  <si>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</si>
  <si>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</si>
  <si>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</si>
  <si>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</si>
  <si>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</si>
  <si>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</si>
  <si>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</si>
  <si>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</si>
  <si>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</si>
  <si>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</si>
  <si>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</si>
  <si>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</si>
  <si>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</si>
  <si>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</si>
  <si>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</si>
  <si>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</si>
  <si>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</si>
  <si>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</si>
  <si>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</si>
  <si>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</si>
  <si>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</si>
  <si>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</si>
  <si>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</si>
  <si>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</si>
  <si>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</si>
  <si>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</si>
  <si>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</si>
  <si>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</si>
  <si>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</si>
  <si>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</si>
  <si>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</si>
  <si>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</si>
  <si>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</si>
  <si>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</si>
  <si>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</si>
  <si>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</si>
  <si>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</si>
  <si>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</si>
  <si>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</si>
  <si>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</si>
  <si>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</si>
  <si>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</si>
  <si>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</si>
  <si>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</si>
  <si>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</si>
  <si>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</si>
  <si>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</si>
  <si>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</si>
  <si>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</si>
  <si>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</si>
  <si>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</si>
  <si>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</si>
  <si>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</si>
  <si>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</si>
  <si>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</si>
  <si>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</si>
  <si>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</si>
  <si>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</si>
  <si>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</si>
  <si>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</si>
  <si>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</si>
  <si>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</si>
  <si>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</si>
  <si>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</si>
  <si>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</si>
  <si>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</si>
  <si>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</si>
  <si>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</si>
  <si>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</si>
  <si>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</si>
  <si>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</si>
  <si>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</si>
  <si>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</si>
  <si>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</si>
  <si>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</si>
  <si>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</si>
  <si>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</si>
  <si>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</si>
  <si>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</si>
  <si>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</si>
  <si>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</si>
  <si>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</si>
  <si>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</si>
  <si>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</si>
  <si>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</si>
  <si>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</si>
  <si>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</si>
  <si>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</si>
  <si>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</si>
  <si>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</si>
  <si>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</si>
  <si>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</si>
  <si>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</si>
  <si>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</si>
  <si>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</si>
  <si>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</si>
  <si>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</si>
  <si>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</si>
  <si>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</si>
  <si>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</si>
  <si>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</si>
  <si>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</si>
  <si>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</si>
  <si>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</si>
  <si>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</si>
  <si>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</si>
  <si>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</si>
  <si>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</si>
  <si>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</si>
  <si>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</si>
  <si>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</si>
  <si>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</si>
  <si>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</si>
  <si>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</si>
  <si>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</si>
  <si>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</si>
  <si>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</si>
  <si>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</si>
  <si>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</si>
  <si>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</si>
  <si>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</si>
  <si>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</si>
  <si>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</si>
  <si>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</si>
  <si>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</si>
  <si>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</si>
  <si>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</si>
  <si>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</si>
  <si>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</si>
  <si>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</si>
  <si>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</si>
  <si>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</si>
  <si>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</si>
  <si>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</si>
  <si>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</si>
  <si>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</si>
  <si>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</si>
  <si>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</si>
  <si>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</si>
  <si>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</si>
  <si>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</si>
  <si>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</si>
  <si>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</si>
  <si>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</si>
  <si>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</si>
  <si>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</si>
  <si>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</si>
  <si>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</si>
  <si>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</si>
  <si>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</si>
  <si>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</si>
  <si>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</si>
  <si>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</si>
  <si>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</si>
  <si>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</si>
  <si>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</si>
  <si>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</si>
  <si>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</si>
  <si>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</si>
  <si>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</si>
  <si>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</si>
  <si>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</si>
  <si>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</si>
  <si>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</si>
  <si>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</si>
  <si>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</si>
  <si>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</si>
  <si>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</si>
  <si>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</si>
  <si>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</si>
  <si>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</si>
  <si>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</si>
  <si>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</si>
  <si>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</si>
  <si>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</si>
  <si>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</si>
  <si>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</si>
  <si>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</si>
  <si>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</si>
  <si>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</si>
  <si>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</si>
  <si>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</si>
  <si>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</si>
  <si>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</si>
  <si>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</si>
  <si>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</si>
  <si>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</si>
  <si>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</si>
  <si>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</si>
  <si>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</si>
  <si>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</si>
  <si>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</si>
  <si>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</si>
  <si>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</si>
  <si>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</si>
  <si>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</si>
  <si>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</si>
  <si>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</si>
  <si>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</si>
  <si>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</si>
  <si>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</si>
  <si>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</si>
  <si>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</si>
  <si>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</si>
  <si>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</si>
  <si>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</si>
  <si>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</si>
  <si>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</si>
  <si>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</si>
  <si>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</si>
  <si>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</si>
  <si>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</si>
  <si>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</si>
  <si>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</si>
  <si>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</si>
  <si>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</si>
  <si>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</si>
  <si>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</si>
  <si>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</si>
  <si>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</si>
  <si>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</si>
  <si>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</si>
  <si>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</si>
  <si>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</si>
  <si>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</si>
  <si>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</si>
  <si>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</si>
  <si>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</si>
  <si>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</si>
  <si>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</si>
  <si>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</si>
  <si>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</si>
  <si>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</si>
  <si>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</si>
  <si>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</si>
  <si>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</si>
  <si>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</si>
  <si>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</si>
  <si>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</si>
  <si>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</si>
  <si>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</si>
  <si>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</si>
  <si>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</si>
  <si>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</si>
  <si>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</si>
  <si>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</si>
  <si>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</si>
  <si>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</si>
  <si>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</si>
  <si>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</si>
  <si>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</si>
  <si>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</si>
  <si>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</si>
  <si>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</si>
  <si>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</si>
  <si>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</si>
  <si>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</si>
  <si>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</si>
  <si>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</si>
  <si>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</si>
  <si>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</si>
  <si>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</si>
  <si>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</si>
  <si>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</si>
  <si>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</si>
  <si>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</si>
  <si>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</si>
  <si>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</si>
  <si>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</si>
  <si>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</si>
  <si>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</si>
  <si>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</si>
  <si>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</si>
  <si>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</si>
  <si>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</si>
  <si>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</si>
  <si>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</si>
  <si>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</si>
  <si>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</si>
  <si>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</si>
  <si>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</si>
  <si>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</si>
  <si>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</si>
  <si>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</si>
  <si>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</si>
  <si>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</si>
  <si>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</si>
  <si>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</si>
  <si>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</si>
  <si>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</si>
  <si>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</si>
  <si>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</si>
  <si>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</si>
  <si>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</si>
  <si>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</si>
  <si>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</si>
  <si>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</si>
  <si>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</si>
  <si>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</si>
  <si>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</si>
  <si>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</si>
  <si>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</si>
  <si>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</si>
  <si>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</si>
  <si>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</si>
  <si>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</si>
  <si>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</si>
  <si>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</si>
  <si>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</si>
  <si>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</si>
  <si>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</si>
  <si>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</si>
  <si>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</si>
  <si>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</si>
  <si>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</si>
  <si>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</si>
  <si>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</si>
  <si>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</si>
  <si>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</si>
  <si>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</si>
  <si>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</si>
  <si>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</si>
  <si>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</si>
  <si>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</si>
  <si>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</si>
  <si>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</si>
  <si>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</si>
  <si>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</si>
  <si>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</si>
  <si>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</si>
  <si>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</si>
  <si>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</si>
  <si>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</si>
  <si>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</si>
  <si>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</si>
  <si>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</si>
  <si>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</si>
  <si>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</si>
  <si>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</si>
  <si>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</si>
  <si>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</si>
  <si>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</si>
  <si>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</si>
  <si>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</si>
  <si>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</si>
  <si>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</si>
  <si>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</si>
  <si>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</si>
  <si>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</si>
  <si>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</si>
  <si>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</si>
  <si>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</si>
  <si>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</si>
  <si>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</si>
  <si>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</si>
  <si>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</si>
  <si>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</si>
  <si>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</si>
  <si>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</si>
  <si>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</si>
  <si>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</si>
  <si>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</si>
  <si>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</si>
  <si>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</si>
  <si>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</si>
  <si>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</si>
  <si>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</si>
  <si>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</si>
  <si>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</si>
  <si>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</si>
  <si>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</si>
  <si>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</si>
  <si>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</si>
  <si>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</si>
  <si>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</si>
  <si>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</si>
  <si>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</si>
  <si>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</si>
  <si>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</si>
  <si>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</si>
  <si>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</si>
  <si>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</si>
  <si>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</si>
  <si>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</si>
  <si>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</si>
  <si>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</si>
  <si>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</si>
  <si>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</si>
  <si>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</si>
  <si>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</si>
  <si>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</si>
  <si>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</si>
  <si>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</si>
  <si>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</si>
  <si>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</si>
  <si>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</si>
  <si>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</si>
  <si>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</si>
  <si>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</si>
  <si>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</si>
  <si>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</si>
  <si>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</si>
  <si>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</si>
  <si>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</si>
  <si>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</si>
  <si>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</si>
  <si>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</si>
  <si>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</si>
  <si>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</si>
  <si>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</si>
  <si>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</si>
  <si>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</si>
  <si>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</si>
  <si>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</si>
  <si>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</si>
  <si>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</si>
  <si>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</si>
  <si>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</si>
  <si>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</si>
  <si>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</si>
  <si>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</si>
  <si>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</si>
  <si>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</si>
  <si>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</si>
  <si>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</si>
  <si>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</si>
  <si>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</si>
  <si>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</si>
  <si>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</si>
  <si>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</si>
  <si>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</si>
  <si>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</si>
  <si>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</si>
  <si>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</si>
  <si>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</si>
  <si>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</si>
  <si>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</si>
  <si>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</si>
  <si>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</si>
  <si>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</si>
  <si>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</si>
  <si>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</si>
  <si>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</si>
  <si>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</si>
  <si>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</si>
  <si>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</si>
  <si>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</si>
  <si>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</si>
  <si>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</si>
  <si>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</si>
  <si>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</si>
  <si>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</si>
  <si>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</si>
  <si>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</si>
  <si>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</si>
  <si>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</si>
  <si>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</si>
  <si>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</si>
  <si>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</si>
  <si>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</si>
  <si>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</si>
  <si>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</si>
  <si>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</si>
  <si>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</si>
  <si>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</si>
  <si>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</si>
  <si>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</si>
  <si>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</si>
  <si>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</si>
  <si>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</si>
  <si>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</si>
  <si>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</si>
  <si>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</si>
  <si>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</si>
  <si>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</si>
  <si>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</si>
  <si>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</si>
  <si>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</si>
  <si>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</si>
  <si>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</si>
  <si>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</si>
  <si>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</si>
  <si>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</si>
  <si>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</si>
  <si>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</si>
  <si>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</si>
  <si>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</si>
  <si>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</si>
  <si>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</si>
  <si>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</si>
  <si>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</si>
  <si>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</si>
  <si>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</si>
  <si>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</si>
  <si>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</si>
  <si>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</si>
  <si>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</si>
  <si>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</si>
  <si>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</si>
  <si>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</si>
  <si>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</si>
  <si>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</si>
  <si>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</si>
  <si>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</si>
  <si>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</si>
  <si>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</si>
  <si>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</si>
  <si>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</si>
  <si>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</si>
  <si>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</si>
  <si>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</si>
  <si>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</si>
  <si>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</si>
  <si>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</si>
  <si>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</si>
  <si>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</si>
  <si>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</si>
  <si>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</si>
  <si>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</si>
  <si>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</si>
  <si>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</si>
  <si>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</si>
  <si>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</si>
  <si>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</si>
  <si>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</si>
  <si>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</si>
  <si>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</si>
  <si>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</si>
  <si>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</si>
  <si>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</si>
  <si>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</si>
  <si>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</si>
  <si>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</si>
  <si>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</si>
  <si>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</si>
  <si>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</si>
  <si>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</si>
  <si>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</si>
  <si>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</si>
  <si>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</si>
  <si>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</si>
  <si>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</si>
  <si>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</si>
  <si>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</si>
  <si>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</si>
  <si>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</si>
  <si>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</si>
  <si>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</si>
  <si>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</si>
  <si>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</si>
  <si>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</si>
  <si>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</si>
  <si>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</si>
  <si>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</si>
  <si>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</si>
  <si>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</si>
  <si>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</si>
  <si>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</si>
  <si>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</si>
  <si>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</si>
  <si>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</si>
  <si>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</si>
  <si>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</si>
  <si>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</si>
  <si>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</si>
  <si>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</si>
  <si>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</si>
  <si>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</si>
  <si>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</si>
  <si>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</si>
  <si>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</si>
  <si>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</si>
  <si>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</si>
  <si>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</si>
  <si>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</si>
  <si>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</si>
  <si>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</si>
  <si>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</si>
  <si>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</si>
  <si>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</si>
  <si>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</si>
  <si>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</si>
  <si>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</si>
  <si>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</si>
  <si>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</si>
  <si>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</si>
  <si>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</si>
  <si>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</si>
  <si>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</si>
  <si>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</si>
  <si>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</si>
  <si>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</si>
  <si>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</si>
  <si>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</si>
  <si>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</si>
  <si>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</si>
  <si>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</si>
  <si>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</si>
  <si>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</si>
  <si>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</si>
  <si>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</si>
  <si>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</si>
  <si>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</si>
  <si>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</si>
  <si>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</si>
  <si>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</si>
  <si>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</si>
  <si>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</si>
  <si>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</si>
  <si>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</si>
  <si>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</si>
  <si>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</si>
  <si>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</si>
  <si>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</si>
  <si>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</si>
  <si>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</si>
  <si>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</si>
  <si>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</si>
  <si>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</si>
  <si>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</si>
  <si>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</si>
  <si>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</si>
  <si>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</si>
  <si>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</si>
  <si>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</si>
  <si>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</si>
  <si>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</si>
  <si>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</si>
  <si>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</si>
  <si>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</si>
  <si>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</si>
  <si>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</si>
  <si>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</si>
  <si>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</si>
  <si>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</si>
  <si>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</si>
  <si>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</si>
  <si>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</si>
  <si>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</si>
  <si>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</si>
  <si>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</si>
  <si>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</si>
  <si>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</si>
  <si>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</si>
  <si>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</si>
  <si>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</si>
  <si>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</si>
  <si>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</si>
  <si>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</si>
  <si>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</si>
  <si>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</si>
  <si>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</si>
  <si>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</si>
  <si>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</si>
  <si>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</si>
  <si>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</si>
  <si>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</si>
  <si>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</si>
  <si>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</si>
  <si>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</si>
  <si>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</si>
  <si>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</si>
  <si>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</si>
  <si>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</si>
  <si>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</si>
  <si>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</si>
  <si>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</si>
  <si>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</si>
  <si>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</si>
  <si>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</si>
  <si>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</si>
  <si>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</si>
  <si>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</si>
  <si>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</si>
  <si>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</si>
  <si>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</si>
  <si>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</si>
  <si>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</si>
  <si>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</si>
  <si>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</si>
  <si>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</si>
  <si>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</si>
  <si>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</si>
  <si>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</si>
  <si>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</si>
  <si>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</si>
  <si>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</si>
  <si>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</si>
  <si>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</si>
  <si>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</si>
  <si>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</si>
  <si>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</si>
  <si>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</si>
  <si>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</si>
  <si>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</si>
  <si>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</si>
  <si>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</si>
  <si>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</si>
  <si>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</si>
  <si>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</si>
  <si>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</si>
  <si>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</si>
  <si>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</si>
  <si>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</si>
  <si>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</si>
  <si>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</si>
  <si>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</si>
  <si>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</si>
  <si>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</si>
  <si>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</si>
  <si>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</si>
  <si>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</si>
  <si>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</si>
  <si>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</si>
  <si>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</si>
  <si>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</si>
  <si>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</si>
  <si>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</si>
  <si>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</si>
  <si>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</si>
  <si>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</si>
  <si>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</si>
  <si>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</si>
  <si>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</si>
  <si>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</si>
  <si>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</si>
  <si>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</si>
  <si>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</si>
  <si>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</si>
  <si>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</si>
  <si>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</si>
  <si>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</si>
  <si>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</si>
  <si>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</si>
  <si>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</si>
  <si>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</si>
  <si>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</si>
  <si>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</si>
  <si>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</si>
  <si>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</si>
  <si>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</si>
  <si>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</si>
  <si>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</si>
  <si>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</si>
  <si>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</si>
  <si>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</si>
  <si>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</si>
  <si>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</si>
  <si>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</si>
  <si>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</si>
  <si>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</si>
  <si>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</si>
  <si>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</si>
  <si>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</si>
  <si>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</si>
  <si>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</si>
  <si>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</si>
  <si>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</si>
  <si>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</si>
  <si>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</si>
  <si>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</si>
  <si>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</si>
  <si>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</si>
  <si>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</si>
  <si>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</si>
  <si>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</si>
  <si>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</si>
  <si>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</si>
  <si>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</si>
  <si>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</si>
  <si>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</si>
  <si>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</si>
  <si>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</si>
  <si>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</si>
  <si>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</si>
  <si>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</si>
  <si>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</si>
  <si>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</si>
  <si>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</si>
  <si>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</si>
  <si>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</si>
  <si>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</si>
  <si>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</si>
  <si>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</si>
  <si>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</si>
  <si>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</si>
  <si>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</si>
  <si>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</si>
  <si>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</si>
  <si>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</si>
  <si>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</si>
  <si>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</si>
  <si>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</si>
  <si>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</si>
  <si>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</si>
  <si>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</si>
  <si>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</si>
  <si>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</si>
  <si>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</si>
  <si>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</si>
  <si>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</si>
  <si>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</si>
  <si>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</si>
  <si>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</si>
  <si>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</si>
  <si>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</si>
  <si>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</si>
  <si>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</si>
  <si>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</si>
  <si>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</si>
  <si>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</si>
  <si>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</si>
  <si>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</si>
  <si>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</si>
  <si>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</si>
  <si>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</si>
  <si>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</si>
  <si>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</si>
  <si>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</si>
  <si>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</si>
  <si>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</si>
  <si>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</si>
  <si>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</si>
  <si>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</si>
  <si>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</si>
  <si>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</si>
  <si>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</si>
  <si>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</si>
  <si>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</si>
  <si>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</si>
  <si>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</si>
  <si>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</si>
  <si>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</si>
  <si>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</si>
  <si>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</si>
  <si>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</si>
  <si>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</si>
  <si>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</si>
  <si>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</si>
  <si>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</si>
  <si>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</si>
  <si>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</si>
  <si>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</si>
  <si>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</si>
  <si>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</si>
  <si>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</si>
  <si>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</si>
  <si>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</si>
  <si>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</si>
  <si>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</si>
  <si>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</si>
  <si>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</si>
  <si>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</si>
  <si>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</si>
  <si>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</si>
  <si>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</si>
  <si>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</si>
  <si>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</si>
  <si>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</si>
  <si>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</si>
  <si>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</si>
  <si>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</si>
  <si>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</si>
  <si>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</si>
  <si>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</si>
  <si>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</si>
  <si>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</si>
  <si>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</si>
  <si>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</si>
  <si>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</si>
  <si>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</si>
  <si>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</si>
  <si>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</si>
  <si>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</si>
  <si>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</si>
  <si>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</si>
  <si>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</si>
  <si>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</si>
  <si>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</si>
  <si>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</si>
  <si>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</si>
  <si>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</si>
  <si>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</si>
  <si>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</si>
  <si>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</si>
  <si>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</si>
  <si>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</si>
  <si>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</si>
  <si>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</si>
  <si>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</si>
  <si>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</si>
  <si>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</si>
  <si>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</si>
  <si>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</si>
  <si>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</si>
  <si>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</si>
  <si>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</si>
  <si>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</si>
  <si>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</si>
  <si>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</si>
  <si>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</si>
  <si>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</si>
  <si>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</si>
  <si>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</si>
  <si>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</si>
  <si>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</si>
  <si>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</si>
  <si>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</si>
  <si>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</si>
  <si>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</si>
  <si>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</si>
  <si>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</si>
  <si>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</si>
  <si>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</si>
  <si>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</si>
  <si>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</si>
  <si>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</si>
  <si>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</si>
  <si>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</si>
  <si>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</si>
  <si>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</si>
  <si>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</si>
  <si>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</si>
  <si>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</si>
  <si>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</si>
  <si>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</si>
  <si>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</si>
  <si>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</si>
  <si>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</si>
  <si>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</si>
  <si>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</si>
  <si>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</si>
  <si>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</si>
  <si>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</si>
  <si>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</si>
  <si>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</si>
  <si>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</si>
  <si>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</si>
  <si>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</si>
  <si>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</si>
  <si>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</si>
  <si>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</si>
  <si>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</si>
  <si>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</si>
  <si>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</si>
  <si>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</si>
  <si>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</si>
  <si>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</si>
  <si>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</si>
  <si>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</si>
  <si>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</si>
  <si>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</si>
  <si>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</si>
  <si>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</si>
  <si>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</si>
  <si>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</si>
  <si>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</si>
  <si>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</si>
  <si>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</si>
  <si>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</si>
  <si>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</si>
  <si>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</si>
  <si>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</si>
  <si>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</si>
  <si>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</si>
  <si>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</si>
  <si>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</si>
  <si>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</si>
  <si>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</si>
  <si>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</si>
  <si>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</si>
  <si>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</si>
  <si>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</si>
  <si>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</si>
  <si>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</si>
  <si>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</si>
  <si>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</si>
  <si>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</si>
  <si>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</si>
  <si>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</si>
  <si>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</si>
  <si>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</si>
  <si>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</si>
  <si>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</si>
  <si>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</si>
  <si>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</si>
  <si>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</si>
  <si>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</si>
  <si>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</si>
  <si>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</si>
  <si>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</si>
  <si>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</si>
  <si>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</si>
  <si>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</si>
  <si>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</si>
  <si>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</si>
  <si>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</si>
  <si>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</si>
  <si>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</si>
  <si>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</si>
  <si>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</si>
  <si>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</si>
  <si>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</si>
  <si>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</si>
  <si>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</si>
  <si>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</si>
  <si>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</si>
  <si>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</si>
  <si>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</si>
  <si>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</si>
  <si>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</si>
  <si>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</si>
  <si>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</si>
  <si>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</si>
  <si>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</si>
  <si>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</si>
  <si>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</si>
  <si>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</si>
  <si>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</si>
  <si>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</si>
  <si>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</si>
  <si>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</si>
  <si>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</si>
  <si>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</si>
  <si>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</si>
  <si>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</si>
  <si>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</si>
  <si>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</si>
  <si>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</si>
  <si>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</si>
  <si>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</si>
  <si>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</si>
  <si>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</si>
  <si>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</si>
  <si>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</si>
  <si>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</si>
  <si>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</si>
  <si>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</si>
  <si>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</si>
  <si>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</si>
  <si>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</si>
  <si>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</si>
  <si>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</si>
  <si>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</si>
  <si>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</si>
  <si>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</si>
  <si>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</si>
  <si>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</si>
  <si>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</si>
  <si>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</si>
  <si>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</si>
  <si>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</si>
  <si>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</si>
  <si>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</si>
  <si>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</si>
  <si>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</si>
  <si>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</si>
  <si>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</si>
  <si>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</si>
  <si>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</si>
  <si>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</si>
  <si>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</si>
  <si>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</si>
  <si>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</si>
  <si>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</si>
  <si>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</si>
  <si>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</si>
  <si>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</si>
  <si>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</si>
  <si>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</si>
  <si>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</si>
  <si>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</si>
  <si>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</si>
  <si>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</si>
  <si>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</si>
  <si>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</si>
  <si>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</si>
  <si>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</si>
  <si>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</si>
  <si>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</si>
  <si>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</si>
  <si>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</si>
  <si>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</si>
  <si>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</si>
  <si>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</si>
  <si>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</si>
  <si>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</si>
  <si>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</si>
  <si>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</si>
  <si>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</si>
  <si>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</si>
  <si>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</si>
  <si>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</si>
  <si>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</si>
  <si>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</si>
  <si>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</si>
  <si>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</si>
  <si>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</si>
  <si>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</si>
  <si>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</si>
  <si>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</si>
  <si>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</si>
  <si>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</si>
  <si>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</si>
  <si>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</si>
  <si>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</si>
  <si>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</si>
  <si>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</si>
  <si>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</si>
  <si>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</si>
  <si>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</si>
  <si>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</si>
  <si>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</si>
  <si>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</si>
  <si>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</si>
  <si>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</si>
  <si>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</si>
  <si>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</si>
  <si>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</si>
  <si>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</si>
  <si>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</si>
  <si>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</si>
  <si>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</si>
  <si>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</si>
  <si>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</si>
  <si>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</si>
  <si>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</si>
  <si>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</si>
  <si>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</si>
  <si>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</si>
  <si>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</si>
  <si>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</si>
  <si>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</si>
  <si>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</si>
  <si>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</si>
  <si>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</si>
  <si>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</si>
  <si>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</si>
  <si>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</si>
  <si>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</si>
  <si>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</si>
  <si>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</si>
  <si>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</si>
  <si>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</si>
  <si>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</si>
  <si>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</si>
  <si>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</si>
  <si>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</si>
  <si>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</si>
  <si>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</si>
  <si>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</si>
  <si>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</si>
  <si>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</si>
  <si>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</si>
  <si>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</si>
  <si>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</si>
  <si>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</si>
  <si>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</si>
  <si>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</si>
  <si>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</si>
  <si>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</si>
  <si>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</si>
  <si>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</si>
  <si>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</si>
  <si>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</si>
  <si>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</si>
  <si>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</si>
  <si>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</si>
  <si>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</si>
  <si>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</si>
  <si>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</si>
  <si>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</si>
  <si>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</si>
  <si>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</si>
  <si>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</si>
  <si>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</si>
  <si>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</si>
  <si>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</si>
  <si>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</si>
  <si>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</si>
  <si>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</si>
  <si>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</si>
  <si>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</si>
  <si>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</si>
  <si>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</si>
  <si>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</si>
  <si>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</si>
  <si>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</si>
  <si>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</si>
  <si>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</si>
  <si>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</si>
  <si>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</si>
  <si>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</si>
  <si>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</si>
  <si>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</si>
  <si>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</si>
  <si>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</si>
  <si>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</si>
  <si>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</si>
  <si>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</si>
  <si>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</si>
  <si>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</si>
  <si>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</si>
  <si>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</si>
  <si>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</si>
  <si>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</si>
  <si>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</si>
  <si>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</si>
  <si>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</si>
  <si>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</si>
  <si>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</si>
  <si>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</si>
  <si>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</si>
  <si>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</si>
  <si>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</si>
  <si>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</si>
  <si>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</si>
  <si>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</si>
  <si>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</si>
  <si>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</si>
  <si>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</si>
  <si>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</si>
  <si>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</si>
  <si>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</si>
  <si>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</si>
  <si>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</si>
  <si>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</si>
  <si>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</si>
  <si>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</si>
  <si>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</si>
  <si>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</si>
  <si>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</si>
  <si>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</si>
  <si>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</si>
  <si>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</si>
  <si>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</si>
  <si>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</si>
  <si>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</si>
  <si>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</si>
  <si>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</si>
  <si>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</si>
  <si>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</si>
  <si>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</si>
  <si>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</si>
  <si>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</si>
  <si>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</si>
  <si>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</si>
  <si>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</si>
  <si>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</si>
  <si>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</si>
  <si>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</si>
  <si>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</si>
  <si>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</si>
  <si>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</si>
  <si>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</si>
  <si>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</si>
  <si>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</si>
  <si>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</si>
  <si>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</si>
  <si>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</si>
  <si>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</si>
  <si>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</si>
  <si>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</si>
  <si>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</si>
  <si>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</si>
  <si>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</si>
  <si>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</si>
  <si>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</si>
  <si>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</si>
  <si>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</si>
  <si>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</si>
  <si>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</si>
  <si>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</si>
  <si>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</si>
  <si>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</si>
  <si>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</si>
  <si>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</si>
  <si>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</si>
  <si>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</si>
  <si>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</si>
  <si>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</si>
  <si>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</si>
  <si>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</si>
  <si>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</si>
  <si>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</si>
  <si>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</si>
  <si>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</si>
  <si>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</si>
  <si>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</si>
  <si>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</si>
  <si>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</si>
  <si>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</si>
  <si>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</si>
  <si>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</si>
  <si>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</si>
  <si>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</si>
  <si>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</si>
  <si>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</si>
  <si>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</si>
  <si>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</si>
  <si>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</si>
  <si>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</si>
  <si>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</si>
  <si>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</si>
  <si>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</si>
  <si>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</si>
  <si>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</si>
  <si>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</si>
  <si>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</si>
  <si>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</si>
  <si>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</si>
  <si>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</si>
  <si>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</si>
  <si>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</si>
  <si>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</si>
  <si>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</si>
  <si>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</si>
  <si>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</si>
  <si>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</si>
  <si>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</si>
  <si>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</si>
  <si>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</si>
  <si>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</si>
  <si>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</si>
  <si>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</si>
  <si>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</si>
  <si>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</si>
  <si>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</si>
  <si>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</si>
  <si>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</si>
  <si>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</si>
  <si>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</si>
  <si>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</si>
  <si>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</si>
  <si>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</si>
  <si>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</si>
  <si>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</si>
  <si>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</si>
  <si>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</si>
  <si>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</si>
  <si>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</si>
  <si>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</si>
  <si>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</si>
  <si>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</si>
  <si>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</si>
  <si>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</si>
  <si>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</si>
  <si>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</si>
  <si>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</si>
  <si>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</si>
  <si>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</si>
  <si>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</si>
  <si>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</si>
  <si>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</si>
  <si>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</si>
  <si>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</si>
  <si>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</si>
  <si>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</si>
  <si>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</si>
  <si>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</si>
  <si>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</si>
  <si>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</si>
  <si>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</si>
  <si>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</si>
  <si>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</si>
  <si>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</si>
  <si>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</si>
  <si>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</si>
  <si>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</si>
  <si>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</si>
  <si>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</si>
  <si>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</si>
  <si>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</si>
  <si>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</si>
  <si>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</si>
  <si>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</si>
  <si>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</si>
  <si>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</si>
  <si>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</si>
  <si>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</si>
  <si>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</si>
  <si>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</si>
  <si>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</si>
  <si>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</si>
  <si>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</si>
  <si>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</si>
  <si>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</si>
  <si>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</si>
  <si>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</si>
  <si>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</si>
  <si>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</si>
  <si>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</si>
  <si>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</si>
  <si>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</si>
  <si>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</si>
  <si>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</si>
  <si>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</si>
  <si>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</si>
  <si>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</si>
  <si>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</si>
  <si>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</si>
  <si>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</si>
  <si>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</si>
  <si>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</si>
  <si>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</si>
  <si>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</si>
  <si>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</si>
  <si>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</si>
  <si>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</si>
  <si>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</si>
  <si>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</si>
  <si>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</si>
  <si>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</si>
  <si>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</si>
  <si>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</si>
  <si>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</si>
  <si>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</si>
  <si>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</si>
  <si>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</si>
  <si>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</si>
  <si>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</si>
  <si>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</si>
  <si>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</si>
  <si>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</si>
  <si>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</si>
  <si>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</si>
  <si>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</si>
  <si>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</si>
  <si>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</si>
  <si>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</si>
  <si>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</si>
  <si>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</si>
  <si>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</si>
  <si>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</si>
  <si>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</si>
  <si>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</si>
  <si>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</si>
  <si>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</si>
  <si>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</si>
  <si>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</si>
  <si>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</si>
  <si>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</si>
  <si>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</si>
  <si>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</si>
  <si>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</si>
  <si>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</si>
  <si>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</si>
  <si>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</si>
  <si>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</si>
  <si>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</si>
  <si>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</si>
  <si>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</si>
  <si>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</si>
  <si>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</si>
  <si>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</si>
  <si>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</si>
  <si>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</si>
  <si>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</si>
  <si>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</si>
  <si>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</si>
  <si>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</si>
  <si>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</si>
  <si>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</si>
  <si>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</si>
  <si>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</si>
  <si>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</si>
  <si>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</si>
  <si>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</si>
  <si>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</si>
  <si>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</si>
  <si>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</si>
  <si>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</si>
  <si>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</si>
  <si>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</si>
  <si>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</si>
  <si>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</si>
  <si>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</si>
  <si>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</si>
  <si>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</si>
  <si>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</si>
  <si>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</si>
  <si>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</si>
  <si>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</si>
  <si>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</si>
  <si>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</si>
  <si>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</si>
  <si>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</si>
  <si>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</si>
  <si>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</si>
  <si>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</si>
  <si>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</si>
  <si>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</si>
  <si>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</si>
  <si>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</si>
  <si>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</si>
  <si>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</si>
  <si>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</si>
  <si>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</si>
  <si>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</si>
  <si>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</si>
  <si>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</si>
  <si>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</si>
  <si>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</si>
  <si>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</si>
  <si>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</si>
  <si>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</si>
  <si>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</si>
  <si>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</si>
  <si>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</si>
  <si>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</si>
  <si>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</si>
  <si>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</si>
  <si>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</si>
  <si>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</si>
  <si>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</si>
  <si>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</si>
  <si>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</si>
  <si>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</si>
  <si>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</si>
  <si>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</si>
  <si>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</si>
  <si>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</si>
  <si>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</si>
  <si>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</si>
  <si>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</si>
  <si>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</si>
  <si>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</si>
  <si>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</si>
  <si>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</si>
  <si>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</si>
  <si>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</si>
  <si>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</si>
  <si>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</si>
  <si>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</si>
  <si>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</si>
  <si>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</si>
  <si>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</si>
  <si>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</si>
  <si>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</si>
  <si>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</si>
  <si>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</si>
  <si>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</si>
  <si>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</si>
  <si>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</si>
  <si>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</si>
  <si>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</si>
  <si>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</si>
  <si>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</si>
  <si>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</si>
  <si>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</si>
  <si>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</si>
  <si>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</si>
  <si>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</si>
  <si>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</si>
  <si>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</si>
  <si>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</si>
  <si>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</si>
  <si>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</si>
  <si>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</si>
  <si>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</si>
  <si>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</si>
  <si>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</si>
  <si>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</si>
  <si>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</si>
  <si>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</si>
  <si>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</si>
  <si>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</si>
  <si>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</si>
  <si>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</si>
  <si>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</si>
  <si>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</si>
  <si>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</si>
  <si>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</si>
  <si>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</si>
  <si>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</si>
  <si>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</si>
  <si>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</si>
  <si>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</si>
  <si>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</si>
  <si>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</si>
  <si>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</si>
  <si>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</si>
  <si>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</si>
  <si>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</si>
  <si>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</si>
  <si>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</si>
  <si>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</si>
  <si>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</si>
  <si>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</si>
  <si>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</si>
  <si>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</si>
  <si>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</si>
  <si>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</si>
  <si>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</si>
  <si>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</si>
  <si>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</si>
  <si>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</si>
  <si>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</si>
  <si>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</si>
  <si>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</si>
  <si>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</si>
  <si>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</si>
  <si>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</si>
  <si>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</si>
  <si>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</si>
  <si>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</si>
  <si>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</si>
  <si>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</si>
  <si>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</si>
  <si>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</si>
  <si>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</si>
  <si>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</si>
  <si>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</si>
  <si>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</si>
  <si>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</si>
  <si>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</si>
  <si>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</si>
  <si>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</si>
  <si>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</si>
  <si>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</si>
  <si>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</si>
  <si>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</si>
  <si>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</si>
  <si>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</si>
  <si>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</si>
  <si>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</si>
  <si>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</si>
  <si>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</si>
  <si>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</si>
  <si>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</si>
  <si>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</si>
  <si>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</si>
  <si>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</si>
  <si>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</si>
  <si>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</si>
  <si>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</si>
  <si>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</si>
  <si>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</si>
  <si>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</si>
  <si>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</si>
  <si>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</si>
  <si>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</si>
  <si>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</si>
  <si>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</si>
  <si>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</si>
  <si>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</si>
  <si>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</si>
  <si>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</si>
  <si>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</si>
  <si>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</si>
  <si>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</si>
  <si>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</si>
  <si>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</si>
  <si>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</si>
  <si>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</si>
  <si>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</si>
  <si>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</si>
  <si>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</si>
  <si>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</si>
  <si>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</si>
  <si>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</si>
  <si>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</si>
  <si>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</si>
  <si>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</si>
  <si>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</si>
  <si>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</si>
  <si>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</si>
  <si>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</si>
  <si>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</si>
  <si>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</si>
  <si>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</si>
  <si>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</si>
  <si>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</si>
  <si>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</si>
  <si>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</si>
  <si>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</si>
  <si>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</si>
  <si>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</si>
  <si>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</si>
  <si>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</si>
  <si>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</si>
  <si>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</si>
  <si>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</si>
  <si>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</si>
  <si>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</si>
  <si>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</si>
  <si>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</si>
  <si>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</si>
  <si>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</si>
  <si>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</si>
  <si>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</si>
  <si>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</si>
  <si>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</si>
  <si>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</si>
  <si>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</si>
  <si>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</si>
  <si>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</si>
  <si>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</si>
  <si>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</si>
  <si>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</si>
  <si>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</si>
  <si>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</si>
  <si>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</si>
  <si>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</si>
  <si>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</si>
  <si>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</si>
  <si>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</si>
  <si>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</si>
  <si>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</si>
  <si>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</si>
  <si>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</si>
  <si>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</si>
  <si>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</si>
  <si>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</si>
  <si>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</si>
  <si>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</si>
  <si>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</si>
  <si>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</si>
  <si>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</si>
  <si>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</si>
  <si>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</si>
  <si>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</si>
  <si>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</si>
  <si>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</si>
  <si>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</si>
  <si>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</si>
  <si>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</si>
  <si>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</si>
  <si>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</si>
  <si>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</si>
  <si>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</si>
  <si>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</si>
  <si>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</si>
  <si>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</si>
  <si>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</si>
  <si>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</si>
  <si>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</si>
  <si>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</si>
  <si>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</si>
  <si>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</si>
  <si>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</si>
  <si>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</si>
  <si>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</si>
  <si>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</si>
  <si>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</si>
  <si>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</si>
  <si>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</si>
  <si>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</si>
  <si>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</si>
  <si>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</si>
  <si>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</si>
  <si>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</si>
  <si>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</si>
  <si>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</si>
  <si>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</si>
  <si>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</si>
  <si>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</si>
  <si>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</si>
  <si>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</si>
  <si>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</si>
  <si>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</si>
  <si>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</si>
  <si>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</si>
  <si>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</si>
  <si>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</si>
  <si>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</si>
  <si>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</si>
  <si>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</si>
  <si>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</si>
  <si>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</si>
  <si>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</si>
  <si>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</si>
  <si>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</si>
  <si>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</si>
  <si>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</si>
  <si>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</si>
  <si>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</si>
  <si>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</si>
  <si>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</si>
  <si>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</si>
  <si>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</si>
  <si>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</si>
  <si>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</si>
  <si>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</si>
  <si>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</si>
  <si>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</si>
  <si>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</si>
  <si>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</si>
  <si>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</si>
  <si>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</si>
  <si>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</si>
  <si>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</si>
  <si>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</si>
  <si>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</si>
  <si>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</si>
  <si>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</si>
  <si>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</si>
  <si>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</si>
  <si>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</si>
  <si>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</si>
  <si>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</si>
  <si>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</si>
  <si>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</si>
  <si>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</si>
  <si>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</si>
  <si>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</si>
  <si>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</si>
  <si>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</si>
  <si>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</si>
  <si>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</si>
  <si>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</si>
  <si>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</si>
  <si>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</si>
  <si>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</si>
  <si>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</si>
  <si>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</si>
  <si>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</si>
  <si>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</si>
  <si>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</si>
  <si>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</si>
  <si>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</si>
  <si>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</si>
  <si>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</si>
  <si>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</si>
  <si>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</si>
  <si>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</si>
  <si>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</si>
  <si>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</si>
  <si>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</si>
  <si>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</si>
  <si>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</si>
  <si>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</si>
  <si>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</si>
  <si>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</si>
  <si>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</si>
  <si>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</si>
  <si>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</si>
  <si>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</si>
  <si>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</si>
  <si>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</si>
  <si>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</si>
  <si>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</si>
  <si>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</si>
  <si>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</si>
  <si>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</si>
  <si>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</si>
  <si>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</si>
  <si>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</si>
  <si>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</si>
  <si>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</si>
  <si>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</si>
  <si>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</si>
  <si>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</si>
  <si>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</si>
  <si>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</si>
  <si>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</si>
  <si>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</si>
  <si>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</si>
  <si>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</si>
  <si>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</si>
  <si>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</si>
  <si>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</si>
  <si>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</si>
  <si>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</si>
  <si>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</si>
  <si>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</si>
  <si>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</si>
  <si>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</si>
  <si>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</si>
  <si>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</si>
  <si>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</si>
  <si>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</si>
  <si>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</si>
  <si>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</si>
  <si>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</si>
  <si>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</si>
  <si>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</si>
  <si>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</si>
  <si>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</si>
  <si>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</si>
  <si>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</si>
  <si>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</si>
  <si>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</si>
  <si>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</si>
  <si>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</si>
  <si>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</si>
  <si>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</si>
  <si>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</si>
  <si>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</si>
  <si>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</si>
  <si>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</si>
  <si>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</si>
  <si>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</si>
  <si>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</si>
  <si>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</si>
  <si>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</si>
  <si>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</si>
  <si>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</si>
  <si>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</si>
  <si>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</si>
  <si>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</si>
  <si>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</si>
  <si>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</si>
  <si>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</si>
  <si>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</si>
  <si>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</si>
  <si>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</si>
  <si>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</si>
  <si>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</si>
  <si>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</si>
  <si>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</si>
  <si>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</si>
  <si>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</si>
  <si>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</si>
  <si>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</si>
  <si>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</si>
  <si>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</si>
  <si>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</si>
  <si>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</si>
  <si>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</si>
  <si>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</si>
  <si>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</si>
  <si>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</si>
  <si>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</si>
  <si>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</si>
  <si>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</si>
  <si>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</si>
  <si>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</si>
  <si>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</si>
  <si>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</si>
  <si>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</si>
  <si>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</si>
  <si>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</si>
  <si>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</si>
  <si>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</si>
  <si>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</si>
  <si>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</si>
  <si>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</si>
  <si>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</si>
  <si>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</si>
  <si>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</si>
  <si>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</si>
  <si>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</si>
  <si>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</si>
  <si>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</si>
  <si>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</si>
  <si>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</si>
  <si>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</si>
  <si>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</si>
  <si>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</si>
  <si>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</si>
  <si>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</si>
  <si>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</si>
  <si>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</si>
  <si>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</si>
  <si>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</si>
  <si>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</si>
  <si>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</si>
  <si>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</si>
  <si>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</si>
  <si>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</si>
  <si>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</si>
  <si>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</si>
  <si>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</si>
  <si>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</si>
  <si>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</si>
  <si>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</si>
  <si>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</si>
  <si>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</si>
  <si>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</si>
  <si>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</si>
  <si>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</si>
  <si>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</si>
  <si>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</si>
  <si>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</si>
  <si>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</si>
  <si>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</si>
  <si>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</si>
  <si>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</si>
  <si>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</si>
  <si>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</si>
  <si>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</si>
  <si>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</si>
  <si>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</si>
  <si>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</si>
  <si>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</si>
  <si>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</si>
  <si>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</si>
  <si>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</si>
  <si>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</si>
  <si>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</si>
  <si>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</si>
  <si>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</si>
  <si>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</si>
  <si>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</si>
  <si>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</si>
  <si>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</si>
  <si>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</si>
  <si>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</si>
  <si>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</si>
  <si>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</si>
  <si>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</si>
  <si>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</si>
  <si>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</si>
  <si>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</si>
  <si>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</si>
  <si>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</si>
  <si>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</si>
  <si>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</si>
  <si>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</si>
  <si>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</si>
  <si>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</si>
  <si>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</si>
  <si>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</si>
  <si>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</si>
  <si>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</si>
  <si>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</si>
  <si>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</si>
  <si>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</si>
  <si>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</si>
  <si>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</si>
  <si>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</si>
  <si>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</si>
  <si>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</si>
  <si>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</si>
  <si>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</si>
  <si>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</si>
  <si>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</si>
  <si>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</si>
  <si>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</si>
  <si>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</si>
  <si>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</si>
  <si>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</si>
  <si>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</si>
  <si>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</si>
  <si>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</si>
  <si>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</si>
  <si>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</si>
  <si>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</si>
  <si>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</si>
  <si>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</si>
  <si>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</si>
  <si>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</si>
  <si>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</si>
  <si>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</si>
  <si>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</si>
  <si>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</si>
  <si>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</si>
  <si>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</si>
  <si>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</si>
  <si>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</si>
  <si>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</si>
  <si>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</si>
  <si>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</si>
  <si>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</si>
  <si>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</si>
  <si>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</si>
  <si>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</si>
  <si>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</si>
  <si>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</si>
  <si>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</si>
  <si>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</si>
  <si>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</si>
  <si>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</si>
  <si>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</si>
  <si>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</si>
  <si>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</si>
  <si>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</si>
  <si>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</si>
  <si>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</si>
  <si>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</si>
  <si>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</si>
  <si>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</si>
  <si>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</si>
  <si>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</si>
  <si>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</si>
  <si>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</si>
  <si>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</si>
  <si>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</si>
  <si>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</si>
  <si>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</si>
  <si>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</si>
  <si>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</si>
  <si>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</si>
  <si>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</si>
  <si>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</si>
  <si>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</si>
  <si>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</si>
  <si>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San Marcos Family Housing, L.P.</t>
  </si>
  <si>
    <t>Estrella</t>
  </si>
  <si>
    <t>Affirmed Housing Group, Inc.</t>
  </si>
  <si>
    <t>Solari Enterprises, Inc.</t>
  </si>
  <si>
    <t>City of San Marcos</t>
  </si>
  <si>
    <t>1 Civic Center Drive</t>
  </si>
  <si>
    <t xml:space="preserve">San Marcos </t>
  </si>
  <si>
    <t>92069-2918</t>
  </si>
  <si>
    <t>760- 744-1050</t>
  </si>
  <si>
    <t>760-744-7543</t>
  </si>
  <si>
    <t>Paul Malone</t>
  </si>
  <si>
    <t>NA</t>
  </si>
  <si>
    <t>604 W. Richmar Avenue</t>
  </si>
  <si>
    <t>San Marcos</t>
  </si>
  <si>
    <t>40%/60% Average Income</t>
  </si>
  <si>
    <t>13520 Evening Creek Dr. North, Suite 160</t>
  </si>
  <si>
    <t>CA</t>
  </si>
  <si>
    <t>Marie Allen</t>
  </si>
  <si>
    <t>marie@affirmedhousing.com</t>
  </si>
  <si>
    <t>Affirmed Housing</t>
  </si>
  <si>
    <t>Affirmed Housing Group, Inc</t>
  </si>
  <si>
    <t>Administrative GP</t>
  </si>
  <si>
    <t>CFAH Housing, LLC</t>
  </si>
  <si>
    <t>Managing GP</t>
  </si>
  <si>
    <t>Katelyn Silverwood</t>
  </si>
  <si>
    <t>katelyn@compassfah.org</t>
  </si>
  <si>
    <t>Compass for Affordable Housing</t>
  </si>
  <si>
    <t>Developer</t>
  </si>
  <si>
    <t>13520 Evening Creek Drive N., Suite 160</t>
  </si>
  <si>
    <t>San Diego, CA 92128</t>
  </si>
  <si>
    <t>Katten Muchin Rosenman LLP</t>
  </si>
  <si>
    <t>525 W. Monroe Street</t>
  </si>
  <si>
    <t>Chicago, IL 60661</t>
  </si>
  <si>
    <t>David Cohen</t>
  </si>
  <si>
    <t>312-902-5284</t>
  </si>
  <si>
    <t>david.cohen@kattenlaw.com</t>
  </si>
  <si>
    <t>Dahlin Group</t>
  </si>
  <si>
    <t>501 W Broadway, Suite 1080</t>
  </si>
  <si>
    <t>San Diego, CA 92101</t>
  </si>
  <si>
    <t>Jack Gallagher</t>
  </si>
  <si>
    <t>jack.gallagher@dahlingroup.com</t>
  </si>
  <si>
    <t>TBD</t>
  </si>
  <si>
    <t>Partner Energy</t>
  </si>
  <si>
    <t>680 Knox Street, Ste 150</t>
  </si>
  <si>
    <t>Los Angeles, CA 90502</t>
  </si>
  <si>
    <t>Jennifer Webb</t>
  </si>
  <si>
    <t>jwebb@ptenergy.com</t>
  </si>
  <si>
    <t>1507 Yale Avenue</t>
  </si>
  <si>
    <t>Orange, CA 92867</t>
  </si>
  <si>
    <t>Gianna Richards</t>
  </si>
  <si>
    <t>714-282-2520</t>
  </si>
  <si>
    <t>714-282-7517</t>
  </si>
  <si>
    <t>gianna@solari-ent.com</t>
  </si>
  <si>
    <t>11044 Research Boulevard suite 400 Bldg. C</t>
  </si>
  <si>
    <t>Austin, TX 78759</t>
  </si>
  <si>
    <t>Lindsey Sutton</t>
  </si>
  <si>
    <t>lindsey.sutton@novoco.com</t>
  </si>
  <si>
    <t>San Marcos Gardens, L.P.</t>
  </si>
  <si>
    <t>James Silverwood</t>
  </si>
  <si>
    <t>President</t>
  </si>
  <si>
    <t>San Diego, Ca 92128</t>
  </si>
  <si>
    <t>Three story garden style apartments</t>
  </si>
  <si>
    <t>R-3-10</t>
  </si>
  <si>
    <t>Construction Lender - Chase Bank</t>
  </si>
  <si>
    <t>City of San Marcos Roll Over</t>
  </si>
  <si>
    <t>City of San Marcos  - Accrued Interest</t>
  </si>
  <si>
    <t>City of San Marcos - Predevelopment</t>
  </si>
  <si>
    <t>City of San Marcos Loan</t>
  </si>
  <si>
    <t>3989 Ruffin Road</t>
  </si>
  <si>
    <t>San Diego, CA 92123</t>
  </si>
  <si>
    <t>Tina Cobarrubias</t>
  </si>
  <si>
    <t>858-694-4875</t>
  </si>
  <si>
    <t>Construction</t>
  </si>
  <si>
    <t>1.7 spaces per unit</t>
  </si>
  <si>
    <t>CUAC</t>
  </si>
  <si>
    <t>payroll/payroll taxes</t>
  </si>
  <si>
    <t>Fire Monitoring &amp; Cleaning/Building Supplies</t>
  </si>
  <si>
    <t>AHG Estrella, LLC</t>
  </si>
  <si>
    <t>City of San Marcos Accrued Interest</t>
  </si>
  <si>
    <t>City of San Marcos Predevelopment</t>
  </si>
  <si>
    <t>County of San Diego - HOME</t>
  </si>
  <si>
    <t>San Marcos, CA 92069</t>
  </si>
  <si>
    <t>Candi Roberts</t>
  </si>
  <si>
    <t xml:space="preserve">760-744-1050 </t>
  </si>
  <si>
    <t>1 bedroom</t>
  </si>
  <si>
    <t>2 bedroom</t>
  </si>
  <si>
    <t>3 bedroom</t>
  </si>
  <si>
    <t>County of San Diego</t>
  </si>
  <si>
    <t>Other: Solar</t>
  </si>
  <si>
    <t>Other: Interest prior to conversion</t>
  </si>
  <si>
    <t>Other: Partnership &amp; transaction</t>
  </si>
  <si>
    <t>Other: Lease-up costs</t>
  </si>
  <si>
    <t>Other: Utilities</t>
  </si>
  <si>
    <t>Other: Initial compliance monitoring fee</t>
  </si>
  <si>
    <t>WNC</t>
  </si>
  <si>
    <t>2033 Main Street, suite 400</t>
  </si>
  <si>
    <t>Walnut Creek, CA 94596</t>
  </si>
  <si>
    <t>Sun-Ae Woo</t>
  </si>
  <si>
    <t>925-949-4223</t>
  </si>
  <si>
    <t>sun-ae.woo@novoco.com</t>
  </si>
  <si>
    <t>17782 Sky Park Circle</t>
  </si>
  <si>
    <t>Irvine, CA 92614</t>
  </si>
  <si>
    <t>Jessica Captanis</t>
  </si>
  <si>
    <t>949-439-2616</t>
  </si>
  <si>
    <t>jcaptanis@wncinc.com</t>
  </si>
  <si>
    <t>Secured by Fee Interest</t>
  </si>
  <si>
    <t>Other (Specify below)</t>
  </si>
  <si>
    <t>Medium density residential 2 (MDR2)</t>
  </si>
  <si>
    <t>yes</t>
  </si>
  <si>
    <t>40'2</t>
  </si>
  <si>
    <t>100 DD%</t>
  </si>
  <si>
    <t xml:space="preserve">County of San Diego </t>
  </si>
  <si>
    <t>Equity Investor- WNC</t>
  </si>
  <si>
    <t>San Marcos, CA</t>
  </si>
  <si>
    <t>760-744-1050</t>
  </si>
  <si>
    <t>Permanent Loan - Chase</t>
  </si>
  <si>
    <t>Permanent loan</t>
  </si>
  <si>
    <t>550-580</t>
  </si>
  <si>
    <t>777-805</t>
  </si>
  <si>
    <t>1017-1050</t>
  </si>
  <si>
    <t>Fees, deposits, etc.</t>
  </si>
  <si>
    <t>Project-based vouchers (PBVs)</t>
  </si>
  <si>
    <t>20 years</t>
  </si>
  <si>
    <r>
      <t xml:space="preserve">Subsidy Contract Monthly Rent per Unit                    </t>
    </r>
    <r>
      <rPr>
        <b/>
        <sz val="10"/>
        <rFont val="Arial"/>
        <family val="2"/>
      </rPr>
      <t>No Utility Allowance*</t>
    </r>
  </si>
  <si>
    <t>Other (Specify): County HOME monitoring fee</t>
  </si>
  <si>
    <t>Fixed</t>
  </si>
  <si>
    <t>300 S. Grand Ave, Suite 300</t>
  </si>
  <si>
    <t>Los Angeles, CA 90071</t>
  </si>
  <si>
    <t>Eri Kameyama</t>
  </si>
  <si>
    <t>213-621-8310</t>
  </si>
  <si>
    <t>Air Conditioning</t>
  </si>
  <si>
    <t>General Office Costs</t>
  </si>
  <si>
    <t>Other: Lender Constr. Svcs Fee &amp; Contstr. Mgmt</t>
  </si>
  <si>
    <t>pmalone@san-marcos.net</t>
  </si>
  <si>
    <t>Novogradac Consulting LLP</t>
  </si>
  <si>
    <t>Truecare</t>
  </si>
  <si>
    <t>150 Valpreda Road</t>
  </si>
  <si>
    <t>Esther Ochoa</t>
  </si>
  <si>
    <t>https://truecare.org/location/truecare-san-marcos/</t>
  </si>
  <si>
    <t>Buelow Park</t>
  </si>
  <si>
    <t>300 Autumn Drive</t>
  </si>
  <si>
    <t>Buck Martin</t>
  </si>
  <si>
    <t>https://www.sandiego.gov/park‐and‐recreation/centers/map</t>
  </si>
  <si>
    <t>CVS Pharmacy</t>
  </si>
  <si>
    <t>1302 W. Mission Road</t>
  </si>
  <si>
    <t>Mary Nguyen</t>
  </si>
  <si>
    <t xml:space="preserve">https://www.cvs.com/store-locator/cvs-pharmacy-address/1302+West+Mission+Road-
San+Marcos-CA-92029/storeid=7127?WT.mc_id=LS_GOOGLE_FS_7127
</t>
  </si>
  <si>
    <t>San Diego County Library - San Marcos Branch</t>
  </si>
  <si>
    <t>2 Civic Center Drive</t>
  </si>
  <si>
    <t>Rebecca Lynn</t>
  </si>
  <si>
    <t>https://www.sdcl.org/locations_SM.html</t>
  </si>
  <si>
    <t>San Marcos Middle School</t>
  </si>
  <si>
    <t>650 W. Mission Road</t>
  </si>
  <si>
    <t>Marissa Sanchez</t>
  </si>
  <si>
    <t>https://sanmarcosmiddle.smusd.org/</t>
  </si>
  <si>
    <t>Bus Route 305</t>
  </si>
  <si>
    <t>Near W. Mission and Knoll Road</t>
  </si>
  <si>
    <t>Customer Service</t>
  </si>
  <si>
    <t>https://www.gonctd.com/</t>
  </si>
  <si>
    <t>Winco Foods</t>
  </si>
  <si>
    <t>555 Grand Avenue</t>
  </si>
  <si>
    <t>San Marcos, CA 92078</t>
  </si>
  <si>
    <t>David Simson</t>
  </si>
  <si>
    <t>https://www.wincofoods.com/</t>
  </si>
  <si>
    <t>760-736-6767</t>
  </si>
  <si>
    <t>760-471-7205</t>
  </si>
  <si>
    <t>760-744-9000.</t>
  </si>
  <si>
    <t>760-891-3000</t>
  </si>
  <si>
    <t>760-290-2507</t>
  </si>
  <si>
    <t>760-966-6500</t>
  </si>
  <si>
    <t>760-653-7012</t>
  </si>
  <si>
    <t>Variable</t>
  </si>
  <si>
    <t>Esther Barron</t>
  </si>
  <si>
    <t>esther@affirmedhousing.com</t>
  </si>
  <si>
    <t>220-032-37-00</t>
  </si>
  <si>
    <t>AHG Estrella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</si>
</sst>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7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3" fillId="7" borderId="5" xfId="0" applyFont="1" applyFill="1" applyBorder="1" applyAlignment="1" applyProtection="1">
      <protection locked="0"/>
    </xf>
    <xf numFmtId="169" fontId="3" fillId="7" borderId="0" xfId="273" applyNumberFormat="1" applyFont="1" applyFill="1"/>
    <xf numFmtId="3" fontId="3" fillId="7" borderId="0" xfId="273" applyNumberFormat="1" applyFont="1" applyFill="1"/>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3" fillId="52"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4" fontId="3" fillId="7" borderId="12"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3" fillId="7" borderId="3" xfId="0" applyFont="1" applyFill="1" applyBorder="1" applyAlignment="1" applyProtection="1">
      <alignment horizontal="left"/>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167" fontId="12" fillId="7" borderId="5" xfId="0" applyNumberFormat="1" applyFont="1" applyFill="1" applyBorder="1" applyAlignment="1" applyProtection="1">
      <alignment horizontal="left"/>
      <protection locked="0"/>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3" fillId="7" borderId="5" xfId="273" applyNumberFormat="1" applyFont="1" applyFill="1" applyBorder="1" applyAlignment="1" applyProtection="1">
      <alignment horizontal="center"/>
      <protection locked="0"/>
    </xf>
    <xf numFmtId="0" fontId="12" fillId="7" borderId="5" xfId="273" applyNumberFormat="1"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3" fillId="7" borderId="5" xfId="0" applyNumberFormat="1" applyFon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3" fillId="7" borderId="5"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3" fillId="7" borderId="5" xfId="0" applyNumberFormat="1" applyFon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21">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activeCell="D7" sqref="D7:AK18"/>
    </sheetView>
  </sheetViews>
  <sheetFormatPr defaultColWidth="0" defaultRowHeight="13.2" zeroHeight="1"/>
  <cols>
    <col min="1" max="38" width="2.44140625" customWidth="1"/>
    <col min="39" max="16384" width="8.88671875" style="272" hidden="1"/>
  </cols>
  <sheetData>
    <row r="1" spans="1:38">
      <c r="A1" s="1529" t="s">
        <v>2062</v>
      </c>
      <c r="B1" s="1529"/>
      <c r="C1" s="1529"/>
      <c r="D1" s="1529"/>
      <c r="E1" s="1529"/>
      <c r="F1" s="1529"/>
      <c r="G1" s="1529"/>
      <c r="H1" s="1529"/>
      <c r="I1" s="1529"/>
      <c r="J1" s="1529"/>
      <c r="K1" s="1529"/>
      <c r="L1" s="1529"/>
      <c r="M1" s="1529"/>
      <c r="N1" s="1529"/>
      <c r="O1" s="1529"/>
      <c r="P1" s="1529"/>
      <c r="Q1" s="1529"/>
      <c r="R1" s="1529"/>
      <c r="S1" s="1529"/>
      <c r="T1" s="1529"/>
      <c r="U1" s="1529"/>
      <c r="V1" s="1529"/>
      <c r="W1" s="1529"/>
      <c r="X1" s="1529"/>
      <c r="Y1" s="1529"/>
      <c r="Z1" s="1529"/>
      <c r="AA1" s="1529"/>
      <c r="AB1" s="1529"/>
      <c r="AC1" s="1529"/>
      <c r="AD1" s="1529"/>
      <c r="AE1" s="1529"/>
      <c r="AF1" s="1529"/>
      <c r="AG1" s="1529"/>
      <c r="AH1" s="1529"/>
      <c r="AI1" s="1529"/>
      <c r="AJ1" s="1529"/>
      <c r="AK1" s="1529"/>
      <c r="AL1" s="1530"/>
    </row>
    <row r="2" spans="1:38" ht="13.8" thickBot="1">
      <c r="A2" s="1531"/>
      <c r="B2" s="1531"/>
      <c r="C2" s="1531"/>
      <c r="D2" s="1531"/>
      <c r="E2" s="1531"/>
      <c r="F2" s="1531"/>
      <c r="G2" s="1531"/>
      <c r="H2" s="1531"/>
      <c r="I2" s="1531"/>
      <c r="J2" s="1531"/>
      <c r="K2" s="1531"/>
      <c r="L2" s="1531"/>
      <c r="M2" s="1531"/>
      <c r="N2" s="1531"/>
      <c r="O2" s="1531"/>
      <c r="P2" s="1531"/>
      <c r="Q2" s="1531"/>
      <c r="R2" s="1531"/>
      <c r="S2" s="1531"/>
      <c r="T2" s="1531"/>
      <c r="U2" s="1531"/>
      <c r="V2" s="1531"/>
      <c r="W2" s="1531"/>
      <c r="X2" s="1531"/>
      <c r="Y2" s="1531"/>
      <c r="Z2" s="1531"/>
      <c r="AA2" s="1531"/>
      <c r="AB2" s="1531"/>
      <c r="AC2" s="1531"/>
      <c r="AD2" s="1531"/>
      <c r="AE2" s="1531"/>
      <c r="AF2" s="1531"/>
      <c r="AG2" s="1531"/>
      <c r="AH2" s="1531"/>
      <c r="AI2" s="1531"/>
      <c r="AJ2" s="1531"/>
      <c r="AK2" s="1531"/>
      <c r="AL2" s="1532"/>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19" t="s">
        <v>2066</v>
      </c>
      <c r="E7" s="1519"/>
      <c r="F7" s="1519"/>
      <c r="G7" s="1519"/>
      <c r="H7" s="1519"/>
      <c r="I7" s="1519"/>
      <c r="J7" s="1519"/>
      <c r="K7" s="1519"/>
      <c r="L7" s="1519"/>
      <c r="M7" s="1519"/>
      <c r="N7" s="1519"/>
      <c r="O7" s="1519"/>
      <c r="P7" s="1519"/>
      <c r="Q7" s="1519"/>
      <c r="R7" s="1519"/>
      <c r="S7" s="1519"/>
      <c r="T7" s="1519"/>
      <c r="U7" s="1519"/>
      <c r="V7" s="1519"/>
      <c r="W7" s="1519"/>
      <c r="X7" s="1519"/>
      <c r="Y7" s="1519"/>
      <c r="Z7" s="1519"/>
      <c r="AA7" s="1519"/>
      <c r="AB7" s="1519"/>
      <c r="AC7" s="1519"/>
      <c r="AD7" s="1519"/>
      <c r="AE7" s="1519"/>
      <c r="AF7" s="1519"/>
      <c r="AG7" s="1519"/>
      <c r="AH7" s="1519"/>
      <c r="AI7" s="1519"/>
      <c r="AJ7" s="1519"/>
      <c r="AK7" s="1519"/>
      <c r="AL7" s="1"/>
    </row>
    <row r="8" spans="1:38">
      <c r="A8" s="283"/>
      <c r="B8" s="1"/>
      <c r="C8" s="358"/>
      <c r="D8" s="1519"/>
      <c r="E8" s="1519"/>
      <c r="F8" s="1519"/>
      <c r="G8" s="1519"/>
      <c r="H8" s="1519"/>
      <c r="I8" s="1519"/>
      <c r="J8" s="1519"/>
      <c r="K8" s="1519"/>
      <c r="L8" s="1519"/>
      <c r="M8" s="1519"/>
      <c r="N8" s="1519"/>
      <c r="O8" s="1519"/>
      <c r="P8" s="1519"/>
      <c r="Q8" s="1519"/>
      <c r="R8" s="1519"/>
      <c r="S8" s="1519"/>
      <c r="T8" s="1519"/>
      <c r="U8" s="1519"/>
      <c r="V8" s="1519"/>
      <c r="W8" s="1519"/>
      <c r="X8" s="1519"/>
      <c r="Y8" s="1519"/>
      <c r="Z8" s="1519"/>
      <c r="AA8" s="1519"/>
      <c r="AB8" s="1519"/>
      <c r="AC8" s="1519"/>
      <c r="AD8" s="1519"/>
      <c r="AE8" s="1519"/>
      <c r="AF8" s="1519"/>
      <c r="AG8" s="1519"/>
      <c r="AH8" s="1519"/>
      <c r="AI8" s="1519"/>
      <c r="AJ8" s="1519"/>
      <c r="AK8" s="1519"/>
      <c r="AL8" s="1"/>
    </row>
    <row r="9" spans="1:38">
      <c r="A9" s="283"/>
      <c r="B9" s="1"/>
      <c r="C9" s="358"/>
      <c r="D9" s="1519"/>
      <c r="E9" s="1519"/>
      <c r="F9" s="1519"/>
      <c r="G9" s="1519"/>
      <c r="H9" s="1519"/>
      <c r="I9" s="1519"/>
      <c r="J9" s="1519"/>
      <c r="K9" s="1519"/>
      <c r="L9" s="1519"/>
      <c r="M9" s="1519"/>
      <c r="N9" s="1519"/>
      <c r="O9" s="1519"/>
      <c r="P9" s="1519"/>
      <c r="Q9" s="1519"/>
      <c r="R9" s="1519"/>
      <c r="S9" s="1519"/>
      <c r="T9" s="1519"/>
      <c r="U9" s="1519"/>
      <c r="V9" s="1519"/>
      <c r="W9" s="1519"/>
      <c r="X9" s="1519"/>
      <c r="Y9" s="1519"/>
      <c r="Z9" s="1519"/>
      <c r="AA9" s="1519"/>
      <c r="AB9" s="1519"/>
      <c r="AC9" s="1519"/>
      <c r="AD9" s="1519"/>
      <c r="AE9" s="1519"/>
      <c r="AF9" s="1519"/>
      <c r="AG9" s="1519"/>
      <c r="AH9" s="1519"/>
      <c r="AI9" s="1519"/>
      <c r="AJ9" s="1519"/>
      <c r="AK9" s="1519"/>
      <c r="AL9" s="1"/>
    </row>
    <row r="10" spans="1:38">
      <c r="A10" s="283"/>
      <c r="B10" s="1"/>
      <c r="C10" s="358"/>
      <c r="D10" s="1519"/>
      <c r="E10" s="1519"/>
      <c r="F10" s="1519"/>
      <c r="G10" s="1519"/>
      <c r="H10" s="1519"/>
      <c r="I10" s="1519"/>
      <c r="J10" s="1519"/>
      <c r="K10" s="1519"/>
      <c r="L10" s="1519"/>
      <c r="M10" s="1519"/>
      <c r="N10" s="1519"/>
      <c r="O10" s="1519"/>
      <c r="P10" s="1519"/>
      <c r="Q10" s="1519"/>
      <c r="R10" s="1519"/>
      <c r="S10" s="1519"/>
      <c r="T10" s="1519"/>
      <c r="U10" s="1519"/>
      <c r="V10" s="1519"/>
      <c r="W10" s="1519"/>
      <c r="X10" s="1519"/>
      <c r="Y10" s="1519"/>
      <c r="Z10" s="1519"/>
      <c r="AA10" s="1519"/>
      <c r="AB10" s="1519"/>
      <c r="AC10" s="1519"/>
      <c r="AD10" s="1519"/>
      <c r="AE10" s="1519"/>
      <c r="AF10" s="1519"/>
      <c r="AG10" s="1519"/>
      <c r="AH10" s="1519"/>
      <c r="AI10" s="1519"/>
      <c r="AJ10" s="1519"/>
      <c r="AK10" s="1519"/>
      <c r="AL10" s="1"/>
    </row>
    <row r="11" spans="1:38">
      <c r="A11" s="283"/>
      <c r="B11" s="1"/>
      <c r="C11" s="358"/>
      <c r="D11" s="1519"/>
      <c r="E11" s="1519"/>
      <c r="F11" s="1519"/>
      <c r="G11" s="1519"/>
      <c r="H11" s="1519"/>
      <c r="I11" s="1519"/>
      <c r="J11" s="1519"/>
      <c r="K11" s="1519"/>
      <c r="L11" s="1519"/>
      <c r="M11" s="1519"/>
      <c r="N11" s="1519"/>
      <c r="O11" s="1519"/>
      <c r="P11" s="1519"/>
      <c r="Q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
    </row>
    <row r="12" spans="1:38">
      <c r="A12" s="283"/>
      <c r="B12" s="1"/>
      <c r="C12" s="358"/>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
    </row>
    <row r="13" spans="1:38">
      <c r="A13" s="283"/>
      <c r="B13" s="1"/>
      <c r="C13" s="358"/>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1"/>
    </row>
    <row r="14" spans="1:38">
      <c r="A14" s="283"/>
      <c r="B14" s="1"/>
      <c r="C14" s="358"/>
      <c r="D14" s="1519"/>
      <c r="E14" s="1519"/>
      <c r="F14" s="1519"/>
      <c r="G14" s="1519"/>
      <c r="H14" s="1519"/>
      <c r="I14" s="1519"/>
      <c r="J14" s="1519"/>
      <c r="K14" s="1519"/>
      <c r="L14" s="1519"/>
      <c r="M14" s="1519"/>
      <c r="N14" s="1519"/>
      <c r="O14" s="1519"/>
      <c r="P14" s="1519"/>
      <c r="Q14" s="1519"/>
      <c r="R14" s="1519"/>
      <c r="S14" s="1519"/>
      <c r="T14" s="1519"/>
      <c r="U14" s="1519"/>
      <c r="V14" s="1519"/>
      <c r="W14" s="1519"/>
      <c r="X14" s="1519"/>
      <c r="Y14" s="1519"/>
      <c r="Z14" s="1519"/>
      <c r="AA14" s="1519"/>
      <c r="AB14" s="1519"/>
      <c r="AC14" s="1519"/>
      <c r="AD14" s="1519"/>
      <c r="AE14" s="1519"/>
      <c r="AF14" s="1519"/>
      <c r="AG14" s="1519"/>
      <c r="AH14" s="1519"/>
      <c r="AI14" s="1519"/>
      <c r="AJ14" s="1519"/>
      <c r="AK14" s="1519"/>
      <c r="AL14" s="1"/>
    </row>
    <row r="15" spans="1:38">
      <c r="A15" s="283"/>
      <c r="B15" s="1"/>
      <c r="C15" s="358"/>
      <c r="D15" s="1519"/>
      <c r="E15" s="1519"/>
      <c r="F15" s="1519"/>
      <c r="G15" s="1519"/>
      <c r="H15" s="1519"/>
      <c r="I15" s="1519"/>
      <c r="J15" s="1519"/>
      <c r="K15" s="1519"/>
      <c r="L15" s="1519"/>
      <c r="M15" s="1519"/>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c r="AL15" s="1"/>
    </row>
    <row r="16" spans="1:38">
      <c r="A16" s="283"/>
      <c r="B16" s="1"/>
      <c r="C16" s="358"/>
      <c r="D16" s="1519"/>
      <c r="E16" s="1519"/>
      <c r="F16" s="1519"/>
      <c r="G16" s="1519"/>
      <c r="H16" s="1519"/>
      <c r="I16" s="1519"/>
      <c r="J16" s="1519"/>
      <c r="K16" s="1519"/>
      <c r="L16" s="1519"/>
      <c r="M16" s="1519"/>
      <c r="N16" s="1519"/>
      <c r="O16" s="1519"/>
      <c r="P16" s="1519"/>
      <c r="Q16" s="1519"/>
      <c r="R16" s="1519"/>
      <c r="S16" s="1519"/>
      <c r="T16" s="1519"/>
      <c r="U16" s="1519"/>
      <c r="V16" s="1519"/>
      <c r="W16" s="1519"/>
      <c r="X16" s="1519"/>
      <c r="Y16" s="1519"/>
      <c r="Z16" s="1519"/>
      <c r="AA16" s="1519"/>
      <c r="AB16" s="1519"/>
      <c r="AC16" s="1519"/>
      <c r="AD16" s="1519"/>
      <c r="AE16" s="1519"/>
      <c r="AF16" s="1519"/>
      <c r="AG16" s="1519"/>
      <c r="AH16" s="1519"/>
      <c r="AI16" s="1519"/>
      <c r="AJ16" s="1519"/>
      <c r="AK16" s="1519"/>
      <c r="AL16" s="1"/>
    </row>
    <row r="17" spans="1:38">
      <c r="A17" s="283"/>
      <c r="B17" s="1"/>
      <c r="C17" s="358"/>
      <c r="D17" s="1519"/>
      <c r="E17" s="1519"/>
      <c r="F17" s="1519"/>
      <c r="G17" s="1519"/>
      <c r="H17" s="1519"/>
      <c r="I17" s="1519"/>
      <c r="J17" s="1519"/>
      <c r="K17" s="1519"/>
      <c r="L17" s="1519"/>
      <c r="M17" s="1519"/>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c r="AL17" s="1"/>
    </row>
    <row r="18" spans="1:38" ht="11.1" customHeight="1">
      <c r="A18" s="283"/>
      <c r="B18" s="1"/>
      <c r="C18" s="358"/>
      <c r="D18" s="1519"/>
      <c r="E18" s="1519"/>
      <c r="F18" s="1519"/>
      <c r="G18" s="1519"/>
      <c r="H18" s="1519"/>
      <c r="I18" s="1519"/>
      <c r="J18" s="1519"/>
      <c r="K18" s="1519"/>
      <c r="L18" s="1519"/>
      <c r="M18" s="1519"/>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c r="AL18" s="1"/>
    </row>
    <row r="19" spans="1:38" ht="13.65" customHeight="1">
      <c r="A19" s="283"/>
      <c r="B19" s="1"/>
      <c r="C19" s="358"/>
      <c r="D19" s="1519" t="s">
        <v>2237</v>
      </c>
      <c r="E19" s="1519"/>
      <c r="F19" s="1519"/>
      <c r="G19" s="1519"/>
      <c r="H19" s="1519"/>
      <c r="I19" s="1519"/>
      <c r="J19" s="1519"/>
      <c r="K19" s="1519"/>
      <c r="L19" s="1519"/>
      <c r="M19" s="1519"/>
      <c r="N19" s="1519"/>
      <c r="O19" s="1519"/>
      <c r="P19" s="1519"/>
      <c r="Q19" s="1519"/>
      <c r="R19" s="1519"/>
      <c r="S19" s="1519"/>
      <c r="T19" s="1519"/>
      <c r="U19" s="1519"/>
      <c r="V19" s="1519"/>
      <c r="W19" s="1519"/>
      <c r="X19" s="1519"/>
      <c r="Y19" s="1519"/>
      <c r="Z19" s="1519"/>
      <c r="AA19" s="1519"/>
      <c r="AB19" s="1519"/>
      <c r="AC19" s="1519"/>
      <c r="AD19" s="1519"/>
      <c r="AE19" s="1519"/>
      <c r="AF19" s="1519"/>
      <c r="AG19" s="1519"/>
      <c r="AH19" s="1519"/>
      <c r="AI19" s="1519"/>
      <c r="AJ19" s="1519"/>
      <c r="AK19" s="1519"/>
      <c r="AL19" s="1"/>
    </row>
    <row r="20" spans="1:38">
      <c r="A20" s="283"/>
      <c r="B20" s="1"/>
      <c r="C20" s="358"/>
      <c r="D20" s="1519"/>
      <c r="E20" s="1519"/>
      <c r="F20" s="1519"/>
      <c r="G20" s="1519"/>
      <c r="H20" s="1519"/>
      <c r="I20" s="1519"/>
      <c r="J20" s="1519"/>
      <c r="K20" s="1519"/>
      <c r="L20" s="1519"/>
      <c r="M20" s="1519"/>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c r="AL20" s="1"/>
    </row>
    <row r="21" spans="1:38">
      <c r="A21" s="283"/>
      <c r="B21" s="1"/>
      <c r="C21" s="358"/>
      <c r="D21" s="1519"/>
      <c r="E21" s="1519"/>
      <c r="F21" s="1519"/>
      <c r="G21" s="1519"/>
      <c r="H21" s="1519"/>
      <c r="I21" s="1519"/>
      <c r="J21" s="1519"/>
      <c r="K21" s="1519"/>
      <c r="L21" s="1519"/>
      <c r="M21" s="1519"/>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c r="AL21" s="1"/>
    </row>
    <row r="22" spans="1:38">
      <c r="A22" s="283"/>
      <c r="B22" s="1"/>
      <c r="C22" s="358"/>
      <c r="D22" s="1519"/>
      <c r="E22" s="1519"/>
      <c r="F22" s="1519"/>
      <c r="G22" s="1519"/>
      <c r="H22" s="1519"/>
      <c r="I22" s="1519"/>
      <c r="J22" s="1519"/>
      <c r="K22" s="1519"/>
      <c r="L22" s="1519"/>
      <c r="M22" s="1519"/>
      <c r="N22" s="1519"/>
      <c r="O22" s="1519"/>
      <c r="P22" s="1519"/>
      <c r="Q22" s="1519"/>
      <c r="R22" s="1519"/>
      <c r="S22" s="1519"/>
      <c r="T22" s="1519"/>
      <c r="U22" s="1519"/>
      <c r="V22" s="1519"/>
      <c r="W22" s="1519"/>
      <c r="X22" s="1519"/>
      <c r="Y22" s="1519"/>
      <c r="Z22" s="1519"/>
      <c r="AA22" s="1519"/>
      <c r="AB22" s="1519"/>
      <c r="AC22" s="1519"/>
      <c r="AD22" s="1519"/>
      <c r="AE22" s="1519"/>
      <c r="AF22" s="1519"/>
      <c r="AG22" s="1519"/>
      <c r="AH22" s="1519"/>
      <c r="AI22" s="1519"/>
      <c r="AJ22" s="1519"/>
      <c r="AK22" s="1519"/>
      <c r="AL22" s="1"/>
    </row>
    <row r="23" spans="1:38">
      <c r="A23" s="283"/>
      <c r="B23" s="1"/>
      <c r="C23" s="358"/>
      <c r="D23" s="1519"/>
      <c r="E23" s="1519"/>
      <c r="F23" s="1519"/>
      <c r="G23" s="1519"/>
      <c r="H23" s="1519"/>
      <c r="I23" s="1519"/>
      <c r="J23" s="1519"/>
      <c r="K23" s="1519"/>
      <c r="L23" s="1519"/>
      <c r="M23" s="1519"/>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c r="AL23" s="1"/>
    </row>
    <row r="24" spans="1:38">
      <c r="A24" s="283"/>
      <c r="B24" s="1"/>
      <c r="C24" s="358"/>
      <c r="D24" s="1519"/>
      <c r="E24" s="1519"/>
      <c r="F24" s="1519"/>
      <c r="G24" s="1519"/>
      <c r="H24" s="1519"/>
      <c r="I24" s="1519"/>
      <c r="J24" s="1519"/>
      <c r="K24" s="1519"/>
      <c r="L24" s="1519"/>
      <c r="M24" s="1519"/>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c r="AL24" s="1"/>
    </row>
    <row r="25" spans="1:38">
      <c r="A25" s="283"/>
      <c r="B25" s="1"/>
      <c r="C25" s="358"/>
      <c r="D25" s="1519"/>
      <c r="E25" s="1519"/>
      <c r="F25" s="1519"/>
      <c r="G25" s="1519"/>
      <c r="H25" s="1519"/>
      <c r="I25" s="1519"/>
      <c r="J25" s="1519"/>
      <c r="K25" s="1519"/>
      <c r="L25" s="1519"/>
      <c r="M25" s="1519"/>
      <c r="N25" s="1519"/>
      <c r="O25" s="1519"/>
      <c r="P25" s="1519"/>
      <c r="Q25" s="1519"/>
      <c r="R25" s="1519"/>
      <c r="S25" s="1519"/>
      <c r="T25" s="1519"/>
      <c r="U25" s="1519"/>
      <c r="V25" s="1519"/>
      <c r="W25" s="1519"/>
      <c r="X25" s="1519"/>
      <c r="Y25" s="1519"/>
      <c r="Z25" s="1519"/>
      <c r="AA25" s="1519"/>
      <c r="AB25" s="1519"/>
      <c r="AC25" s="1519"/>
      <c r="AD25" s="1519"/>
      <c r="AE25" s="1519"/>
      <c r="AF25" s="1519"/>
      <c r="AG25" s="1519"/>
      <c r="AH25" s="1519"/>
      <c r="AI25" s="1519"/>
      <c r="AJ25" s="1519"/>
      <c r="AK25" s="1519"/>
      <c r="AL25" s="1"/>
    </row>
    <row r="26" spans="1:38">
      <c r="A26" s="283"/>
      <c r="B26" s="1"/>
      <c r="C26" s="358"/>
      <c r="D26" s="288"/>
      <c r="E26" s="1521" t="s">
        <v>2289</v>
      </c>
      <c r="F26" s="1521"/>
      <c r="G26" s="1521"/>
      <c r="H26" s="1521"/>
      <c r="I26" s="1521"/>
      <c r="J26" s="1521"/>
      <c r="K26" s="1521"/>
      <c r="L26" s="1521"/>
      <c r="M26" s="1521"/>
      <c r="N26" s="1521"/>
      <c r="O26" s="1521"/>
      <c r="P26" s="1521"/>
      <c r="Q26" s="1521"/>
      <c r="R26" s="1521"/>
      <c r="S26" s="1521"/>
      <c r="T26" s="1521"/>
      <c r="U26" s="1521"/>
      <c r="V26" s="1521"/>
      <c r="W26" s="1521"/>
      <c r="X26" s="1521"/>
      <c r="Y26" s="1521"/>
      <c r="Z26" s="1521"/>
      <c r="AA26" s="1521"/>
      <c r="AB26" s="1521"/>
      <c r="AC26" s="1521"/>
      <c r="AD26" s="1521"/>
      <c r="AE26" s="1521"/>
      <c r="AF26" s="1521"/>
      <c r="AG26" s="1521"/>
      <c r="AH26" s="1521"/>
      <c r="AI26" s="1521"/>
      <c r="AJ26" s="1521"/>
      <c r="AK26" s="1521"/>
      <c r="AL26" s="1"/>
    </row>
    <row r="27" spans="1:38">
      <c r="A27" s="283"/>
      <c r="B27" s="1"/>
      <c r="C27" s="358"/>
      <c r="D27" s="272"/>
      <c r="E27" s="1521" t="s">
        <v>2290</v>
      </c>
      <c r="F27" s="1521"/>
      <c r="G27" s="1521"/>
      <c r="H27" s="1521"/>
      <c r="I27" s="1521"/>
      <c r="J27" s="1521"/>
      <c r="K27" s="1521"/>
      <c r="L27" s="1521"/>
      <c r="M27" s="1521"/>
      <c r="N27" s="1521"/>
      <c r="O27" s="1521"/>
      <c r="P27" s="1521"/>
      <c r="Q27" s="1521"/>
      <c r="R27" s="1521"/>
      <c r="S27" s="1521"/>
      <c r="T27" s="1521"/>
      <c r="U27" s="1521"/>
      <c r="V27" s="1521"/>
      <c r="W27" s="1521"/>
      <c r="X27" s="1521"/>
      <c r="Y27" s="1521"/>
      <c r="Z27" s="1521"/>
      <c r="AA27" s="1521"/>
      <c r="AB27" s="1521"/>
      <c r="AC27" s="1521"/>
      <c r="AD27" s="1521"/>
      <c r="AE27" s="1521"/>
      <c r="AF27" s="1521"/>
      <c r="AG27" s="1521"/>
      <c r="AH27" s="1521"/>
      <c r="AI27" s="1521"/>
      <c r="AJ27" s="1521"/>
      <c r="AK27" s="1521"/>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0" t="s">
        <v>2234</v>
      </c>
      <c r="E29" s="1520"/>
      <c r="F29" s="1520"/>
      <c r="G29" s="1520"/>
      <c r="H29" s="1520"/>
      <c r="I29" s="1520"/>
      <c r="J29" s="1520"/>
      <c r="K29" s="1520"/>
      <c r="L29" s="1520"/>
      <c r="M29" s="1520"/>
      <c r="N29" s="1520"/>
      <c r="O29" s="1520"/>
      <c r="P29" s="1520"/>
      <c r="Q29" s="1520"/>
      <c r="R29" s="1520"/>
      <c r="S29" s="1520"/>
      <c r="T29" s="1520"/>
      <c r="U29" s="1520"/>
      <c r="V29" s="1520"/>
      <c r="W29" s="1520"/>
      <c r="X29" s="1520"/>
      <c r="Y29" s="1520"/>
      <c r="Z29" s="1520"/>
      <c r="AA29" s="1520"/>
      <c r="AB29" s="1520"/>
      <c r="AC29" s="1520"/>
      <c r="AD29" s="1520"/>
      <c r="AE29" s="1520"/>
      <c r="AF29" s="1520"/>
      <c r="AG29" s="1520"/>
      <c r="AH29" s="1520"/>
      <c r="AI29" s="1520"/>
      <c r="AJ29" s="1520"/>
      <c r="AK29" s="1520"/>
      <c r="AL29" s="1"/>
    </row>
    <row r="30" spans="1:38">
      <c r="A30" s="283"/>
      <c r="B30" s="1"/>
      <c r="C30" s="1"/>
      <c r="D30" s="1520"/>
      <c r="E30" s="1520"/>
      <c r="F30" s="1520"/>
      <c r="G30" s="1520"/>
      <c r="H30" s="1520"/>
      <c r="I30" s="1520"/>
      <c r="J30" s="1520"/>
      <c r="K30" s="1520"/>
      <c r="L30" s="1520"/>
      <c r="M30" s="1520"/>
      <c r="N30" s="1520"/>
      <c r="O30" s="1520"/>
      <c r="P30" s="1520"/>
      <c r="Q30" s="1520"/>
      <c r="R30" s="1520"/>
      <c r="S30" s="1520"/>
      <c r="T30" s="1520"/>
      <c r="U30" s="1520"/>
      <c r="V30" s="1520"/>
      <c r="W30" s="1520"/>
      <c r="X30" s="1520"/>
      <c r="Y30" s="1520"/>
      <c r="Z30" s="1520"/>
      <c r="AA30" s="1520"/>
      <c r="AB30" s="1520"/>
      <c r="AC30" s="1520"/>
      <c r="AD30" s="1520"/>
      <c r="AE30" s="1520"/>
      <c r="AF30" s="1520"/>
      <c r="AG30" s="1520"/>
      <c r="AH30" s="1520"/>
      <c r="AI30" s="1520"/>
      <c r="AJ30" s="1520"/>
      <c r="AK30" s="1520"/>
      <c r="AL30" s="1"/>
    </row>
    <row r="31" spans="1:38">
      <c r="A31" s="283"/>
      <c r="B31" s="1"/>
      <c r="C31" s="1"/>
      <c r="D31" s="1044"/>
      <c r="E31" s="1522" t="s">
        <v>1390</v>
      </c>
      <c r="F31" s="1522"/>
      <c r="G31" s="1522"/>
      <c r="H31" s="1522"/>
      <c r="I31" s="1522"/>
      <c r="J31" s="1522"/>
      <c r="K31" s="1522"/>
      <c r="L31" s="1522"/>
      <c r="M31" s="1522"/>
      <c r="N31" s="1522"/>
      <c r="O31" s="1522"/>
      <c r="P31" s="1522"/>
      <c r="Q31" s="1522"/>
      <c r="R31" s="1522"/>
      <c r="S31" s="1522"/>
      <c r="T31" s="1522"/>
      <c r="U31" s="1522"/>
      <c r="V31" s="1522"/>
      <c r="W31" s="1522"/>
      <c r="X31" s="1522"/>
      <c r="Y31" s="1522"/>
      <c r="Z31" s="1522"/>
      <c r="AA31" s="1522"/>
      <c r="AB31" s="1522"/>
      <c r="AC31" s="1522"/>
      <c r="AD31" s="1522"/>
      <c r="AE31" s="1522"/>
      <c r="AF31" s="1522"/>
      <c r="AG31" s="1522"/>
      <c r="AH31" s="1522"/>
      <c r="AI31" s="1522"/>
      <c r="AJ31" s="1522"/>
      <c r="AK31" s="1522"/>
      <c r="AL31" s="1"/>
    </row>
    <row r="32" spans="1:38">
      <c r="A32" s="283"/>
      <c r="B32" s="1"/>
      <c r="C32" s="1"/>
      <c r="D32" s="1044"/>
      <c r="E32" s="1522" t="s">
        <v>1235</v>
      </c>
      <c r="F32" s="1522"/>
      <c r="G32" s="1522"/>
      <c r="H32" s="1522"/>
      <c r="I32" s="1522"/>
      <c r="J32" s="1522"/>
      <c r="K32" s="1522"/>
      <c r="L32" s="1522"/>
      <c r="M32" s="1522"/>
      <c r="N32" s="1522"/>
      <c r="O32" s="1522"/>
      <c r="P32" s="1522"/>
      <c r="Q32" s="1522"/>
      <c r="R32" s="1522"/>
      <c r="S32" s="1522"/>
      <c r="T32" s="1522"/>
      <c r="U32" s="1522"/>
      <c r="V32" s="1522"/>
      <c r="W32" s="1522"/>
      <c r="X32" s="1522"/>
      <c r="Y32" s="1522"/>
      <c r="Z32" s="1522"/>
      <c r="AA32" s="1522"/>
      <c r="AB32" s="1522"/>
      <c r="AC32" s="1522"/>
      <c r="AD32" s="1522"/>
      <c r="AE32" s="1522"/>
      <c r="AF32" s="1522"/>
      <c r="AG32" s="1522"/>
      <c r="AH32" s="1522"/>
      <c r="AI32" s="1522"/>
      <c r="AJ32" s="1522"/>
      <c r="AK32" s="1522"/>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1845</v>
      </c>
      <c r="F36" s="1519" t="s">
        <v>1846</v>
      </c>
      <c r="G36" s="1519"/>
      <c r="H36" s="1519"/>
      <c r="I36" s="1519"/>
      <c r="J36" s="1519"/>
      <c r="K36" s="1519"/>
      <c r="L36" s="1519"/>
      <c r="M36" s="1519"/>
      <c r="N36" s="1519"/>
      <c r="O36" s="1519"/>
      <c r="P36" s="1519"/>
      <c r="Q36" s="1519"/>
      <c r="R36" s="1519"/>
      <c r="S36" s="1519"/>
      <c r="T36" s="1519"/>
      <c r="U36" s="1519"/>
      <c r="V36" s="1519"/>
      <c r="W36" s="1519"/>
      <c r="X36" s="1519"/>
      <c r="Y36" s="1519"/>
      <c r="Z36" s="1519"/>
      <c r="AA36" s="1519"/>
      <c r="AB36" s="1519"/>
      <c r="AC36" s="1519"/>
      <c r="AD36" s="1519"/>
      <c r="AE36" s="1519"/>
      <c r="AF36" s="1519"/>
      <c r="AG36" s="1519"/>
      <c r="AH36" s="1519"/>
      <c r="AI36" s="1519"/>
      <c r="AJ36" s="1519"/>
      <c r="AK36" s="1519"/>
      <c r="AL36" s="1"/>
    </row>
    <row r="37" spans="1:38">
      <c r="A37" s="283"/>
      <c r="B37" s="1"/>
      <c r="C37" s="358"/>
      <c r="D37" s="283"/>
      <c r="E37" s="283"/>
      <c r="F37" s="1519"/>
      <c r="G37" s="1519"/>
      <c r="H37" s="1519"/>
      <c r="I37" s="1519"/>
      <c r="J37" s="1519"/>
      <c r="K37" s="1519"/>
      <c r="L37" s="1519"/>
      <c r="M37" s="1519"/>
      <c r="N37" s="1519"/>
      <c r="O37" s="1519"/>
      <c r="P37" s="1519"/>
      <c r="Q37" s="1519"/>
      <c r="R37" s="1519"/>
      <c r="S37" s="1519"/>
      <c r="T37" s="1519"/>
      <c r="U37" s="1519"/>
      <c r="V37" s="1519"/>
      <c r="W37" s="1519"/>
      <c r="X37" s="1519"/>
      <c r="Y37" s="1519"/>
      <c r="Z37" s="1519"/>
      <c r="AA37" s="1519"/>
      <c r="AB37" s="1519"/>
      <c r="AC37" s="1519"/>
      <c r="AD37" s="1519"/>
      <c r="AE37" s="1519"/>
      <c r="AF37" s="1519"/>
      <c r="AG37" s="1519"/>
      <c r="AH37" s="1519"/>
      <c r="AI37" s="1519"/>
      <c r="AJ37" s="1519"/>
      <c r="AK37" s="1519"/>
      <c r="AL37" s="1"/>
    </row>
    <row r="38" spans="1:38">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591</v>
      </c>
      <c r="F42" s="1519" t="s">
        <v>2061</v>
      </c>
      <c r="G42" s="1519"/>
      <c r="H42" s="1519"/>
      <c r="I42" s="1519"/>
      <c r="J42" s="1519"/>
      <c r="K42" s="1519"/>
      <c r="L42" s="1519"/>
      <c r="M42" s="1519"/>
      <c r="N42" s="1519"/>
      <c r="O42" s="1519"/>
      <c r="P42" s="1519"/>
      <c r="Q42" s="1519"/>
      <c r="R42" s="1519"/>
      <c r="S42" s="1519"/>
      <c r="T42" s="1519"/>
      <c r="U42" s="1519"/>
      <c r="V42" s="1519"/>
      <c r="W42" s="1519"/>
      <c r="X42" s="1519"/>
      <c r="Y42" s="1519"/>
      <c r="Z42" s="1519"/>
      <c r="AA42" s="1519"/>
      <c r="AB42" s="1519"/>
      <c r="AC42" s="1519"/>
      <c r="AD42" s="1519"/>
      <c r="AE42" s="1519"/>
      <c r="AF42" s="1519"/>
      <c r="AG42" s="1519"/>
      <c r="AH42" s="1519"/>
      <c r="AI42" s="1519"/>
      <c r="AJ42" s="1519"/>
      <c r="AK42" s="1519"/>
      <c r="AL42" s="1"/>
    </row>
    <row r="43" spans="1:38">
      <c r="A43" s="283"/>
      <c r="B43" s="1"/>
      <c r="C43" s="358"/>
      <c r="D43" s="283"/>
      <c r="E43" s="283"/>
      <c r="F43" s="1519"/>
      <c r="G43" s="1519"/>
      <c r="H43" s="1519"/>
      <c r="I43" s="1519"/>
      <c r="J43" s="1519"/>
      <c r="K43" s="1519"/>
      <c r="L43" s="1519"/>
      <c r="M43" s="1519"/>
      <c r="N43" s="1519"/>
      <c r="O43" s="1519"/>
      <c r="P43" s="1519"/>
      <c r="Q43" s="1519"/>
      <c r="R43" s="1519"/>
      <c r="S43" s="1519"/>
      <c r="T43" s="1519"/>
      <c r="U43" s="1519"/>
      <c r="V43" s="1519"/>
      <c r="W43" s="1519"/>
      <c r="X43" s="1519"/>
      <c r="Y43" s="1519"/>
      <c r="Z43" s="1519"/>
      <c r="AA43" s="1519"/>
      <c r="AB43" s="1519"/>
      <c r="AC43" s="1519"/>
      <c r="AD43" s="1519"/>
      <c r="AE43" s="1519"/>
      <c r="AF43" s="1519"/>
      <c r="AG43" s="1519"/>
      <c r="AH43" s="1519"/>
      <c r="AI43" s="1519"/>
      <c r="AJ43" s="1519"/>
      <c r="AK43" s="1519"/>
      <c r="AL43" s="1"/>
    </row>
    <row r="44" spans="1:38">
      <c r="A44" s="283"/>
      <c r="B44" s="1"/>
      <c r="C44" s="358"/>
      <c r="D44" s="283"/>
      <c r="E44" s="283"/>
      <c r="F44" s="1519"/>
      <c r="G44" s="1519"/>
      <c r="H44" s="1519"/>
      <c r="I44" s="1519"/>
      <c r="J44" s="1519"/>
      <c r="K44" s="1519"/>
      <c r="L44" s="1519"/>
      <c r="M44" s="1519"/>
      <c r="N44" s="1519"/>
      <c r="O44" s="1519"/>
      <c r="P44" s="1519"/>
      <c r="Q44" s="1519"/>
      <c r="R44" s="1519"/>
      <c r="S44" s="1519"/>
      <c r="T44" s="1519"/>
      <c r="U44" s="1519"/>
      <c r="V44" s="1519"/>
      <c r="W44" s="1519"/>
      <c r="X44" s="1519"/>
      <c r="Y44" s="1519"/>
      <c r="Z44" s="1519"/>
      <c r="AA44" s="1519"/>
      <c r="AB44" s="1519"/>
      <c r="AC44" s="1519"/>
      <c r="AD44" s="1519"/>
      <c r="AE44" s="1519"/>
      <c r="AF44" s="1519"/>
      <c r="AG44" s="1519"/>
      <c r="AH44" s="1519"/>
      <c r="AI44" s="1519"/>
      <c r="AJ44" s="1519"/>
      <c r="AK44" s="151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34" t="s">
        <v>2063</v>
      </c>
      <c r="H48" s="1534"/>
      <c r="I48" s="1534"/>
      <c r="J48" s="1534"/>
      <c r="K48" s="1534"/>
      <c r="L48" s="1534"/>
      <c r="M48" s="1534"/>
      <c r="N48" s="1534"/>
      <c r="O48" s="1534"/>
      <c r="P48" s="1534"/>
      <c r="Q48" s="1534"/>
      <c r="R48" s="1534"/>
      <c r="S48" s="1534"/>
      <c r="T48" s="1534"/>
      <c r="U48" s="1534"/>
      <c r="V48" s="1534"/>
      <c r="W48" s="1534"/>
      <c r="X48" s="1534"/>
      <c r="Y48" s="1534"/>
      <c r="Z48" s="1534"/>
      <c r="AA48" s="1534"/>
      <c r="AB48" s="1534"/>
      <c r="AC48" s="1534"/>
      <c r="AD48" s="1534"/>
      <c r="AE48" s="1534"/>
      <c r="AF48" s="1534"/>
      <c r="AG48" s="1534"/>
      <c r="AH48" s="1534"/>
      <c r="AI48" s="1534"/>
      <c r="AJ48" s="1534"/>
      <c r="AK48" s="1534"/>
      <c r="AL48" s="1"/>
    </row>
    <row r="49" spans="1:38">
      <c r="A49" s="283"/>
      <c r="B49" s="1"/>
      <c r="C49" s="358"/>
      <c r="D49" s="358"/>
      <c r="E49" s="283"/>
      <c r="F49" s="499"/>
      <c r="G49" s="1534"/>
      <c r="H49" s="1534"/>
      <c r="I49" s="1534"/>
      <c r="J49" s="1534"/>
      <c r="K49" s="1534"/>
      <c r="L49" s="1534"/>
      <c r="M49" s="1534"/>
      <c r="N49" s="1534"/>
      <c r="O49" s="1534"/>
      <c r="P49" s="1534"/>
      <c r="Q49" s="1534"/>
      <c r="R49" s="1534"/>
      <c r="S49" s="1534"/>
      <c r="T49" s="1534"/>
      <c r="U49" s="1534"/>
      <c r="V49" s="1534"/>
      <c r="W49" s="1534"/>
      <c r="X49" s="1534"/>
      <c r="Y49" s="1534"/>
      <c r="Z49" s="1534"/>
      <c r="AA49" s="1534"/>
      <c r="AB49" s="1534"/>
      <c r="AC49" s="1534"/>
      <c r="AD49" s="1534"/>
      <c r="AE49" s="1534"/>
      <c r="AF49" s="1534"/>
      <c r="AG49" s="1534"/>
      <c r="AH49" s="1534"/>
      <c r="AI49" s="1534"/>
      <c r="AJ49" s="1534"/>
      <c r="AK49" s="1534"/>
      <c r="AL49" s="1"/>
    </row>
    <row r="50" spans="1:38">
      <c r="A50" s="283"/>
      <c r="B50" s="1"/>
      <c r="C50" s="358"/>
      <c r="D50" s="358"/>
      <c r="E50" s="283"/>
      <c r="F50" s="499"/>
      <c r="G50" s="1534"/>
      <c r="H50" s="1534"/>
      <c r="I50" s="1534"/>
      <c r="J50" s="1534"/>
      <c r="K50" s="1534"/>
      <c r="L50" s="1534"/>
      <c r="M50" s="1534"/>
      <c r="N50" s="1534"/>
      <c r="O50" s="1534"/>
      <c r="P50" s="1534"/>
      <c r="Q50" s="1534"/>
      <c r="R50" s="1534"/>
      <c r="S50" s="1534"/>
      <c r="T50" s="1534"/>
      <c r="U50" s="1534"/>
      <c r="V50" s="1534"/>
      <c r="W50" s="1534"/>
      <c r="X50" s="1534"/>
      <c r="Y50" s="1534"/>
      <c r="Z50" s="1534"/>
      <c r="AA50" s="1534"/>
      <c r="AB50" s="1534"/>
      <c r="AC50" s="1534"/>
      <c r="AD50" s="1534"/>
      <c r="AE50" s="1534"/>
      <c r="AF50" s="1534"/>
      <c r="AG50" s="1534"/>
      <c r="AH50" s="1534"/>
      <c r="AI50" s="1534"/>
      <c r="AJ50" s="1534"/>
      <c r="AK50" s="1534"/>
      <c r="AL50" s="1"/>
    </row>
    <row r="51" spans="1:38">
      <c r="A51" s="283"/>
      <c r="B51" s="358"/>
      <c r="C51" s="358"/>
      <c r="D51" s="358"/>
      <c r="E51" s="283"/>
      <c r="F51" s="499" t="s">
        <v>213</v>
      </c>
      <c r="G51" s="1535" t="s">
        <v>1847</v>
      </c>
      <c r="H51" s="1535"/>
      <c r="I51" s="1535"/>
      <c r="J51" s="1535"/>
      <c r="K51" s="1535"/>
      <c r="L51" s="1535"/>
      <c r="M51" s="1535"/>
      <c r="N51" s="1535"/>
      <c r="O51" s="1535"/>
      <c r="P51" s="1535"/>
      <c r="Q51" s="1535"/>
      <c r="R51" s="1535"/>
      <c r="S51" s="1535"/>
      <c r="T51" s="1535"/>
      <c r="U51" s="1535"/>
      <c r="V51" s="1535"/>
      <c r="W51" s="1535"/>
      <c r="X51" s="1535"/>
      <c r="Y51" s="1535"/>
      <c r="Z51" s="1535"/>
      <c r="AA51" s="1535"/>
      <c r="AB51" s="1535"/>
      <c r="AC51" s="1535"/>
      <c r="AD51" s="1535"/>
      <c r="AE51" s="1535"/>
      <c r="AF51" s="1535"/>
      <c r="AG51" s="1535"/>
      <c r="AH51" s="1535"/>
      <c r="AI51" s="1535"/>
      <c r="AJ51" s="1535"/>
      <c r="AK51" s="1535"/>
      <c r="AL51" s="1"/>
    </row>
    <row r="52" spans="1:38" s="288" customFormat="1">
      <c r="A52" s="283"/>
      <c r="B52" s="1"/>
      <c r="C52" s="358"/>
      <c r="D52" s="358"/>
      <c r="E52" s="283"/>
      <c r="F52" s="499"/>
      <c r="G52" s="1535"/>
      <c r="H52" s="1535"/>
      <c r="I52" s="1535"/>
      <c r="J52" s="1535"/>
      <c r="K52" s="1535"/>
      <c r="L52" s="1535"/>
      <c r="M52" s="1535"/>
      <c r="N52" s="1535"/>
      <c r="O52" s="1535"/>
      <c r="P52" s="1535"/>
      <c r="Q52" s="1535"/>
      <c r="R52" s="1535"/>
      <c r="S52" s="1535"/>
      <c r="T52" s="1535"/>
      <c r="U52" s="1535"/>
      <c r="V52" s="1535"/>
      <c r="W52" s="1535"/>
      <c r="X52" s="1535"/>
      <c r="Y52" s="1535"/>
      <c r="Z52" s="1535"/>
      <c r="AA52" s="1535"/>
      <c r="AB52" s="1535"/>
      <c r="AC52" s="1535"/>
      <c r="AD52" s="1535"/>
      <c r="AE52" s="1535"/>
      <c r="AF52" s="1535"/>
      <c r="AG52" s="1535"/>
      <c r="AH52" s="1535"/>
      <c r="AI52" s="1535"/>
      <c r="AJ52" s="1535"/>
      <c r="AK52" s="1535"/>
      <c r="AL52" s="1"/>
    </row>
    <row r="53" spans="1:38">
      <c r="A53" s="288"/>
      <c r="B53" s="272"/>
      <c r="C53" s="359"/>
      <c r="D53" s="359"/>
      <c r="E53" s="288"/>
      <c r="F53" s="1046"/>
      <c r="G53" s="1535"/>
      <c r="H53" s="1535"/>
      <c r="I53" s="1535"/>
      <c r="J53" s="1535"/>
      <c r="K53" s="1535"/>
      <c r="L53" s="1535"/>
      <c r="M53" s="1535"/>
      <c r="N53" s="1535"/>
      <c r="O53" s="1535"/>
      <c r="P53" s="1535"/>
      <c r="Q53" s="1535"/>
      <c r="R53" s="1535"/>
      <c r="S53" s="1535"/>
      <c r="T53" s="1535"/>
      <c r="U53" s="1535"/>
      <c r="V53" s="1535"/>
      <c r="W53" s="1535"/>
      <c r="X53" s="1535"/>
      <c r="Y53" s="1535"/>
      <c r="Z53" s="1535"/>
      <c r="AA53" s="1535"/>
      <c r="AB53" s="1535"/>
      <c r="AC53" s="1535"/>
      <c r="AD53" s="1535"/>
      <c r="AE53" s="1535"/>
      <c r="AF53" s="1535"/>
      <c r="AG53" s="1535"/>
      <c r="AH53" s="1535"/>
      <c r="AI53" s="1535"/>
      <c r="AJ53" s="1535"/>
      <c r="AK53" s="1535"/>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19" t="s">
        <v>1850</v>
      </c>
      <c r="H58" s="1519"/>
      <c r="I58" s="1519"/>
      <c r="J58" s="1519"/>
      <c r="K58" s="1519"/>
      <c r="L58" s="1519"/>
      <c r="M58" s="1519"/>
      <c r="N58" s="1519"/>
      <c r="O58" s="1519"/>
      <c r="P58" s="1519"/>
      <c r="Q58" s="1519"/>
      <c r="R58" s="1519"/>
      <c r="S58" s="1519"/>
      <c r="T58" s="1519"/>
      <c r="U58" s="1519"/>
      <c r="V58" s="1519"/>
      <c r="W58" s="1519"/>
      <c r="X58" s="1519"/>
      <c r="Y58" s="1519"/>
      <c r="Z58" s="1519"/>
      <c r="AA58" s="1519"/>
      <c r="AB58" s="1519"/>
      <c r="AC58" s="1519"/>
      <c r="AD58" s="1519"/>
      <c r="AE58" s="1519"/>
      <c r="AF58" s="1519"/>
      <c r="AG58" s="1519"/>
      <c r="AH58" s="1519"/>
      <c r="AI58" s="1519"/>
      <c r="AJ58" s="1519"/>
      <c r="AK58" s="1519"/>
      <c r="AL58" s="1"/>
    </row>
    <row r="59" spans="1:38">
      <c r="A59" s="283"/>
      <c r="B59" s="1"/>
      <c r="C59" s="358"/>
      <c r="D59" s="283"/>
      <c r="E59" s="283"/>
      <c r="F59" s="426"/>
      <c r="G59" s="1519"/>
      <c r="H59" s="1519"/>
      <c r="I59" s="1519"/>
      <c r="J59" s="1519"/>
      <c r="K59" s="1519"/>
      <c r="L59" s="1519"/>
      <c r="M59" s="1519"/>
      <c r="N59" s="1519"/>
      <c r="O59" s="1519"/>
      <c r="P59" s="1519"/>
      <c r="Q59" s="1519"/>
      <c r="R59" s="1519"/>
      <c r="S59" s="1519"/>
      <c r="T59" s="1519"/>
      <c r="U59" s="1519"/>
      <c r="V59" s="1519"/>
      <c r="W59" s="1519"/>
      <c r="X59" s="1519"/>
      <c r="Y59" s="1519"/>
      <c r="Z59" s="1519"/>
      <c r="AA59" s="1519"/>
      <c r="AB59" s="1519"/>
      <c r="AC59" s="1519"/>
      <c r="AD59" s="1519"/>
      <c r="AE59" s="1519"/>
      <c r="AF59" s="1519"/>
      <c r="AG59" s="1519"/>
      <c r="AH59" s="1519"/>
      <c r="AI59" s="1519"/>
      <c r="AJ59" s="1519"/>
      <c r="AK59" s="1519"/>
      <c r="AL59" s="1"/>
    </row>
    <row r="60" spans="1:38">
      <c r="A60" s="283"/>
      <c r="B60" s="1"/>
      <c r="C60" s="358"/>
      <c r="D60" s="283"/>
      <c r="E60" s="283"/>
      <c r="F60" s="426"/>
      <c r="G60" s="1519"/>
      <c r="H60" s="1519"/>
      <c r="I60" s="1519"/>
      <c r="J60" s="1519"/>
      <c r="K60" s="1519"/>
      <c r="L60" s="1519"/>
      <c r="M60" s="1519"/>
      <c r="N60" s="1519"/>
      <c r="O60" s="1519"/>
      <c r="P60" s="1519"/>
      <c r="Q60" s="1519"/>
      <c r="R60" s="1519"/>
      <c r="S60" s="1519"/>
      <c r="T60" s="1519"/>
      <c r="U60" s="1519"/>
      <c r="V60" s="1519"/>
      <c r="W60" s="1519"/>
      <c r="X60" s="1519"/>
      <c r="Y60" s="1519"/>
      <c r="Z60" s="1519"/>
      <c r="AA60" s="1519"/>
      <c r="AB60" s="1519"/>
      <c r="AC60" s="1519"/>
      <c r="AD60" s="1519"/>
      <c r="AE60" s="1519"/>
      <c r="AF60" s="1519"/>
      <c r="AG60" s="1519"/>
      <c r="AH60" s="1519"/>
      <c r="AI60" s="1519"/>
      <c r="AJ60" s="1519"/>
      <c r="AK60" s="1519"/>
      <c r="AL60" s="1"/>
    </row>
    <row r="61" spans="1:38">
      <c r="A61" s="283"/>
      <c r="B61" s="1"/>
      <c r="C61" s="358"/>
      <c r="D61" s="283"/>
      <c r="E61" s="283"/>
      <c r="F61" s="426" t="s">
        <v>213</v>
      </c>
      <c r="G61" s="1519" t="s">
        <v>1849</v>
      </c>
      <c r="H61" s="1519"/>
      <c r="I61" s="1519"/>
      <c r="J61" s="1519"/>
      <c r="K61" s="1519"/>
      <c r="L61" s="1519"/>
      <c r="M61" s="1519"/>
      <c r="N61" s="1519"/>
      <c r="O61" s="1519"/>
      <c r="P61" s="1519"/>
      <c r="Q61" s="1519"/>
      <c r="R61" s="1519"/>
      <c r="S61" s="1519"/>
      <c r="T61" s="1519"/>
      <c r="U61" s="1519"/>
      <c r="V61" s="1519"/>
      <c r="W61" s="1519"/>
      <c r="X61" s="1519"/>
      <c r="Y61" s="1519"/>
      <c r="Z61" s="1519"/>
      <c r="AA61" s="1519"/>
      <c r="AB61" s="1519"/>
      <c r="AC61" s="1519"/>
      <c r="AD61" s="1519"/>
      <c r="AE61" s="1519"/>
      <c r="AF61" s="1519"/>
      <c r="AG61" s="1519"/>
      <c r="AH61" s="1519"/>
      <c r="AI61" s="1519"/>
      <c r="AJ61" s="1519"/>
      <c r="AK61" s="1519"/>
      <c r="AL61" s="1"/>
    </row>
    <row r="62" spans="1:38">
      <c r="A62" s="283"/>
      <c r="B62" s="1"/>
      <c r="C62" s="358"/>
      <c r="D62" s="283"/>
      <c r="E62" s="283"/>
      <c r="F62" s="426"/>
      <c r="G62" s="1519"/>
      <c r="H62" s="1519"/>
      <c r="I62" s="1519"/>
      <c r="J62" s="1519"/>
      <c r="K62" s="1519"/>
      <c r="L62" s="1519"/>
      <c r="M62" s="1519"/>
      <c r="N62" s="1519"/>
      <c r="O62" s="1519"/>
      <c r="P62" s="1519"/>
      <c r="Q62" s="1519"/>
      <c r="R62" s="1519"/>
      <c r="S62" s="1519"/>
      <c r="T62" s="1519"/>
      <c r="U62" s="1519"/>
      <c r="V62" s="1519"/>
      <c r="W62" s="1519"/>
      <c r="X62" s="1519"/>
      <c r="Y62" s="1519"/>
      <c r="Z62" s="1519"/>
      <c r="AA62" s="1519"/>
      <c r="AB62" s="1519"/>
      <c r="AC62" s="1519"/>
      <c r="AD62" s="1519"/>
      <c r="AE62" s="1519"/>
      <c r="AF62" s="1519"/>
      <c r="AG62" s="1519"/>
      <c r="AH62" s="1519"/>
      <c r="AI62" s="1519"/>
      <c r="AJ62" s="1519"/>
      <c r="AK62" s="1519"/>
      <c r="AL62" s="1"/>
    </row>
    <row r="63" spans="1:38">
      <c r="A63" s="283"/>
      <c r="B63" s="1"/>
      <c r="C63" s="358"/>
      <c r="D63" s="283"/>
      <c r="E63" s="283"/>
      <c r="F63" s="1047"/>
      <c r="G63" s="1519"/>
      <c r="H63" s="1519"/>
      <c r="I63" s="1519"/>
      <c r="J63" s="1519"/>
      <c r="K63" s="1519"/>
      <c r="L63" s="1519"/>
      <c r="M63" s="1519"/>
      <c r="N63" s="1519"/>
      <c r="O63" s="1519"/>
      <c r="P63" s="1519"/>
      <c r="Q63" s="1519"/>
      <c r="R63" s="1519"/>
      <c r="S63" s="1519"/>
      <c r="T63" s="1519"/>
      <c r="U63" s="1519"/>
      <c r="V63" s="1519"/>
      <c r="W63" s="1519"/>
      <c r="X63" s="1519"/>
      <c r="Y63" s="1519"/>
      <c r="Z63" s="1519"/>
      <c r="AA63" s="1519"/>
      <c r="AB63" s="1519"/>
      <c r="AC63" s="1519"/>
      <c r="AD63" s="1519"/>
      <c r="AE63" s="1519"/>
      <c r="AF63" s="1519"/>
      <c r="AG63" s="1519"/>
      <c r="AH63" s="1519"/>
      <c r="AI63" s="1519"/>
      <c r="AJ63" s="1519"/>
      <c r="AK63" s="1519"/>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19" t="s">
        <v>1851</v>
      </c>
      <c r="H65" s="1519"/>
      <c r="I65" s="1519"/>
      <c r="J65" s="1519"/>
      <c r="K65" s="1519"/>
      <c r="L65" s="1519"/>
      <c r="M65" s="1519"/>
      <c r="N65" s="1519"/>
      <c r="O65" s="1519"/>
      <c r="P65" s="1519"/>
      <c r="Q65" s="1519"/>
      <c r="R65" s="1519"/>
      <c r="S65" s="1519"/>
      <c r="T65" s="1519"/>
      <c r="U65" s="1519"/>
      <c r="V65" s="1519"/>
      <c r="W65" s="1519"/>
      <c r="X65" s="1519"/>
      <c r="Y65" s="1519"/>
      <c r="Z65" s="1519"/>
      <c r="AA65" s="1519"/>
      <c r="AB65" s="1519"/>
      <c r="AC65" s="1519"/>
      <c r="AD65" s="1519"/>
      <c r="AE65" s="1519"/>
      <c r="AF65" s="1519"/>
      <c r="AG65" s="1519"/>
      <c r="AH65" s="1519"/>
      <c r="AI65" s="1519"/>
      <c r="AJ65" s="1519"/>
      <c r="AK65" s="1519"/>
      <c r="AL65" s="1"/>
    </row>
    <row r="66" spans="1:38">
      <c r="A66" s="283"/>
      <c r="B66" s="1"/>
      <c r="C66" s="358"/>
      <c r="D66" s="283"/>
      <c r="E66" s="283"/>
      <c r="F66" s="499"/>
      <c r="G66" s="1519"/>
      <c r="H66" s="1519"/>
      <c r="I66" s="1519"/>
      <c r="J66" s="1519"/>
      <c r="K66" s="1519"/>
      <c r="L66" s="1519"/>
      <c r="M66" s="1519"/>
      <c r="N66" s="1519"/>
      <c r="O66" s="1519"/>
      <c r="P66" s="1519"/>
      <c r="Q66" s="1519"/>
      <c r="R66" s="1519"/>
      <c r="S66" s="1519"/>
      <c r="T66" s="1519"/>
      <c r="U66" s="1519"/>
      <c r="V66" s="1519"/>
      <c r="W66" s="1519"/>
      <c r="X66" s="1519"/>
      <c r="Y66" s="1519"/>
      <c r="Z66" s="1519"/>
      <c r="AA66" s="1519"/>
      <c r="AB66" s="1519"/>
      <c r="AC66" s="1519"/>
      <c r="AD66" s="1519"/>
      <c r="AE66" s="1519"/>
      <c r="AF66" s="1519"/>
      <c r="AG66" s="1519"/>
      <c r="AH66" s="1519"/>
      <c r="AI66" s="1519"/>
      <c r="AJ66" s="1519"/>
      <c r="AK66" s="1519"/>
      <c r="AL66" s="1"/>
    </row>
    <row r="67" spans="1:38">
      <c r="A67" s="283"/>
      <c r="B67" s="1"/>
      <c r="C67" s="358"/>
      <c r="D67" s="283"/>
      <c r="E67" s="283"/>
      <c r="F67" s="499" t="s">
        <v>213</v>
      </c>
      <c r="G67" s="1519" t="s">
        <v>1852</v>
      </c>
      <c r="H67" s="1519"/>
      <c r="I67" s="1519"/>
      <c r="J67" s="1519"/>
      <c r="K67" s="1519"/>
      <c r="L67" s="1519"/>
      <c r="M67" s="1519"/>
      <c r="N67" s="1519"/>
      <c r="O67" s="1519"/>
      <c r="P67" s="1519"/>
      <c r="Q67" s="1519"/>
      <c r="R67" s="1519"/>
      <c r="S67" s="1519"/>
      <c r="T67" s="1519"/>
      <c r="U67" s="1519"/>
      <c r="V67" s="1519"/>
      <c r="W67" s="1519"/>
      <c r="X67" s="1519"/>
      <c r="Y67" s="1519"/>
      <c r="Z67" s="1519"/>
      <c r="AA67" s="1519"/>
      <c r="AB67" s="1519"/>
      <c r="AC67" s="1519"/>
      <c r="AD67" s="1519"/>
      <c r="AE67" s="1519"/>
      <c r="AF67" s="1519"/>
      <c r="AG67" s="1519"/>
      <c r="AH67" s="1519"/>
      <c r="AI67" s="1519"/>
      <c r="AJ67" s="1519"/>
      <c r="AK67" s="1519"/>
      <c r="AL67" s="1"/>
    </row>
    <row r="68" spans="1:38">
      <c r="A68" s="283"/>
      <c r="B68" s="1"/>
      <c r="C68" s="358"/>
      <c r="D68" s="283"/>
      <c r="E68" s="283"/>
      <c r="F68" s="499"/>
      <c r="G68" s="1519"/>
      <c r="H68" s="1519"/>
      <c r="I68" s="1519"/>
      <c r="J68" s="1519"/>
      <c r="K68" s="1519"/>
      <c r="L68" s="1519"/>
      <c r="M68" s="1519"/>
      <c r="N68" s="1519"/>
      <c r="O68" s="1519"/>
      <c r="P68" s="1519"/>
      <c r="Q68" s="1519"/>
      <c r="R68" s="1519"/>
      <c r="S68" s="1519"/>
      <c r="T68" s="1519"/>
      <c r="U68" s="1519"/>
      <c r="V68" s="1519"/>
      <c r="W68" s="1519"/>
      <c r="X68" s="1519"/>
      <c r="Y68" s="1519"/>
      <c r="Z68" s="1519"/>
      <c r="AA68" s="1519"/>
      <c r="AB68" s="1519"/>
      <c r="AC68" s="1519"/>
      <c r="AD68" s="1519"/>
      <c r="AE68" s="1519"/>
      <c r="AF68" s="1519"/>
      <c r="AG68" s="1519"/>
      <c r="AH68" s="1519"/>
      <c r="AI68" s="1519"/>
      <c r="AJ68" s="1519"/>
      <c r="AK68" s="1519"/>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9" t="s">
        <v>1867</v>
      </c>
      <c r="H75" s="1519"/>
      <c r="I75" s="1519"/>
      <c r="J75" s="1519"/>
      <c r="K75" s="1519"/>
      <c r="L75" s="1519"/>
      <c r="M75" s="1519"/>
      <c r="N75" s="1519"/>
      <c r="O75" s="1519"/>
      <c r="P75" s="1519"/>
      <c r="Q75" s="1519"/>
      <c r="R75" s="1519"/>
      <c r="S75" s="1519"/>
      <c r="T75" s="1519"/>
      <c r="U75" s="1519"/>
      <c r="V75" s="1519"/>
      <c r="W75" s="1519"/>
      <c r="X75" s="1519"/>
      <c r="Y75" s="1519"/>
      <c r="Z75" s="1519"/>
      <c r="AA75" s="1519"/>
      <c r="AB75" s="1519"/>
      <c r="AC75" s="1519"/>
      <c r="AD75" s="1519"/>
      <c r="AE75" s="1519"/>
      <c r="AF75" s="1519"/>
      <c r="AG75" s="1519"/>
      <c r="AH75" s="1519"/>
      <c r="AI75" s="1519"/>
      <c r="AJ75" s="1519"/>
      <c r="AK75" s="1519"/>
      <c r="AL75" s="1"/>
    </row>
    <row r="76" spans="1:38">
      <c r="A76" s="283"/>
      <c r="B76" s="1"/>
      <c r="C76" s="358"/>
      <c r="D76" s="283"/>
      <c r="E76" s="283"/>
      <c r="F76" s="283"/>
      <c r="G76" s="1519"/>
      <c r="H76" s="1519"/>
      <c r="I76" s="1519"/>
      <c r="J76" s="1519"/>
      <c r="K76" s="1519"/>
      <c r="L76" s="1519"/>
      <c r="M76" s="1519"/>
      <c r="N76" s="1519"/>
      <c r="O76" s="1519"/>
      <c r="P76" s="1519"/>
      <c r="Q76" s="1519"/>
      <c r="R76" s="1519"/>
      <c r="S76" s="1519"/>
      <c r="T76" s="1519"/>
      <c r="U76" s="1519"/>
      <c r="V76" s="1519"/>
      <c r="W76" s="1519"/>
      <c r="X76" s="1519"/>
      <c r="Y76" s="1519"/>
      <c r="Z76" s="1519"/>
      <c r="AA76" s="1519"/>
      <c r="AB76" s="1519"/>
      <c r="AC76" s="1519"/>
      <c r="AD76" s="1519"/>
      <c r="AE76" s="1519"/>
      <c r="AF76" s="1519"/>
      <c r="AG76" s="1519"/>
      <c r="AH76" s="1519"/>
      <c r="AI76" s="1519"/>
      <c r="AJ76" s="1519"/>
      <c r="AK76" s="1519"/>
      <c r="AL76" s="1"/>
    </row>
    <row r="77" spans="1:38">
      <c r="A77" s="283"/>
      <c r="B77" s="1"/>
      <c r="C77" s="358"/>
      <c r="D77" s="283"/>
      <c r="E77" s="283"/>
      <c r="F77" s="283"/>
      <c r="G77" s="1519"/>
      <c r="H77" s="1519"/>
      <c r="I77" s="1519"/>
      <c r="J77" s="1519"/>
      <c r="K77" s="1519"/>
      <c r="L77" s="1519"/>
      <c r="M77" s="1519"/>
      <c r="N77" s="1519"/>
      <c r="O77" s="1519"/>
      <c r="P77" s="1519"/>
      <c r="Q77" s="1519"/>
      <c r="R77" s="1519"/>
      <c r="S77" s="1519"/>
      <c r="T77" s="1519"/>
      <c r="U77" s="1519"/>
      <c r="V77" s="1519"/>
      <c r="W77" s="1519"/>
      <c r="X77" s="1519"/>
      <c r="Y77" s="1519"/>
      <c r="Z77" s="1519"/>
      <c r="AA77" s="1519"/>
      <c r="AB77" s="1519"/>
      <c r="AC77" s="1519"/>
      <c r="AD77" s="1519"/>
      <c r="AE77" s="1519"/>
      <c r="AF77" s="1519"/>
      <c r="AG77" s="1519"/>
      <c r="AH77" s="1519"/>
      <c r="AI77" s="1519"/>
      <c r="AJ77" s="1519"/>
      <c r="AK77" s="1519"/>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9" t="s">
        <v>1868</v>
      </c>
      <c r="H79" s="1519"/>
      <c r="I79" s="1519"/>
      <c r="J79" s="1519"/>
      <c r="K79" s="1519"/>
      <c r="L79" s="1519"/>
      <c r="M79" s="1519"/>
      <c r="N79" s="1519"/>
      <c r="O79" s="1519"/>
      <c r="P79" s="1519"/>
      <c r="Q79" s="1519"/>
      <c r="R79" s="1519"/>
      <c r="S79" s="1519"/>
      <c r="T79" s="1519"/>
      <c r="U79" s="1519"/>
      <c r="V79" s="1519"/>
      <c r="W79" s="1519"/>
      <c r="X79" s="1519"/>
      <c r="Y79" s="1519"/>
      <c r="Z79" s="1519"/>
      <c r="AA79" s="1519"/>
      <c r="AB79" s="1519"/>
      <c r="AC79" s="1519"/>
      <c r="AD79" s="1519"/>
      <c r="AE79" s="1519"/>
      <c r="AF79" s="1519"/>
      <c r="AG79" s="1519"/>
      <c r="AH79" s="1519"/>
      <c r="AI79" s="1519"/>
      <c r="AJ79" s="1519"/>
      <c r="AK79" s="1519"/>
      <c r="AL79" s="1"/>
    </row>
    <row r="80" spans="1:38">
      <c r="A80" s="283"/>
      <c r="B80" s="1"/>
      <c r="C80" s="358"/>
      <c r="D80" s="283"/>
      <c r="E80" s="283"/>
      <c r="F80" s="283"/>
      <c r="G80" s="1519"/>
      <c r="H80" s="1519"/>
      <c r="I80" s="1519"/>
      <c r="J80" s="1519"/>
      <c r="K80" s="1519"/>
      <c r="L80" s="1519"/>
      <c r="M80" s="1519"/>
      <c r="N80" s="1519"/>
      <c r="O80" s="1519"/>
      <c r="P80" s="1519"/>
      <c r="Q80" s="1519"/>
      <c r="R80" s="1519"/>
      <c r="S80" s="1519"/>
      <c r="T80" s="1519"/>
      <c r="U80" s="1519"/>
      <c r="V80" s="1519"/>
      <c r="W80" s="1519"/>
      <c r="X80" s="1519"/>
      <c r="Y80" s="1519"/>
      <c r="Z80" s="1519"/>
      <c r="AA80" s="1519"/>
      <c r="AB80" s="1519"/>
      <c r="AC80" s="1519"/>
      <c r="AD80" s="1519"/>
      <c r="AE80" s="1519"/>
      <c r="AF80" s="1519"/>
      <c r="AG80" s="1519"/>
      <c r="AH80" s="1519"/>
      <c r="AI80" s="1519"/>
      <c r="AJ80" s="1519"/>
      <c r="AK80" s="1519"/>
      <c r="AL80" s="1"/>
    </row>
    <row r="81" spans="1:38">
      <c r="A81" s="283"/>
      <c r="B81" s="1"/>
      <c r="C81" s="358"/>
      <c r="D81" s="283"/>
      <c r="E81" s="283"/>
      <c r="F81" s="1"/>
      <c r="G81" s="1519"/>
      <c r="H81" s="1519"/>
      <c r="I81" s="1519"/>
      <c r="J81" s="1519"/>
      <c r="K81" s="1519"/>
      <c r="L81" s="1519"/>
      <c r="M81" s="1519"/>
      <c r="N81" s="1519"/>
      <c r="O81" s="1519"/>
      <c r="P81" s="1519"/>
      <c r="Q81" s="1519"/>
      <c r="R81" s="1519"/>
      <c r="S81" s="1519"/>
      <c r="T81" s="1519"/>
      <c r="U81" s="1519"/>
      <c r="V81" s="1519"/>
      <c r="W81" s="1519"/>
      <c r="X81" s="1519"/>
      <c r="Y81" s="1519"/>
      <c r="Z81" s="1519"/>
      <c r="AA81" s="1519"/>
      <c r="AB81" s="1519"/>
      <c r="AC81" s="1519"/>
      <c r="AD81" s="1519"/>
      <c r="AE81" s="1519"/>
      <c r="AF81" s="1519"/>
      <c r="AG81" s="1519"/>
      <c r="AH81" s="1519"/>
      <c r="AI81" s="1519"/>
      <c r="AJ81" s="1519"/>
      <c r="AK81" s="1519"/>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9" t="s">
        <v>1853</v>
      </c>
      <c r="H83" s="1519"/>
      <c r="I83" s="1519"/>
      <c r="J83" s="1519"/>
      <c r="K83" s="1519"/>
      <c r="L83" s="1519"/>
      <c r="M83" s="1519"/>
      <c r="N83" s="1519"/>
      <c r="O83" s="1519"/>
      <c r="P83" s="1519"/>
      <c r="Q83" s="1519"/>
      <c r="R83" s="1519"/>
      <c r="S83" s="1519"/>
      <c r="T83" s="1519"/>
      <c r="U83" s="1519"/>
      <c r="V83" s="1519"/>
      <c r="W83" s="1519"/>
      <c r="X83" s="1519"/>
      <c r="Y83" s="1519"/>
      <c r="Z83" s="1519"/>
      <c r="AA83" s="1519"/>
      <c r="AB83" s="1519"/>
      <c r="AC83" s="1519"/>
      <c r="AD83" s="1519"/>
      <c r="AE83" s="1519"/>
      <c r="AF83" s="1519"/>
      <c r="AG83" s="1519"/>
      <c r="AH83" s="1519"/>
      <c r="AI83" s="1519"/>
      <c r="AJ83" s="1519"/>
      <c r="AK83" s="1519"/>
      <c r="AL83" s="1"/>
    </row>
    <row r="84" spans="1:38">
      <c r="A84" s="283"/>
      <c r="B84" s="1"/>
      <c r="C84" s="358"/>
      <c r="D84" s="283"/>
      <c r="E84" s="283"/>
      <c r="F84" s="1"/>
      <c r="G84" s="1519"/>
      <c r="H84" s="1519"/>
      <c r="I84" s="1519"/>
      <c r="J84" s="1519"/>
      <c r="K84" s="1519"/>
      <c r="L84" s="1519"/>
      <c r="M84" s="1519"/>
      <c r="N84" s="1519"/>
      <c r="O84" s="1519"/>
      <c r="P84" s="1519"/>
      <c r="Q84" s="1519"/>
      <c r="R84" s="1519"/>
      <c r="S84" s="1519"/>
      <c r="T84" s="1519"/>
      <c r="U84" s="1519"/>
      <c r="V84" s="1519"/>
      <c r="W84" s="1519"/>
      <c r="X84" s="1519"/>
      <c r="Y84" s="1519"/>
      <c r="Z84" s="1519"/>
      <c r="AA84" s="1519"/>
      <c r="AB84" s="1519"/>
      <c r="AC84" s="1519"/>
      <c r="AD84" s="1519"/>
      <c r="AE84" s="1519"/>
      <c r="AF84" s="1519"/>
      <c r="AG84" s="1519"/>
      <c r="AH84" s="1519"/>
      <c r="AI84" s="1519"/>
      <c r="AJ84" s="1519"/>
      <c r="AK84" s="1519"/>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9" t="s">
        <v>1854</v>
      </c>
      <c r="H86" s="1519"/>
      <c r="I86" s="1519"/>
      <c r="J86" s="1519"/>
      <c r="K86" s="1519"/>
      <c r="L86" s="1519"/>
      <c r="M86" s="1519"/>
      <c r="N86" s="1519"/>
      <c r="O86" s="1519"/>
      <c r="P86" s="1519"/>
      <c r="Q86" s="1519"/>
      <c r="R86" s="1519"/>
      <c r="S86" s="1519"/>
      <c r="T86" s="1519"/>
      <c r="U86" s="1519"/>
      <c r="V86" s="1519"/>
      <c r="W86" s="1519"/>
      <c r="X86" s="1519"/>
      <c r="Y86" s="1519"/>
      <c r="Z86" s="1519"/>
      <c r="AA86" s="1519"/>
      <c r="AB86" s="1519"/>
      <c r="AC86" s="1519"/>
      <c r="AD86" s="1519"/>
      <c r="AE86" s="1519"/>
      <c r="AF86" s="1519"/>
      <c r="AG86" s="1519"/>
      <c r="AH86" s="1519"/>
      <c r="AI86" s="1519"/>
      <c r="AJ86" s="1519"/>
      <c r="AK86" s="1519"/>
      <c r="AL86" s="1"/>
    </row>
    <row r="87" spans="1:38">
      <c r="A87" s="283"/>
      <c r="B87" s="1"/>
      <c r="C87" s="358"/>
      <c r="D87" s="283"/>
      <c r="E87" s="283"/>
      <c r="F87" s="1"/>
      <c r="G87" s="1519"/>
      <c r="H87" s="1519"/>
      <c r="I87" s="1519"/>
      <c r="J87" s="1519"/>
      <c r="K87" s="1519"/>
      <c r="L87" s="1519"/>
      <c r="M87" s="1519"/>
      <c r="N87" s="1519"/>
      <c r="O87" s="1519"/>
      <c r="P87" s="1519"/>
      <c r="Q87" s="1519"/>
      <c r="R87" s="1519"/>
      <c r="S87" s="1519"/>
      <c r="T87" s="1519"/>
      <c r="U87" s="1519"/>
      <c r="V87" s="1519"/>
      <c r="W87" s="1519"/>
      <c r="X87" s="1519"/>
      <c r="Y87" s="1519"/>
      <c r="Z87" s="1519"/>
      <c r="AA87" s="1519"/>
      <c r="AB87" s="1519"/>
      <c r="AC87" s="1519"/>
      <c r="AD87" s="1519"/>
      <c r="AE87" s="1519"/>
      <c r="AF87" s="1519"/>
      <c r="AG87" s="1519"/>
      <c r="AH87" s="1519"/>
      <c r="AI87" s="1519"/>
      <c r="AJ87" s="1519"/>
      <c r="AK87" s="1519"/>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9" t="s">
        <v>1860</v>
      </c>
      <c r="H89" s="1519"/>
      <c r="I89" s="1519"/>
      <c r="J89" s="1519"/>
      <c r="K89" s="1519"/>
      <c r="L89" s="1519"/>
      <c r="M89" s="1519"/>
      <c r="N89" s="1519"/>
      <c r="O89" s="1519"/>
      <c r="P89" s="1519"/>
      <c r="Q89" s="1519"/>
      <c r="R89" s="1519"/>
      <c r="S89" s="1519"/>
      <c r="T89" s="1519"/>
      <c r="U89" s="1519"/>
      <c r="V89" s="1519"/>
      <c r="W89" s="1519"/>
      <c r="X89" s="1519"/>
      <c r="Y89" s="1519"/>
      <c r="Z89" s="1519"/>
      <c r="AA89" s="1519"/>
      <c r="AB89" s="1519"/>
      <c r="AC89" s="1519"/>
      <c r="AD89" s="1519"/>
      <c r="AE89" s="1519"/>
      <c r="AF89" s="1519"/>
      <c r="AG89" s="1519"/>
      <c r="AH89" s="1519"/>
      <c r="AI89" s="1519"/>
      <c r="AJ89" s="1519"/>
      <c r="AK89" s="1519"/>
      <c r="AL89" s="1"/>
    </row>
    <row r="90" spans="1:38">
      <c r="A90" s="283"/>
      <c r="B90" s="1"/>
      <c r="C90" s="358"/>
      <c r="D90" s="283"/>
      <c r="E90" s="283"/>
      <c r="F90" s="283"/>
      <c r="G90" s="1519"/>
      <c r="H90" s="1519"/>
      <c r="I90" s="1519"/>
      <c r="J90" s="1519"/>
      <c r="K90" s="1519"/>
      <c r="L90" s="1519"/>
      <c r="M90" s="1519"/>
      <c r="N90" s="1519"/>
      <c r="O90" s="1519"/>
      <c r="P90" s="1519"/>
      <c r="Q90" s="1519"/>
      <c r="R90" s="1519"/>
      <c r="S90" s="1519"/>
      <c r="T90" s="1519"/>
      <c r="U90" s="1519"/>
      <c r="V90" s="1519"/>
      <c r="W90" s="1519"/>
      <c r="X90" s="1519"/>
      <c r="Y90" s="1519"/>
      <c r="Z90" s="1519"/>
      <c r="AA90" s="1519"/>
      <c r="AB90" s="1519"/>
      <c r="AC90" s="1519"/>
      <c r="AD90" s="1519"/>
      <c r="AE90" s="1519"/>
      <c r="AF90" s="1519"/>
      <c r="AG90" s="1519"/>
      <c r="AH90" s="1519"/>
      <c r="AI90" s="1519"/>
      <c r="AJ90" s="1519"/>
      <c r="AK90" s="1519"/>
      <c r="AL90" s="1"/>
    </row>
    <row r="91" spans="1:38">
      <c r="A91" s="283"/>
      <c r="B91" s="1"/>
      <c r="C91" s="358"/>
      <c r="D91" s="283"/>
      <c r="E91" s="283"/>
      <c r="F91" s="283"/>
      <c r="G91" s="1519"/>
      <c r="H91" s="1519"/>
      <c r="I91" s="1519"/>
      <c r="J91" s="1519"/>
      <c r="K91" s="1519"/>
      <c r="L91" s="1519"/>
      <c r="M91" s="1519"/>
      <c r="N91" s="1519"/>
      <c r="O91" s="1519"/>
      <c r="P91" s="1519"/>
      <c r="Q91" s="1519"/>
      <c r="R91" s="1519"/>
      <c r="S91" s="1519"/>
      <c r="T91" s="1519"/>
      <c r="U91" s="1519"/>
      <c r="V91" s="1519"/>
      <c r="W91" s="1519"/>
      <c r="X91" s="1519"/>
      <c r="Y91" s="1519"/>
      <c r="Z91" s="1519"/>
      <c r="AA91" s="1519"/>
      <c r="AB91" s="1519"/>
      <c r="AC91" s="1519"/>
      <c r="AD91" s="1519"/>
      <c r="AE91" s="1519"/>
      <c r="AF91" s="1519"/>
      <c r="AG91" s="1519"/>
      <c r="AH91" s="1519"/>
      <c r="AI91" s="1519"/>
      <c r="AJ91" s="1519"/>
      <c r="AK91" s="1519"/>
      <c r="AL91" s="1"/>
    </row>
    <row r="92" spans="1:38">
      <c r="A92" s="283"/>
      <c r="B92" s="1"/>
      <c r="C92" s="358"/>
      <c r="D92" s="283"/>
      <c r="E92" s="283"/>
      <c r="F92" s="283"/>
      <c r="G92" s="1519"/>
      <c r="H92" s="1519"/>
      <c r="I92" s="1519"/>
      <c r="J92" s="1519"/>
      <c r="K92" s="1519"/>
      <c r="L92" s="1519"/>
      <c r="M92" s="1519"/>
      <c r="N92" s="1519"/>
      <c r="O92" s="1519"/>
      <c r="P92" s="1519"/>
      <c r="Q92" s="1519"/>
      <c r="R92" s="1519"/>
      <c r="S92" s="1519"/>
      <c r="T92" s="1519"/>
      <c r="U92" s="1519"/>
      <c r="V92" s="1519"/>
      <c r="W92" s="1519"/>
      <c r="X92" s="1519"/>
      <c r="Y92" s="1519"/>
      <c r="Z92" s="1519"/>
      <c r="AA92" s="1519"/>
      <c r="AB92" s="1519"/>
      <c r="AC92" s="1519"/>
      <c r="AD92" s="1519"/>
      <c r="AE92" s="1519"/>
      <c r="AF92" s="1519"/>
      <c r="AG92" s="1519"/>
      <c r="AH92" s="1519"/>
      <c r="AI92" s="1519"/>
      <c r="AJ92" s="1519"/>
      <c r="AK92" s="1519"/>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33" t="s">
        <v>1861</v>
      </c>
      <c r="H94" s="1533"/>
      <c r="I94" s="1533"/>
      <c r="J94" s="1533"/>
      <c r="K94" s="1533"/>
      <c r="L94" s="1533"/>
      <c r="M94" s="1533"/>
      <c r="N94" s="1533"/>
      <c r="O94" s="1533"/>
      <c r="P94" s="1533"/>
      <c r="Q94" s="1533"/>
      <c r="R94" s="1533"/>
      <c r="S94" s="1533"/>
      <c r="T94" s="1533"/>
      <c r="U94" s="1533"/>
      <c r="V94" s="1533"/>
      <c r="W94" s="1533"/>
      <c r="X94" s="1533"/>
      <c r="Y94" s="1533"/>
      <c r="Z94" s="1533"/>
      <c r="AA94" s="1533"/>
      <c r="AB94" s="1533"/>
      <c r="AC94" s="1533"/>
      <c r="AD94" s="1533"/>
      <c r="AE94" s="1533"/>
      <c r="AF94" s="1533"/>
      <c r="AG94" s="1533"/>
      <c r="AH94" s="1533"/>
      <c r="AI94" s="1533"/>
      <c r="AJ94" s="1533"/>
      <c r="AK94" s="1533"/>
      <c r="AL94" s="1049"/>
    </row>
    <row r="95" spans="1:38">
      <c r="A95" s="1048"/>
      <c r="B95" s="1049"/>
      <c r="C95" s="1050"/>
      <c r="D95" s="1048"/>
      <c r="E95" s="1048"/>
      <c r="F95" s="1049"/>
      <c r="G95" s="1533"/>
      <c r="H95" s="1533"/>
      <c r="I95" s="1533"/>
      <c r="J95" s="1533"/>
      <c r="K95" s="1533"/>
      <c r="L95" s="1533"/>
      <c r="M95" s="1533"/>
      <c r="N95" s="1533"/>
      <c r="O95" s="1533"/>
      <c r="P95" s="1533"/>
      <c r="Q95" s="1533"/>
      <c r="R95" s="1533"/>
      <c r="S95" s="1533"/>
      <c r="T95" s="1533"/>
      <c r="U95" s="1533"/>
      <c r="V95" s="1533"/>
      <c r="W95" s="1533"/>
      <c r="X95" s="1533"/>
      <c r="Y95" s="1533"/>
      <c r="Z95" s="1533"/>
      <c r="AA95" s="1533"/>
      <c r="AB95" s="1533"/>
      <c r="AC95" s="1533"/>
      <c r="AD95" s="1533"/>
      <c r="AE95" s="1533"/>
      <c r="AF95" s="1533"/>
      <c r="AG95" s="1533"/>
      <c r="AH95" s="1533"/>
      <c r="AI95" s="1533"/>
      <c r="AJ95" s="1533"/>
      <c r="AK95" s="1533"/>
      <c r="AL95" s="1049"/>
    </row>
    <row r="96" spans="1:38">
      <c r="A96" s="1048"/>
      <c r="B96" s="1049"/>
      <c r="C96" s="1050"/>
      <c r="D96" s="1048"/>
      <c r="E96" s="1048"/>
      <c r="F96" s="1049"/>
      <c r="G96" s="1533"/>
      <c r="H96" s="1533"/>
      <c r="I96" s="1533"/>
      <c r="J96" s="1533"/>
      <c r="K96" s="1533"/>
      <c r="L96" s="1533"/>
      <c r="M96" s="1533"/>
      <c r="N96" s="1533"/>
      <c r="O96" s="1533"/>
      <c r="P96" s="1533"/>
      <c r="Q96" s="1533"/>
      <c r="R96" s="1533"/>
      <c r="S96" s="1533"/>
      <c r="T96" s="1533"/>
      <c r="U96" s="1533"/>
      <c r="V96" s="1533"/>
      <c r="W96" s="1533"/>
      <c r="X96" s="1533"/>
      <c r="Y96" s="1533"/>
      <c r="Z96" s="1533"/>
      <c r="AA96" s="1533"/>
      <c r="AB96" s="1533"/>
      <c r="AC96" s="1533"/>
      <c r="AD96" s="1533"/>
      <c r="AE96" s="1533"/>
      <c r="AF96" s="1533"/>
      <c r="AG96" s="1533"/>
      <c r="AH96" s="1533"/>
      <c r="AI96" s="1533"/>
      <c r="AJ96" s="1533"/>
      <c r="AK96" s="1533"/>
      <c r="AL96" s="1049"/>
    </row>
    <row r="97" spans="1:38">
      <c r="A97" s="1048"/>
      <c r="B97" s="1049"/>
      <c r="C97" s="1050"/>
      <c r="D97" s="1048"/>
      <c r="E97" s="1048"/>
      <c r="F97" s="1049"/>
      <c r="G97" s="1533"/>
      <c r="H97" s="1533"/>
      <c r="I97" s="1533"/>
      <c r="J97" s="1533"/>
      <c r="K97" s="1533"/>
      <c r="L97" s="1533"/>
      <c r="M97" s="1533"/>
      <c r="N97" s="1533"/>
      <c r="O97" s="1533"/>
      <c r="P97" s="1533"/>
      <c r="Q97" s="1533"/>
      <c r="R97" s="1533"/>
      <c r="S97" s="1533"/>
      <c r="T97" s="1533"/>
      <c r="U97" s="1533"/>
      <c r="V97" s="1533"/>
      <c r="W97" s="1533"/>
      <c r="X97" s="1533"/>
      <c r="Y97" s="1533"/>
      <c r="Z97" s="1533"/>
      <c r="AA97" s="1533"/>
      <c r="AB97" s="1533"/>
      <c r="AC97" s="1533"/>
      <c r="AD97" s="1533"/>
      <c r="AE97" s="1533"/>
      <c r="AF97" s="1533"/>
      <c r="AG97" s="1533"/>
      <c r="AH97" s="1533"/>
      <c r="AI97" s="1533"/>
      <c r="AJ97" s="1533"/>
      <c r="AK97" s="1533"/>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9" t="s">
        <v>1862</v>
      </c>
      <c r="H99" s="1519"/>
      <c r="I99" s="1519"/>
      <c r="J99" s="1519"/>
      <c r="K99" s="1519"/>
      <c r="L99" s="1519"/>
      <c r="M99" s="1519"/>
      <c r="N99" s="1519"/>
      <c r="O99" s="1519"/>
      <c r="P99" s="1519"/>
      <c r="Q99" s="1519"/>
      <c r="R99" s="1519"/>
      <c r="S99" s="1519"/>
      <c r="T99" s="1519"/>
      <c r="U99" s="1519"/>
      <c r="V99" s="1519"/>
      <c r="W99" s="1519"/>
      <c r="X99" s="1519"/>
      <c r="Y99" s="1519"/>
      <c r="Z99" s="1519"/>
      <c r="AA99" s="1519"/>
      <c r="AB99" s="1519"/>
      <c r="AC99" s="1519"/>
      <c r="AD99" s="1519"/>
      <c r="AE99" s="1519"/>
      <c r="AF99" s="1519"/>
      <c r="AG99" s="1519"/>
      <c r="AH99" s="1519"/>
      <c r="AI99" s="1519"/>
      <c r="AJ99" s="1519"/>
      <c r="AK99" s="1519"/>
      <c r="AL99" s="1"/>
    </row>
    <row r="100" spans="1:38">
      <c r="A100" s="283"/>
      <c r="B100" s="1"/>
      <c r="C100" s="358"/>
      <c r="D100" s="283"/>
      <c r="E100" s="283"/>
      <c r="F100" s="1"/>
      <c r="G100" s="1519"/>
      <c r="H100" s="1519"/>
      <c r="I100" s="1519"/>
      <c r="J100" s="1519"/>
      <c r="K100" s="1519"/>
      <c r="L100" s="1519"/>
      <c r="M100" s="1519"/>
      <c r="N100" s="1519"/>
      <c r="O100" s="1519"/>
      <c r="P100" s="1519"/>
      <c r="Q100" s="1519"/>
      <c r="R100" s="1519"/>
      <c r="S100" s="1519"/>
      <c r="T100" s="1519"/>
      <c r="U100" s="1519"/>
      <c r="V100" s="1519"/>
      <c r="W100" s="1519"/>
      <c r="X100" s="1519"/>
      <c r="Y100" s="1519"/>
      <c r="Z100" s="1519"/>
      <c r="AA100" s="1519"/>
      <c r="AB100" s="1519"/>
      <c r="AC100" s="1519"/>
      <c r="AD100" s="1519"/>
      <c r="AE100" s="1519"/>
      <c r="AF100" s="1519"/>
      <c r="AG100" s="1519"/>
      <c r="AH100" s="1519"/>
      <c r="AI100" s="1519"/>
      <c r="AJ100" s="1519"/>
      <c r="AK100" s="1519"/>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9" t="s">
        <v>1863</v>
      </c>
      <c r="H102" s="1519"/>
      <c r="I102" s="1519"/>
      <c r="J102" s="1519"/>
      <c r="K102" s="1519"/>
      <c r="L102" s="1519"/>
      <c r="M102" s="1519"/>
      <c r="N102" s="1519"/>
      <c r="O102" s="1519"/>
      <c r="P102" s="1519"/>
      <c r="Q102" s="1519"/>
      <c r="R102" s="1519"/>
      <c r="S102" s="1519"/>
      <c r="T102" s="1519"/>
      <c r="U102" s="1519"/>
      <c r="V102" s="1519"/>
      <c r="W102" s="1519"/>
      <c r="X102" s="1519"/>
      <c r="Y102" s="1519"/>
      <c r="Z102" s="1519"/>
      <c r="AA102" s="1519"/>
      <c r="AB102" s="1519"/>
      <c r="AC102" s="1519"/>
      <c r="AD102" s="1519"/>
      <c r="AE102" s="1519"/>
      <c r="AF102" s="1519"/>
      <c r="AG102" s="1519"/>
      <c r="AH102" s="1519"/>
      <c r="AI102" s="1519"/>
      <c r="AJ102" s="1519"/>
      <c r="AK102" s="1519"/>
      <c r="AL102" s="1"/>
    </row>
    <row r="103" spans="1:38">
      <c r="A103" s="283"/>
      <c r="B103" s="1"/>
      <c r="C103" s="358"/>
      <c r="D103" s="283"/>
      <c r="E103" s="283"/>
      <c r="F103" s="1"/>
      <c r="G103" s="1519"/>
      <c r="H103" s="1519"/>
      <c r="I103" s="1519"/>
      <c r="J103" s="1519"/>
      <c r="K103" s="1519"/>
      <c r="L103" s="1519"/>
      <c r="M103" s="1519"/>
      <c r="N103" s="1519"/>
      <c r="O103" s="1519"/>
      <c r="P103" s="1519"/>
      <c r="Q103" s="1519"/>
      <c r="R103" s="1519"/>
      <c r="S103" s="1519"/>
      <c r="T103" s="1519"/>
      <c r="U103" s="1519"/>
      <c r="V103" s="1519"/>
      <c r="W103" s="1519"/>
      <c r="X103" s="1519"/>
      <c r="Y103" s="1519"/>
      <c r="Z103" s="1519"/>
      <c r="AA103" s="1519"/>
      <c r="AB103" s="1519"/>
      <c r="AC103" s="1519"/>
      <c r="AD103" s="1519"/>
      <c r="AE103" s="1519"/>
      <c r="AF103" s="1519"/>
      <c r="AG103" s="1519"/>
      <c r="AH103" s="1519"/>
      <c r="AI103" s="1519"/>
      <c r="AJ103" s="1519"/>
      <c r="AK103" s="1519"/>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9" t="s">
        <v>1864</v>
      </c>
      <c r="H105" s="1519"/>
      <c r="I105" s="1519"/>
      <c r="J105" s="1519"/>
      <c r="K105" s="1519"/>
      <c r="L105" s="1519"/>
      <c r="M105" s="1519"/>
      <c r="N105" s="1519"/>
      <c r="O105" s="1519"/>
      <c r="P105" s="1519"/>
      <c r="Q105" s="1519"/>
      <c r="R105" s="1519"/>
      <c r="S105" s="1519"/>
      <c r="T105" s="1519"/>
      <c r="U105" s="1519"/>
      <c r="V105" s="1519"/>
      <c r="W105" s="1519"/>
      <c r="X105" s="1519"/>
      <c r="Y105" s="1519"/>
      <c r="Z105" s="1519"/>
      <c r="AA105" s="1519"/>
      <c r="AB105" s="1519"/>
      <c r="AC105" s="1519"/>
      <c r="AD105" s="1519"/>
      <c r="AE105" s="1519"/>
      <c r="AF105" s="1519"/>
      <c r="AG105" s="1519"/>
      <c r="AH105" s="1519"/>
      <c r="AI105" s="1519"/>
      <c r="AJ105" s="1519"/>
      <c r="AK105" s="1519"/>
      <c r="AL105" s="1"/>
    </row>
    <row r="106" spans="1:38">
      <c r="A106" s="288"/>
      <c r="B106" s="272"/>
      <c r="C106" s="359"/>
      <c r="D106" s="288"/>
      <c r="E106" s="288"/>
      <c r="F106" s="288"/>
      <c r="G106" s="1519"/>
      <c r="H106" s="1519"/>
      <c r="I106" s="1519"/>
      <c r="J106" s="1519"/>
      <c r="K106" s="1519"/>
      <c r="L106" s="1519"/>
      <c r="M106" s="1519"/>
      <c r="N106" s="1519"/>
      <c r="O106" s="1519"/>
      <c r="P106" s="1519"/>
      <c r="Q106" s="1519"/>
      <c r="R106" s="1519"/>
      <c r="S106" s="1519"/>
      <c r="T106" s="1519"/>
      <c r="U106" s="1519"/>
      <c r="V106" s="1519"/>
      <c r="W106" s="1519"/>
      <c r="X106" s="1519"/>
      <c r="Y106" s="1519"/>
      <c r="Z106" s="1519"/>
      <c r="AA106" s="1519"/>
      <c r="AB106" s="1519"/>
      <c r="AC106" s="1519"/>
      <c r="AD106" s="1519"/>
      <c r="AE106" s="1519"/>
      <c r="AF106" s="1519"/>
      <c r="AG106" s="1519"/>
      <c r="AH106" s="1519"/>
      <c r="AI106" s="1519"/>
      <c r="AJ106" s="1519"/>
      <c r="AK106" s="1519"/>
      <c r="AL106" s="272"/>
    </row>
    <row r="107" spans="1:38">
      <c r="A107" s="288"/>
      <c r="B107" s="272"/>
      <c r="C107" s="359"/>
      <c r="D107" s="359"/>
      <c r="E107" s="288"/>
      <c r="F107" s="288"/>
      <c r="G107" s="1519"/>
      <c r="H107" s="1519"/>
      <c r="I107" s="1519"/>
      <c r="J107" s="1519"/>
      <c r="K107" s="1519"/>
      <c r="L107" s="1519"/>
      <c r="M107" s="1519"/>
      <c r="N107" s="1519"/>
      <c r="O107" s="1519"/>
      <c r="P107" s="1519"/>
      <c r="Q107" s="1519"/>
      <c r="R107" s="1519"/>
      <c r="S107" s="1519"/>
      <c r="T107" s="1519"/>
      <c r="U107" s="1519"/>
      <c r="V107" s="1519"/>
      <c r="W107" s="1519"/>
      <c r="X107" s="1519"/>
      <c r="Y107" s="1519"/>
      <c r="Z107" s="1519"/>
      <c r="AA107" s="1519"/>
      <c r="AB107" s="1519"/>
      <c r="AC107" s="1519"/>
      <c r="AD107" s="1519"/>
      <c r="AE107" s="1519"/>
      <c r="AF107" s="1519"/>
      <c r="AG107" s="1519"/>
      <c r="AH107" s="1519"/>
      <c r="AI107" s="1519"/>
      <c r="AJ107" s="1519"/>
      <c r="AK107" s="1519"/>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9" t="s">
        <v>1865</v>
      </c>
      <c r="H109" s="1519"/>
      <c r="I109" s="1519"/>
      <c r="J109" s="1519"/>
      <c r="K109" s="1519"/>
      <c r="L109" s="1519"/>
      <c r="M109" s="1519"/>
      <c r="N109" s="1519"/>
      <c r="O109" s="1519"/>
      <c r="P109" s="1519"/>
      <c r="Q109" s="1519"/>
      <c r="R109" s="1519"/>
      <c r="S109" s="1519"/>
      <c r="T109" s="1519"/>
      <c r="U109" s="1519"/>
      <c r="V109" s="1519"/>
      <c r="W109" s="1519"/>
      <c r="X109" s="1519"/>
      <c r="Y109" s="1519"/>
      <c r="Z109" s="1519"/>
      <c r="AA109" s="1519"/>
      <c r="AB109" s="1519"/>
      <c r="AC109" s="1519"/>
      <c r="AD109" s="1519"/>
      <c r="AE109" s="1519"/>
      <c r="AF109" s="1519"/>
      <c r="AG109" s="1519"/>
      <c r="AH109" s="1519"/>
      <c r="AI109" s="1519"/>
      <c r="AJ109" s="1519"/>
      <c r="AK109" s="1519"/>
      <c r="AL109" s="1"/>
    </row>
    <row r="110" spans="1:38">
      <c r="A110" s="283"/>
      <c r="B110" s="1"/>
      <c r="C110" s="358"/>
      <c r="D110" s="358"/>
      <c r="E110" s="283"/>
      <c r="F110" s="283"/>
      <c r="G110" s="1519"/>
      <c r="H110" s="1519"/>
      <c r="I110" s="1519"/>
      <c r="J110" s="1519"/>
      <c r="K110" s="1519"/>
      <c r="L110" s="1519"/>
      <c r="M110" s="1519"/>
      <c r="N110" s="1519"/>
      <c r="O110" s="1519"/>
      <c r="P110" s="1519"/>
      <c r="Q110" s="1519"/>
      <c r="R110" s="1519"/>
      <c r="S110" s="1519"/>
      <c r="T110" s="1519"/>
      <c r="U110" s="1519"/>
      <c r="V110" s="1519"/>
      <c r="W110" s="1519"/>
      <c r="X110" s="1519"/>
      <c r="Y110" s="1519"/>
      <c r="Z110" s="1519"/>
      <c r="AA110" s="1519"/>
      <c r="AB110" s="1519"/>
      <c r="AC110" s="1519"/>
      <c r="AD110" s="1519"/>
      <c r="AE110" s="1519"/>
      <c r="AF110" s="1519"/>
      <c r="AG110" s="1519"/>
      <c r="AH110" s="1519"/>
      <c r="AI110" s="1519"/>
      <c r="AJ110" s="1519"/>
      <c r="AK110" s="1519"/>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7" t="s">
        <v>1866</v>
      </c>
      <c r="F112" s="1527"/>
      <c r="G112" s="1527"/>
      <c r="H112" s="1527"/>
      <c r="I112" s="1527"/>
      <c r="J112" s="1527"/>
      <c r="K112" s="1527"/>
      <c r="L112" s="1527"/>
      <c r="M112" s="1527"/>
      <c r="N112" s="1527"/>
      <c r="O112" s="1527"/>
      <c r="P112" s="1527"/>
      <c r="Q112" s="1527"/>
      <c r="R112" s="1527"/>
      <c r="S112" s="1527"/>
      <c r="T112" s="1527"/>
      <c r="U112" s="1527"/>
      <c r="V112" s="1527"/>
      <c r="W112" s="1527"/>
      <c r="X112" s="1527"/>
      <c r="Y112" s="1527"/>
      <c r="Z112" s="1527"/>
      <c r="AA112" s="1527"/>
      <c r="AB112" s="1527"/>
      <c r="AC112" s="1527"/>
      <c r="AD112" s="1527"/>
      <c r="AE112" s="1527"/>
      <c r="AF112" s="1527"/>
      <c r="AG112" s="1527"/>
      <c r="AH112" s="1527"/>
      <c r="AI112" s="1527"/>
      <c r="AJ112" s="1527"/>
      <c r="AK112" s="1527"/>
      <c r="AL112" s="1"/>
    </row>
    <row r="113" spans="1:38">
      <c r="A113" s="283"/>
      <c r="B113" s="1"/>
      <c r="C113" s="1"/>
      <c r="D113" s="1051"/>
      <c r="E113" s="1527"/>
      <c r="F113" s="1527"/>
      <c r="G113" s="1527"/>
      <c r="H113" s="1527"/>
      <c r="I113" s="1527"/>
      <c r="J113" s="1527"/>
      <c r="K113" s="1527"/>
      <c r="L113" s="1527"/>
      <c r="M113" s="1527"/>
      <c r="N113" s="1527"/>
      <c r="O113" s="1527"/>
      <c r="P113" s="1527"/>
      <c r="Q113" s="1527"/>
      <c r="R113" s="1527"/>
      <c r="S113" s="1527"/>
      <c r="T113" s="1527"/>
      <c r="U113" s="1527"/>
      <c r="V113" s="1527"/>
      <c r="W113" s="1527"/>
      <c r="X113" s="1527"/>
      <c r="Y113" s="1527"/>
      <c r="Z113" s="1527"/>
      <c r="AA113" s="1527"/>
      <c r="AB113" s="1527"/>
      <c r="AC113" s="1527"/>
      <c r="AD113" s="1527"/>
      <c r="AE113" s="1527"/>
      <c r="AF113" s="1527"/>
      <c r="AG113" s="1527"/>
      <c r="AH113" s="1527"/>
      <c r="AI113" s="1527"/>
      <c r="AJ113" s="1527"/>
      <c r="AK113" s="1527"/>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1279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2065</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9" t="s">
        <v>1869</v>
      </c>
      <c r="F145" s="1519"/>
      <c r="G145" s="1519"/>
      <c r="H145" s="1519"/>
      <c r="I145" s="1519"/>
      <c r="J145" s="1519"/>
      <c r="K145" s="1519"/>
      <c r="L145" s="1519"/>
      <c r="M145" s="1519"/>
      <c r="N145" s="1519"/>
      <c r="O145" s="1519"/>
      <c r="P145" s="1519"/>
      <c r="Q145" s="1519"/>
      <c r="R145" s="1519"/>
      <c r="S145" s="1519"/>
      <c r="T145" s="1519"/>
      <c r="U145" s="1519"/>
      <c r="V145" s="1519"/>
      <c r="W145" s="1519"/>
      <c r="X145" s="1519"/>
      <c r="Y145" s="1519"/>
      <c r="Z145" s="1519"/>
      <c r="AA145" s="1519"/>
      <c r="AB145" s="1519"/>
      <c r="AC145" s="1519"/>
      <c r="AD145" s="1519"/>
      <c r="AE145" s="1519"/>
      <c r="AF145" s="1519"/>
      <c r="AG145" s="1519"/>
      <c r="AH145" s="1519"/>
      <c r="AI145" s="1519"/>
      <c r="AJ145" s="1519"/>
      <c r="AK145" s="1519"/>
      <c r="AL145" s="1"/>
    </row>
    <row r="146" spans="1:38">
      <c r="A146" s="1"/>
      <c r="B146" s="1"/>
      <c r="C146" s="1"/>
      <c r="D146" s="1"/>
      <c r="E146" s="1519"/>
      <c r="F146" s="1519"/>
      <c r="G146" s="1519"/>
      <c r="H146" s="1519"/>
      <c r="I146" s="1519"/>
      <c r="J146" s="1519"/>
      <c r="K146" s="1519"/>
      <c r="L146" s="1519"/>
      <c r="M146" s="1519"/>
      <c r="N146" s="1519"/>
      <c r="O146" s="1519"/>
      <c r="P146" s="1519"/>
      <c r="Q146" s="1519"/>
      <c r="R146" s="1519"/>
      <c r="S146" s="1519"/>
      <c r="T146" s="1519"/>
      <c r="U146" s="1519"/>
      <c r="V146" s="1519"/>
      <c r="W146" s="1519"/>
      <c r="X146" s="1519"/>
      <c r="Y146" s="1519"/>
      <c r="Z146" s="1519"/>
      <c r="AA146" s="1519"/>
      <c r="AB146" s="1519"/>
      <c r="AC146" s="1519"/>
      <c r="AD146" s="1519"/>
      <c r="AE146" s="1519"/>
      <c r="AF146" s="1519"/>
      <c r="AG146" s="1519"/>
      <c r="AH146" s="1519"/>
      <c r="AI146" s="1519"/>
      <c r="AJ146" s="1519"/>
      <c r="AK146" s="151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9" t="s">
        <v>1870</v>
      </c>
      <c r="H158" s="1519"/>
      <c r="I158" s="1519"/>
      <c r="J158" s="1519"/>
      <c r="K158" s="1519"/>
      <c r="L158" s="1519"/>
      <c r="M158" s="1519"/>
      <c r="N158" s="1519"/>
      <c r="O158" s="1519"/>
      <c r="P158" s="1519"/>
      <c r="Q158" s="1519"/>
      <c r="R158" s="1519"/>
      <c r="S158" s="1519"/>
      <c r="T158" s="1519"/>
      <c r="U158" s="1519"/>
      <c r="V158" s="1519"/>
      <c r="W158" s="1519"/>
      <c r="X158" s="1519"/>
      <c r="Y158" s="1519"/>
      <c r="Z158" s="1519"/>
      <c r="AA158" s="1519"/>
      <c r="AB158" s="1519"/>
      <c r="AC158" s="1519"/>
      <c r="AD158" s="1519"/>
      <c r="AE158" s="1519"/>
      <c r="AF158" s="1519"/>
      <c r="AG158" s="1519"/>
      <c r="AH158" s="1519"/>
      <c r="AI158" s="1519"/>
      <c r="AJ158" s="1519"/>
      <c r="AK158" s="1519"/>
      <c r="AL158" s="1"/>
    </row>
    <row r="159" spans="1:38">
      <c r="A159" s="1"/>
      <c r="B159" s="1"/>
      <c r="C159" s="1"/>
      <c r="D159" s="1"/>
      <c r="E159" s="1"/>
      <c r="F159" s="1"/>
      <c r="G159" s="1519"/>
      <c r="H159" s="1519"/>
      <c r="I159" s="1519"/>
      <c r="J159" s="1519"/>
      <c r="K159" s="1519"/>
      <c r="L159" s="1519"/>
      <c r="M159" s="1519"/>
      <c r="N159" s="1519"/>
      <c r="O159" s="1519"/>
      <c r="P159" s="1519"/>
      <c r="Q159" s="1519"/>
      <c r="R159" s="1519"/>
      <c r="S159" s="1519"/>
      <c r="T159" s="1519"/>
      <c r="U159" s="1519"/>
      <c r="V159" s="1519"/>
      <c r="W159" s="1519"/>
      <c r="X159" s="1519"/>
      <c r="Y159" s="1519"/>
      <c r="Z159" s="1519"/>
      <c r="AA159" s="1519"/>
      <c r="AB159" s="1519"/>
      <c r="AC159" s="1519"/>
      <c r="AD159" s="1519"/>
      <c r="AE159" s="1519"/>
      <c r="AF159" s="1519"/>
      <c r="AG159" s="1519"/>
      <c r="AH159" s="1519"/>
      <c r="AI159" s="1519"/>
      <c r="AJ159" s="1519"/>
      <c r="AK159" s="151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2118</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1731</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1983</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1413</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1289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19" t="s">
        <v>1871</v>
      </c>
      <c r="H222" s="1519"/>
      <c r="I222" s="1519"/>
      <c r="J222" s="1519"/>
      <c r="K222" s="1519"/>
      <c r="L222" s="1519"/>
      <c r="M222" s="1519"/>
      <c r="N222" s="1519"/>
      <c r="O222" s="1519"/>
      <c r="P222" s="1519"/>
      <c r="Q222" s="1519"/>
      <c r="R222" s="1519"/>
      <c r="S222" s="1519"/>
      <c r="T222" s="1519"/>
      <c r="U222" s="1519"/>
      <c r="V222" s="1519"/>
      <c r="W222" s="1519"/>
      <c r="X222" s="1519"/>
      <c r="Y222" s="1519"/>
      <c r="Z222" s="1519"/>
      <c r="AA222" s="1519"/>
      <c r="AB222" s="1519"/>
      <c r="AC222" s="1519"/>
      <c r="AD222" s="1519"/>
      <c r="AE222" s="1519"/>
      <c r="AF222" s="1519"/>
      <c r="AG222" s="1519"/>
      <c r="AH222" s="1519"/>
      <c r="AI222" s="1519"/>
      <c r="AJ222" s="1519"/>
      <c r="AK222" s="1519"/>
      <c r="AL222" s="1"/>
    </row>
    <row r="223" spans="1:38">
      <c r="A223" s="1"/>
      <c r="B223" s="283"/>
      <c r="C223" s="283"/>
      <c r="D223" s="358"/>
      <c r="E223" s="1"/>
      <c r="F223" s="1"/>
      <c r="G223" s="1519"/>
      <c r="H223" s="1519"/>
      <c r="I223" s="1519"/>
      <c r="J223" s="1519"/>
      <c r="K223" s="1519"/>
      <c r="L223" s="1519"/>
      <c r="M223" s="1519"/>
      <c r="N223" s="1519"/>
      <c r="O223" s="1519"/>
      <c r="P223" s="1519"/>
      <c r="Q223" s="1519"/>
      <c r="R223" s="1519"/>
      <c r="S223" s="1519"/>
      <c r="T223" s="1519"/>
      <c r="U223" s="1519"/>
      <c r="V223" s="1519"/>
      <c r="W223" s="1519"/>
      <c r="X223" s="1519"/>
      <c r="Y223" s="1519"/>
      <c r="Z223" s="1519"/>
      <c r="AA223" s="1519"/>
      <c r="AB223" s="1519"/>
      <c r="AC223" s="1519"/>
      <c r="AD223" s="1519"/>
      <c r="AE223" s="1519"/>
      <c r="AF223" s="1519"/>
      <c r="AG223" s="1519"/>
      <c r="AH223" s="1519"/>
      <c r="AI223" s="1519"/>
      <c r="AJ223" s="1519"/>
      <c r="AK223" s="151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19" t="s">
        <v>1872</v>
      </c>
      <c r="H233" s="1519"/>
      <c r="I233" s="1519"/>
      <c r="J233" s="1519"/>
      <c r="K233" s="1519"/>
      <c r="L233" s="1519"/>
      <c r="M233" s="1519"/>
      <c r="N233" s="1519"/>
      <c r="O233" s="1519"/>
      <c r="P233" s="1519"/>
      <c r="Q233" s="1519"/>
      <c r="R233" s="1519"/>
      <c r="S233" s="1519"/>
      <c r="T233" s="1519"/>
      <c r="U233" s="1519"/>
      <c r="V233" s="1519"/>
      <c r="W233" s="1519"/>
      <c r="X233" s="1519"/>
      <c r="Y233" s="1519"/>
      <c r="Z233" s="1519"/>
      <c r="AA233" s="1519"/>
      <c r="AB233" s="1519"/>
      <c r="AC233" s="1519"/>
      <c r="AD233" s="1519"/>
      <c r="AE233" s="1519"/>
      <c r="AF233" s="1519"/>
      <c r="AG233" s="1519"/>
      <c r="AH233" s="1519"/>
      <c r="AI233" s="1519"/>
      <c r="AJ233" s="1519"/>
      <c r="AK233" s="1519"/>
      <c r="AL233" s="1"/>
    </row>
    <row r="234" spans="1:38">
      <c r="A234" s="1"/>
      <c r="B234" s="283"/>
      <c r="C234" s="283"/>
      <c r="D234" s="1"/>
      <c r="E234" s="1"/>
      <c r="F234" s="283"/>
      <c r="G234" s="1519"/>
      <c r="H234" s="1519"/>
      <c r="I234" s="1519"/>
      <c r="J234" s="1519"/>
      <c r="K234" s="1519"/>
      <c r="L234" s="1519"/>
      <c r="M234" s="1519"/>
      <c r="N234" s="1519"/>
      <c r="O234" s="1519"/>
      <c r="P234" s="1519"/>
      <c r="Q234" s="1519"/>
      <c r="R234" s="1519"/>
      <c r="S234" s="1519"/>
      <c r="T234" s="1519"/>
      <c r="U234" s="1519"/>
      <c r="V234" s="1519"/>
      <c r="W234" s="1519"/>
      <c r="X234" s="1519"/>
      <c r="Y234" s="1519"/>
      <c r="Z234" s="1519"/>
      <c r="AA234" s="1519"/>
      <c r="AB234" s="1519"/>
      <c r="AC234" s="1519"/>
      <c r="AD234" s="1519"/>
      <c r="AE234" s="1519"/>
      <c r="AF234" s="1519"/>
      <c r="AG234" s="1519"/>
      <c r="AH234" s="1519"/>
      <c r="AI234" s="1519"/>
      <c r="AJ234" s="1519"/>
      <c r="AK234" s="1519"/>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19" t="s">
        <v>1873</v>
      </c>
      <c r="H236" s="1519"/>
      <c r="I236" s="1519"/>
      <c r="J236" s="1519"/>
      <c r="K236" s="1519"/>
      <c r="L236" s="1519"/>
      <c r="M236" s="1519"/>
      <c r="N236" s="1519"/>
      <c r="O236" s="1519"/>
      <c r="P236" s="1519"/>
      <c r="Q236" s="1519"/>
      <c r="R236" s="1519"/>
      <c r="S236" s="1519"/>
      <c r="T236" s="1519"/>
      <c r="U236" s="1519"/>
      <c r="V236" s="1519"/>
      <c r="W236" s="1519"/>
      <c r="X236" s="1519"/>
      <c r="Y236" s="1519"/>
      <c r="Z236" s="1519"/>
      <c r="AA236" s="1519"/>
      <c r="AB236" s="1519"/>
      <c r="AC236" s="1519"/>
      <c r="AD236" s="1519"/>
      <c r="AE236" s="1519"/>
      <c r="AF236" s="1519"/>
      <c r="AG236" s="1519"/>
      <c r="AH236" s="1519"/>
      <c r="AI236" s="1519"/>
      <c r="AJ236" s="1519"/>
      <c r="AK236" s="1519"/>
      <c r="AL236" s="1"/>
    </row>
    <row r="237" spans="1:38">
      <c r="A237" s="1"/>
      <c r="B237" s="283"/>
      <c r="C237" s="283"/>
      <c r="D237" s="1"/>
      <c r="E237" s="1"/>
      <c r="F237" s="283"/>
      <c r="G237" s="1519"/>
      <c r="H237" s="1519"/>
      <c r="I237" s="1519"/>
      <c r="J237" s="1519"/>
      <c r="K237" s="1519"/>
      <c r="L237" s="1519"/>
      <c r="M237" s="1519"/>
      <c r="N237" s="1519"/>
      <c r="O237" s="1519"/>
      <c r="P237" s="1519"/>
      <c r="Q237" s="1519"/>
      <c r="R237" s="1519"/>
      <c r="S237" s="1519"/>
      <c r="T237" s="1519"/>
      <c r="U237" s="1519"/>
      <c r="V237" s="1519"/>
      <c r="W237" s="1519"/>
      <c r="X237" s="1519"/>
      <c r="Y237" s="1519"/>
      <c r="Z237" s="1519"/>
      <c r="AA237" s="1519"/>
      <c r="AB237" s="1519"/>
      <c r="AC237" s="1519"/>
      <c r="AD237" s="1519"/>
      <c r="AE237" s="1519"/>
      <c r="AF237" s="1519"/>
      <c r="AG237" s="1519"/>
      <c r="AH237" s="1519"/>
      <c r="AI237" s="1519"/>
      <c r="AJ237" s="1519"/>
      <c r="AK237" s="151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1299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1732</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1733</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1322</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1298</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1295</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1735</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1736</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1991</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28" t="s">
        <v>1992</v>
      </c>
      <c r="F343" s="1528"/>
      <c r="G343" s="1528"/>
      <c r="H343" s="1528"/>
      <c r="I343" s="1528"/>
      <c r="J343" s="1528"/>
      <c r="K343" s="1528"/>
      <c r="L343" s="1528"/>
      <c r="M343" s="1528"/>
      <c r="N343" s="1528"/>
      <c r="O343" s="1528"/>
      <c r="P343" s="1528"/>
      <c r="Q343" s="1528"/>
      <c r="R343" s="1528"/>
      <c r="S343" s="1528"/>
      <c r="T343" s="1528"/>
      <c r="U343" s="1528"/>
      <c r="V343" s="1528"/>
      <c r="W343" s="1528"/>
      <c r="X343" s="1528"/>
      <c r="Y343" s="1528"/>
      <c r="Z343" s="1528"/>
      <c r="AA343" s="1528"/>
      <c r="AB343" s="1528"/>
      <c r="AC343" s="1528"/>
      <c r="AD343" s="1528"/>
      <c r="AE343" s="1528"/>
      <c r="AF343" s="1528"/>
      <c r="AG343" s="1528"/>
      <c r="AH343" s="1528"/>
      <c r="AI343" s="1528"/>
      <c r="AJ343" s="1528"/>
      <c r="AK343" s="1528"/>
      <c r="AL343" s="1"/>
    </row>
    <row r="344" spans="1:38">
      <c r="A344" s="1"/>
      <c r="B344" s="358"/>
      <c r="C344" s="1"/>
      <c r="D344" s="1"/>
      <c r="E344" s="1528"/>
      <c r="F344" s="1528"/>
      <c r="G344" s="1528"/>
      <c r="H344" s="1528"/>
      <c r="I344" s="1528"/>
      <c r="J344" s="1528"/>
      <c r="K344" s="1528"/>
      <c r="L344" s="1528"/>
      <c r="M344" s="1528"/>
      <c r="N344" s="1528"/>
      <c r="O344" s="1528"/>
      <c r="P344" s="1528"/>
      <c r="Q344" s="1528"/>
      <c r="R344" s="1528"/>
      <c r="S344" s="1528"/>
      <c r="T344" s="1528"/>
      <c r="U344" s="1528"/>
      <c r="V344" s="1528"/>
      <c r="W344" s="1528"/>
      <c r="X344" s="1528"/>
      <c r="Y344" s="1528"/>
      <c r="Z344" s="1528"/>
      <c r="AA344" s="1528"/>
      <c r="AB344" s="1528"/>
      <c r="AC344" s="1528"/>
      <c r="AD344" s="1528"/>
      <c r="AE344" s="1528"/>
      <c r="AF344" s="1528"/>
      <c r="AG344" s="1528"/>
      <c r="AH344" s="1528"/>
      <c r="AI344" s="1528"/>
      <c r="AJ344" s="1528"/>
      <c r="AK344" s="1528"/>
      <c r="AL344" s="1"/>
    </row>
    <row r="345" spans="1:38">
      <c r="A345" s="1"/>
      <c r="B345" s="358"/>
      <c r="C345" s="1"/>
      <c r="D345" s="1"/>
      <c r="E345" s="1528"/>
      <c r="F345" s="1528"/>
      <c r="G345" s="1528"/>
      <c r="H345" s="1528"/>
      <c r="I345" s="1528"/>
      <c r="J345" s="1528"/>
      <c r="K345" s="1528"/>
      <c r="L345" s="1528"/>
      <c r="M345" s="1528"/>
      <c r="N345" s="1528"/>
      <c r="O345" s="1528"/>
      <c r="P345" s="1528"/>
      <c r="Q345" s="1528"/>
      <c r="R345" s="1528"/>
      <c r="S345" s="1528"/>
      <c r="T345" s="1528"/>
      <c r="U345" s="1528"/>
      <c r="V345" s="1528"/>
      <c r="W345" s="1528"/>
      <c r="X345" s="1528"/>
      <c r="Y345" s="1528"/>
      <c r="Z345" s="1528"/>
      <c r="AA345" s="1528"/>
      <c r="AB345" s="1528"/>
      <c r="AC345" s="1528"/>
      <c r="AD345" s="1528"/>
      <c r="AE345" s="1528"/>
      <c r="AF345" s="1528"/>
      <c r="AG345" s="1528"/>
      <c r="AH345" s="1528"/>
      <c r="AI345" s="1528"/>
      <c r="AJ345" s="1528"/>
      <c r="AK345" s="1528"/>
      <c r="AL345" s="1"/>
    </row>
    <row r="346" spans="1:38">
      <c r="A346" s="1"/>
      <c r="B346" s="358"/>
      <c r="C346" s="1"/>
      <c r="D346" s="1"/>
      <c r="E346" s="1528"/>
      <c r="F346" s="1528"/>
      <c r="G346" s="1528"/>
      <c r="H346" s="1528"/>
      <c r="I346" s="1528"/>
      <c r="J346" s="1528"/>
      <c r="K346" s="1528"/>
      <c r="L346" s="1528"/>
      <c r="M346" s="1528"/>
      <c r="N346" s="1528"/>
      <c r="O346" s="1528"/>
      <c r="P346" s="1528"/>
      <c r="Q346" s="1528"/>
      <c r="R346" s="1528"/>
      <c r="S346" s="1528"/>
      <c r="T346" s="1528"/>
      <c r="U346" s="1528"/>
      <c r="V346" s="1528"/>
      <c r="W346" s="1528"/>
      <c r="X346" s="1528"/>
      <c r="Y346" s="1528"/>
      <c r="Z346" s="1528"/>
      <c r="AA346" s="1528"/>
      <c r="AB346" s="1528"/>
      <c r="AC346" s="1528"/>
      <c r="AD346" s="1528"/>
      <c r="AE346" s="1528"/>
      <c r="AF346" s="1528"/>
      <c r="AG346" s="1528"/>
      <c r="AH346" s="1528"/>
      <c r="AI346" s="1528"/>
      <c r="AJ346" s="1528"/>
      <c r="AK346" s="1528"/>
      <c r="AL346" s="1"/>
    </row>
    <row r="347" spans="1:38">
      <c r="A347" s="1"/>
      <c r="B347" s="358"/>
      <c r="C347" s="1"/>
      <c r="D347" s="1"/>
      <c r="E347" s="1528"/>
      <c r="F347" s="1528"/>
      <c r="G347" s="1528"/>
      <c r="H347" s="1528"/>
      <c r="I347" s="1528"/>
      <c r="J347" s="1528"/>
      <c r="K347" s="1528"/>
      <c r="L347" s="1528"/>
      <c r="M347" s="1528"/>
      <c r="N347" s="1528"/>
      <c r="O347" s="1528"/>
      <c r="P347" s="1528"/>
      <c r="Q347" s="1528"/>
      <c r="R347" s="1528"/>
      <c r="S347" s="1528"/>
      <c r="T347" s="1528"/>
      <c r="U347" s="1528"/>
      <c r="V347" s="1528"/>
      <c r="W347" s="1528"/>
      <c r="X347" s="1528"/>
      <c r="Y347" s="1528"/>
      <c r="Z347" s="1528"/>
      <c r="AA347" s="1528"/>
      <c r="AB347" s="1528"/>
      <c r="AC347" s="1528"/>
      <c r="AD347" s="1528"/>
      <c r="AE347" s="1528"/>
      <c r="AF347" s="1528"/>
      <c r="AG347" s="1528"/>
      <c r="AH347" s="1528"/>
      <c r="AI347" s="1528"/>
      <c r="AJ347" s="1528"/>
      <c r="AK347" s="1528"/>
      <c r="AL347" s="1"/>
    </row>
    <row r="348" spans="1:38">
      <c r="A348" s="1"/>
      <c r="B348" s="358"/>
      <c r="C348" s="1"/>
      <c r="D348" s="1"/>
      <c r="E348" s="283" t="s">
        <v>983</v>
      </c>
      <c r="F348" s="1519" t="s">
        <v>1993</v>
      </c>
      <c r="G348" s="1526"/>
      <c r="H348" s="1526"/>
      <c r="I348" s="1526"/>
      <c r="J348" s="1526"/>
      <c r="K348" s="1526"/>
      <c r="L348" s="1526"/>
      <c r="M348" s="1526"/>
      <c r="N348" s="1526"/>
      <c r="O348" s="1526"/>
      <c r="P348" s="1526"/>
      <c r="Q348" s="1526"/>
      <c r="R348" s="1526"/>
      <c r="S348" s="1526"/>
      <c r="T348" s="1526"/>
      <c r="U348" s="1526"/>
      <c r="V348" s="1526"/>
      <c r="W348" s="1526"/>
      <c r="X348" s="1526"/>
      <c r="Y348" s="1526"/>
      <c r="Z348" s="1526"/>
      <c r="AA348" s="1526"/>
      <c r="AB348" s="1526"/>
      <c r="AC348" s="1526"/>
      <c r="AD348" s="1526"/>
      <c r="AE348" s="1526"/>
      <c r="AF348" s="1526"/>
      <c r="AG348" s="1526"/>
      <c r="AH348" s="1526"/>
      <c r="AI348" s="1526"/>
      <c r="AJ348" s="1526"/>
      <c r="AK348" s="1526"/>
      <c r="AL348" s="1"/>
    </row>
    <row r="349" spans="1:38">
      <c r="A349" s="1"/>
      <c r="B349" s="358"/>
      <c r="C349" s="1"/>
      <c r="D349" s="1"/>
      <c r="E349" s="283"/>
      <c r="F349" s="1519"/>
      <c r="G349" s="1526"/>
      <c r="H349" s="1526"/>
      <c r="I349" s="1526"/>
      <c r="J349" s="1526"/>
      <c r="K349" s="1526"/>
      <c r="L349" s="1526"/>
      <c r="M349" s="1526"/>
      <c r="N349" s="1526"/>
      <c r="O349" s="1526"/>
      <c r="P349" s="1526"/>
      <c r="Q349" s="1526"/>
      <c r="R349" s="1526"/>
      <c r="S349" s="1526"/>
      <c r="T349" s="1526"/>
      <c r="U349" s="1526"/>
      <c r="V349" s="1526"/>
      <c r="W349" s="1526"/>
      <c r="X349" s="1526"/>
      <c r="Y349" s="1526"/>
      <c r="Z349" s="1526"/>
      <c r="AA349" s="1526"/>
      <c r="AB349" s="1526"/>
      <c r="AC349" s="1526"/>
      <c r="AD349" s="1526"/>
      <c r="AE349" s="1526"/>
      <c r="AF349" s="1526"/>
      <c r="AG349" s="1526"/>
      <c r="AH349" s="1526"/>
      <c r="AI349" s="1526"/>
      <c r="AJ349" s="1526"/>
      <c r="AK349" s="1526"/>
      <c r="AL349" s="1"/>
    </row>
    <row r="350" spans="1:38">
      <c r="A350" s="1"/>
      <c r="B350" s="358"/>
      <c r="C350" s="1"/>
      <c r="D350" s="1"/>
      <c r="E350" s="283"/>
      <c r="F350" s="1526"/>
      <c r="G350" s="1526"/>
      <c r="H350" s="1526"/>
      <c r="I350" s="1526"/>
      <c r="J350" s="1526"/>
      <c r="K350" s="1526"/>
      <c r="L350" s="1526"/>
      <c r="M350" s="1526"/>
      <c r="N350" s="1526"/>
      <c r="O350" s="1526"/>
      <c r="P350" s="1526"/>
      <c r="Q350" s="1526"/>
      <c r="R350" s="1526"/>
      <c r="S350" s="1526"/>
      <c r="T350" s="1526"/>
      <c r="U350" s="1526"/>
      <c r="V350" s="1526"/>
      <c r="W350" s="1526"/>
      <c r="X350" s="1526"/>
      <c r="Y350" s="1526"/>
      <c r="Z350" s="1526"/>
      <c r="AA350" s="1526"/>
      <c r="AB350" s="1526"/>
      <c r="AC350" s="1526"/>
      <c r="AD350" s="1526"/>
      <c r="AE350" s="1526"/>
      <c r="AF350" s="1526"/>
      <c r="AG350" s="1526"/>
      <c r="AH350" s="1526"/>
      <c r="AI350" s="1526"/>
      <c r="AJ350" s="1526"/>
      <c r="AK350" s="1526"/>
      <c r="AL350" s="1"/>
    </row>
    <row r="351" spans="1:38">
      <c r="A351" s="1"/>
      <c r="B351" s="358"/>
      <c r="C351" s="1"/>
      <c r="D351" s="1"/>
      <c r="E351" s="283"/>
      <c r="F351" s="1526"/>
      <c r="G351" s="1526"/>
      <c r="H351" s="1526"/>
      <c r="I351" s="1526"/>
      <c r="J351" s="1526"/>
      <c r="K351" s="1526"/>
      <c r="L351" s="1526"/>
      <c r="M351" s="1526"/>
      <c r="N351" s="1526"/>
      <c r="O351" s="1526"/>
      <c r="P351" s="1526"/>
      <c r="Q351" s="1526"/>
      <c r="R351" s="1526"/>
      <c r="S351" s="1526"/>
      <c r="T351" s="1526"/>
      <c r="U351" s="1526"/>
      <c r="V351" s="1526"/>
      <c r="W351" s="1526"/>
      <c r="X351" s="1526"/>
      <c r="Y351" s="1526"/>
      <c r="Z351" s="1526"/>
      <c r="AA351" s="1526"/>
      <c r="AB351" s="1526"/>
      <c r="AC351" s="1526"/>
      <c r="AD351" s="1526"/>
      <c r="AE351" s="1526"/>
      <c r="AF351" s="1526"/>
      <c r="AG351" s="1526"/>
      <c r="AH351" s="1526"/>
      <c r="AI351" s="1526"/>
      <c r="AJ351" s="1526"/>
      <c r="AK351" s="1526"/>
      <c r="AL351" s="1"/>
    </row>
    <row r="352" spans="1:38">
      <c r="A352" s="1"/>
      <c r="B352" s="358"/>
      <c r="C352" s="1"/>
      <c r="D352" s="1"/>
      <c r="E352" s="283" t="s">
        <v>984</v>
      </c>
      <c r="F352" s="1519" t="s">
        <v>1994</v>
      </c>
      <c r="G352" s="1526"/>
      <c r="H352" s="1526"/>
      <c r="I352" s="1526"/>
      <c r="J352" s="1526"/>
      <c r="K352" s="1526"/>
      <c r="L352" s="1526"/>
      <c r="M352" s="1526"/>
      <c r="N352" s="1526"/>
      <c r="O352" s="1526"/>
      <c r="P352" s="1526"/>
      <c r="Q352" s="1526"/>
      <c r="R352" s="1526"/>
      <c r="S352" s="1526"/>
      <c r="T352" s="1526"/>
      <c r="U352" s="1526"/>
      <c r="V352" s="1526"/>
      <c r="W352" s="1526"/>
      <c r="X352" s="1526"/>
      <c r="Y352" s="1526"/>
      <c r="Z352" s="1526"/>
      <c r="AA352" s="1526"/>
      <c r="AB352" s="1526"/>
      <c r="AC352" s="1526"/>
      <c r="AD352" s="1526"/>
      <c r="AE352" s="1526"/>
      <c r="AF352" s="1526"/>
      <c r="AG352" s="1526"/>
      <c r="AH352" s="1526"/>
      <c r="AI352" s="1526"/>
      <c r="AJ352" s="1526"/>
      <c r="AK352" s="1526"/>
      <c r="AL352" s="1"/>
    </row>
    <row r="353" spans="1:38">
      <c r="A353" s="1"/>
      <c r="B353" s="358"/>
      <c r="C353" s="1"/>
      <c r="D353" s="1"/>
      <c r="E353" s="1"/>
      <c r="F353" s="1526"/>
      <c r="G353" s="1526"/>
      <c r="H353" s="1526"/>
      <c r="I353" s="1526"/>
      <c r="J353" s="1526"/>
      <c r="K353" s="1526"/>
      <c r="L353" s="1526"/>
      <c r="M353" s="1526"/>
      <c r="N353" s="1526"/>
      <c r="O353" s="1526"/>
      <c r="P353" s="1526"/>
      <c r="Q353" s="1526"/>
      <c r="R353" s="1526"/>
      <c r="S353" s="1526"/>
      <c r="T353" s="1526"/>
      <c r="U353" s="1526"/>
      <c r="V353" s="1526"/>
      <c r="W353" s="1526"/>
      <c r="X353" s="1526"/>
      <c r="Y353" s="1526"/>
      <c r="Z353" s="1526"/>
      <c r="AA353" s="1526"/>
      <c r="AB353" s="1526"/>
      <c r="AC353" s="1526"/>
      <c r="AD353" s="1526"/>
      <c r="AE353" s="1526"/>
      <c r="AF353" s="1526"/>
      <c r="AG353" s="1526"/>
      <c r="AH353" s="1526"/>
      <c r="AI353" s="1526"/>
      <c r="AJ353" s="1526"/>
      <c r="AK353" s="1526"/>
      <c r="AL353" s="1"/>
    </row>
    <row r="354" spans="1:38">
      <c r="A354" s="1"/>
      <c r="B354" s="358"/>
      <c r="C354" s="1"/>
      <c r="D354" s="1"/>
      <c r="E354" s="1"/>
      <c r="F354" s="1526"/>
      <c r="G354" s="1526"/>
      <c r="H354" s="1526"/>
      <c r="I354" s="1526"/>
      <c r="J354" s="1526"/>
      <c r="K354" s="1526"/>
      <c r="L354" s="1526"/>
      <c r="M354" s="1526"/>
      <c r="N354" s="1526"/>
      <c r="O354" s="1526"/>
      <c r="P354" s="1526"/>
      <c r="Q354" s="1526"/>
      <c r="R354" s="1526"/>
      <c r="S354" s="1526"/>
      <c r="T354" s="1526"/>
      <c r="U354" s="1526"/>
      <c r="V354" s="1526"/>
      <c r="W354" s="1526"/>
      <c r="X354" s="1526"/>
      <c r="Y354" s="1526"/>
      <c r="Z354" s="1526"/>
      <c r="AA354" s="1526"/>
      <c r="AB354" s="1526"/>
      <c r="AC354" s="1526"/>
      <c r="AD354" s="1526"/>
      <c r="AE354" s="1526"/>
      <c r="AF354" s="1526"/>
      <c r="AG354" s="1526"/>
      <c r="AH354" s="1526"/>
      <c r="AI354" s="1526"/>
      <c r="AJ354" s="1526"/>
      <c r="AK354" s="1526"/>
      <c r="AL354" s="1"/>
    </row>
    <row r="355" spans="1:38">
      <c r="A355" s="1"/>
      <c r="B355" s="358"/>
      <c r="C355" s="1"/>
      <c r="D355" s="1"/>
      <c r="E355" s="1"/>
      <c r="F355" s="1526"/>
      <c r="G355" s="1526"/>
      <c r="H355" s="1526"/>
      <c r="I355" s="1526"/>
      <c r="J355" s="1526"/>
      <c r="K355" s="1526"/>
      <c r="L355" s="1526"/>
      <c r="M355" s="1526"/>
      <c r="N355" s="1526"/>
      <c r="O355" s="1526"/>
      <c r="P355" s="1526"/>
      <c r="Q355" s="1526"/>
      <c r="R355" s="1526"/>
      <c r="S355" s="1526"/>
      <c r="T355" s="1526"/>
      <c r="U355" s="1526"/>
      <c r="V355" s="1526"/>
      <c r="W355" s="1526"/>
      <c r="X355" s="1526"/>
      <c r="Y355" s="1526"/>
      <c r="Z355" s="1526"/>
      <c r="AA355" s="1526"/>
      <c r="AB355" s="1526"/>
      <c r="AC355" s="1526"/>
      <c r="AD355" s="1526"/>
      <c r="AE355" s="1526"/>
      <c r="AF355" s="1526"/>
      <c r="AG355" s="1526"/>
      <c r="AH355" s="1526"/>
      <c r="AI355" s="1526"/>
      <c r="AJ355" s="1526"/>
      <c r="AK355" s="1526"/>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5" customFormat="1">
      <c r="A365" s="1"/>
      <c r="B365" s="358"/>
      <c r="C365" s="1"/>
      <c r="D365" s="1"/>
      <c r="E365" s="1525" t="s">
        <v>1989</v>
      </c>
    </row>
    <row r="366" spans="1:38" s="1525" customFormat="1">
      <c r="A366" s="1"/>
      <c r="B366" s="358"/>
      <c r="C366" s="1"/>
      <c r="D366" s="1"/>
    </row>
    <row r="367" spans="1:38">
      <c r="A367" s="1"/>
      <c r="B367" s="358"/>
      <c r="C367" s="1"/>
      <c r="D367" s="1"/>
      <c r="E367" s="1"/>
      <c r="F367" s="1523" t="s">
        <v>1990</v>
      </c>
      <c r="G367" s="1524"/>
      <c r="H367" s="1524"/>
      <c r="I367" s="1524"/>
      <c r="J367" s="1524"/>
      <c r="K367" s="1524"/>
      <c r="L367" s="1524"/>
      <c r="M367" s="1524"/>
      <c r="N367" s="1524"/>
      <c r="O367" s="1524"/>
      <c r="P367" s="1524"/>
      <c r="Q367" s="1524"/>
      <c r="R367" s="1524"/>
      <c r="S367" s="1524"/>
      <c r="T367" s="1524"/>
      <c r="U367" s="1524"/>
      <c r="V367" s="1524"/>
      <c r="W367" s="1524"/>
      <c r="X367" s="1524"/>
      <c r="Y367" s="1524"/>
      <c r="Z367" s="1524"/>
      <c r="AA367" s="1524"/>
      <c r="AB367" s="1524"/>
      <c r="AC367" s="1524"/>
      <c r="AD367" s="1524"/>
      <c r="AE367" s="1524"/>
      <c r="AF367" s="1524"/>
      <c r="AG367" s="1524"/>
      <c r="AH367" s="1524"/>
      <c r="AI367" s="1524"/>
      <c r="AJ367" s="1524"/>
      <c r="AK367" s="1524"/>
      <c r="AL367" s="1524"/>
    </row>
    <row r="368" spans="1:38">
      <c r="A368" s="1"/>
      <c r="B368" s="358"/>
      <c r="C368" s="1"/>
      <c r="D368" s="1"/>
      <c r="E368" s="1"/>
      <c r="F368" s="1524"/>
      <c r="G368" s="1524"/>
      <c r="H368" s="1524"/>
      <c r="I368" s="1524"/>
      <c r="J368" s="1524"/>
      <c r="K368" s="1524"/>
      <c r="L368" s="1524"/>
      <c r="M368" s="1524"/>
      <c r="N368" s="1524"/>
      <c r="O368" s="1524"/>
      <c r="P368" s="1524"/>
      <c r="Q368" s="1524"/>
      <c r="R368" s="1524"/>
      <c r="S368" s="1524"/>
      <c r="T368" s="1524"/>
      <c r="U368" s="1524"/>
      <c r="V368" s="1524"/>
      <c r="W368" s="1524"/>
      <c r="X368" s="1524"/>
      <c r="Y368" s="1524"/>
      <c r="Z368" s="1524"/>
      <c r="AA368" s="1524"/>
      <c r="AB368" s="1524"/>
      <c r="AC368" s="1524"/>
      <c r="AD368" s="1524"/>
      <c r="AE368" s="1524"/>
      <c r="AF368" s="1524"/>
      <c r="AG368" s="1524"/>
      <c r="AH368" s="1524"/>
      <c r="AI368" s="1524"/>
      <c r="AJ368" s="1524"/>
      <c r="AK368" s="1524"/>
      <c r="AL368" s="152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1740</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1740</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52" zoomScale="75" zoomScaleNormal="75" workbookViewId="0">
      <selection activeCell="J67" sqref="J67:R67"/>
    </sheetView>
  </sheetViews>
  <sheetFormatPr defaultColWidth="8.88671875" defaultRowHeight="0" customHeight="1" zeroHeight="1"/>
  <cols>
    <col min="1" max="1" width="3.5546875" style="768" customWidth="1"/>
    <col min="2" max="4" width="17.5546875" style="768" customWidth="1"/>
    <col min="5" max="5" width="15.5546875" style="768" customWidth="1"/>
    <col min="6" max="6" width="2.44140625" style="768" customWidth="1"/>
    <col min="7" max="7" width="14.5546875" style="768" customWidth="1"/>
    <col min="8" max="9" width="2.5546875" style="768" customWidth="1"/>
    <col min="10" max="10" width="3.5546875" style="768" customWidth="1"/>
    <col min="11" max="11" width="2.5546875" style="768" customWidth="1"/>
    <col min="12" max="14" width="2.44140625" style="768" customWidth="1"/>
    <col min="15" max="15" width="43.6640625" style="768" customWidth="1"/>
    <col min="16" max="16" width="7.5546875" style="768" customWidth="1"/>
    <col min="17" max="17" width="3.5546875" style="768" customWidth="1"/>
    <col min="18" max="19" width="10.5546875" style="768" customWidth="1"/>
    <col min="20" max="16384" width="8.88671875" style="768"/>
  </cols>
  <sheetData>
    <row r="1" spans="1:19" ht="15" customHeight="1">
      <c r="A1" s="2635" t="s">
        <v>2053</v>
      </c>
      <c r="B1" s="2635"/>
      <c r="C1" s="2635"/>
      <c r="D1" s="2635"/>
      <c r="E1" s="2635"/>
      <c r="F1" s="2635"/>
      <c r="G1" s="2635"/>
      <c r="H1" s="2635"/>
      <c r="I1" s="2635"/>
      <c r="J1" s="2635"/>
      <c r="K1" s="2635"/>
      <c r="L1" s="2635"/>
      <c r="M1" s="2635"/>
      <c r="N1" s="2635"/>
      <c r="O1" s="2635"/>
      <c r="P1" s="2635"/>
      <c r="Q1" s="2635"/>
      <c r="R1" s="2635"/>
      <c r="S1" s="2635"/>
    </row>
    <row r="2" spans="1:19" ht="15" customHeight="1">
      <c r="A2" s="2635"/>
      <c r="B2" s="2635"/>
      <c r="C2" s="2635"/>
      <c r="D2" s="2635"/>
      <c r="E2" s="2635"/>
      <c r="F2" s="2635"/>
      <c r="G2" s="2635"/>
      <c r="H2" s="2635"/>
      <c r="I2" s="2635"/>
      <c r="J2" s="2635"/>
      <c r="K2" s="2635"/>
      <c r="L2" s="2635"/>
      <c r="M2" s="2635"/>
      <c r="N2" s="2635"/>
      <c r="O2" s="2635"/>
      <c r="P2" s="2635"/>
      <c r="Q2" s="2635"/>
      <c r="R2" s="2635"/>
      <c r="S2" s="2635"/>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20" t="s">
        <v>1781</v>
      </c>
      <c r="C4" s="2620"/>
      <c r="D4" s="2620"/>
      <c r="E4" s="2620"/>
      <c r="F4" s="2620"/>
      <c r="G4" s="2620"/>
      <c r="H4" s="2620"/>
      <c r="I4" s="2620"/>
      <c r="J4" s="2620"/>
      <c r="K4" s="2620"/>
      <c r="L4" s="2620"/>
      <c r="M4" s="2620"/>
      <c r="N4" s="2620"/>
      <c r="O4" s="2620"/>
      <c r="P4" s="2620"/>
      <c r="Q4" s="2620"/>
      <c r="R4" s="2620"/>
      <c r="S4" s="792"/>
    </row>
    <row r="5" spans="1:19" ht="15" customHeight="1">
      <c r="A5" s="791"/>
      <c r="B5" s="2620"/>
      <c r="C5" s="2620"/>
      <c r="D5" s="2620"/>
      <c r="E5" s="2620"/>
      <c r="F5" s="2620"/>
      <c r="G5" s="2620"/>
      <c r="H5" s="2620"/>
      <c r="I5" s="2620"/>
      <c r="J5" s="2620"/>
      <c r="K5" s="2620"/>
      <c r="L5" s="2620"/>
      <c r="M5" s="2620"/>
      <c r="N5" s="2620"/>
      <c r="O5" s="2620"/>
      <c r="P5" s="2620"/>
      <c r="Q5" s="2620"/>
      <c r="R5" s="2620"/>
      <c r="S5" s="792"/>
    </row>
    <row r="6" spans="1:19" ht="15" customHeight="1">
      <c r="A6" s="791"/>
      <c r="B6" s="2620"/>
      <c r="C6" s="2620"/>
      <c r="D6" s="2620"/>
      <c r="E6" s="2620"/>
      <c r="F6" s="2620"/>
      <c r="G6" s="2620"/>
      <c r="H6" s="2620"/>
      <c r="I6" s="2620"/>
      <c r="J6" s="2620"/>
      <c r="K6" s="2620"/>
      <c r="L6" s="2620"/>
      <c r="M6" s="2620"/>
      <c r="N6" s="2620"/>
      <c r="O6" s="2620"/>
      <c r="P6" s="2620"/>
      <c r="Q6" s="2620"/>
      <c r="R6" s="2620"/>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20" t="s">
        <v>1856</v>
      </c>
      <c r="C8" s="2620"/>
      <c r="D8" s="2620"/>
      <c r="E8" s="2620"/>
      <c r="F8" s="2620"/>
      <c r="G8" s="2620"/>
      <c r="H8" s="2620"/>
      <c r="I8" s="2620"/>
      <c r="J8" s="2620"/>
      <c r="K8" s="2620"/>
      <c r="L8" s="2620"/>
      <c r="M8" s="2620"/>
      <c r="N8" s="2620"/>
      <c r="O8" s="2620"/>
      <c r="P8" s="2620"/>
      <c r="Q8" s="2620"/>
      <c r="R8" s="2620"/>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36" t="s">
        <v>1857</v>
      </c>
      <c r="C10" s="2636"/>
      <c r="D10" s="2636"/>
      <c r="E10" s="2636"/>
      <c r="F10" s="2636"/>
      <c r="G10" s="2636"/>
      <c r="H10" s="2636"/>
      <c r="I10" s="2636"/>
      <c r="J10" s="2636"/>
      <c r="K10" s="2636"/>
      <c r="L10" s="2636"/>
      <c r="M10" s="2636"/>
      <c r="N10" s="2636"/>
      <c r="O10" s="2636"/>
      <c r="P10" s="2636"/>
      <c r="Q10" s="2636"/>
      <c r="R10" s="2636"/>
      <c r="S10" s="792"/>
    </row>
    <row r="11" spans="1:19" ht="15" customHeight="1">
      <c r="A11" s="791"/>
      <c r="B11" s="2636"/>
      <c r="C11" s="2636"/>
      <c r="D11" s="2636"/>
      <c r="E11" s="2636"/>
      <c r="F11" s="2636"/>
      <c r="G11" s="2636"/>
      <c r="H11" s="2636"/>
      <c r="I11" s="2636"/>
      <c r="J11" s="2636"/>
      <c r="K11" s="2636"/>
      <c r="L11" s="2636"/>
      <c r="M11" s="2636"/>
      <c r="N11" s="2636"/>
      <c r="O11" s="2636"/>
      <c r="P11" s="2636"/>
      <c r="Q11" s="2636"/>
      <c r="R11" s="2636"/>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36" t="s">
        <v>2147</v>
      </c>
      <c r="C13" s="2636"/>
      <c r="D13" s="2636"/>
      <c r="E13" s="2636"/>
      <c r="F13" s="2636"/>
      <c r="G13" s="2636"/>
      <c r="H13" s="2636"/>
      <c r="I13" s="2636"/>
      <c r="J13" s="2636"/>
      <c r="K13" s="2636"/>
      <c r="L13" s="2636"/>
      <c r="M13" s="2636"/>
      <c r="N13" s="2636"/>
      <c r="O13" s="2636"/>
      <c r="P13" s="2636"/>
      <c r="Q13" s="2636"/>
      <c r="R13" s="2636"/>
      <c r="S13" s="792"/>
    </row>
    <row r="14" spans="1:19" ht="15" customHeight="1">
      <c r="A14" s="791"/>
      <c r="B14" s="2636"/>
      <c r="C14" s="2636"/>
      <c r="D14" s="2636"/>
      <c r="E14" s="2636"/>
      <c r="F14" s="2636"/>
      <c r="G14" s="2636"/>
      <c r="H14" s="2636"/>
      <c r="I14" s="2636"/>
      <c r="J14" s="2636"/>
      <c r="K14" s="2636"/>
      <c r="L14" s="2636"/>
      <c r="M14" s="2636"/>
      <c r="N14" s="2636"/>
      <c r="O14" s="2636"/>
      <c r="P14" s="2636"/>
      <c r="Q14" s="2636"/>
      <c r="R14" s="2636"/>
      <c r="S14" s="792"/>
    </row>
    <row r="15" spans="1:19" ht="15" customHeight="1">
      <c r="A15" s="791"/>
      <c r="B15" s="2636"/>
      <c r="C15" s="2636"/>
      <c r="D15" s="2636"/>
      <c r="E15" s="2636"/>
      <c r="F15" s="2636"/>
      <c r="G15" s="2636"/>
      <c r="H15" s="2636"/>
      <c r="I15" s="2636"/>
      <c r="J15" s="2636"/>
      <c r="K15" s="2636"/>
      <c r="L15" s="2636"/>
      <c r="M15" s="2636"/>
      <c r="N15" s="2636"/>
      <c r="O15" s="2636"/>
      <c r="P15" s="2636"/>
      <c r="Q15" s="2636"/>
      <c r="R15" s="2636"/>
      <c r="S15" s="792"/>
    </row>
    <row r="16" spans="1:19" ht="15" customHeight="1">
      <c r="A16" s="791"/>
      <c r="B16" s="2636"/>
      <c r="C16" s="2636"/>
      <c r="D16" s="2636"/>
      <c r="E16" s="2636"/>
      <c r="F16" s="2636"/>
      <c r="G16" s="2636"/>
      <c r="H16" s="2636"/>
      <c r="I16" s="2636"/>
      <c r="J16" s="2636"/>
      <c r="K16" s="2636"/>
      <c r="L16" s="2636"/>
      <c r="M16" s="2636"/>
      <c r="N16" s="2636"/>
      <c r="O16" s="2636"/>
      <c r="P16" s="2636"/>
      <c r="Q16" s="2636"/>
      <c r="R16" s="2636"/>
      <c r="S16" s="792"/>
    </row>
    <row r="17" spans="1:19" ht="15" customHeight="1">
      <c r="A17" s="791"/>
      <c r="B17" s="2636"/>
      <c r="C17" s="2636"/>
      <c r="D17" s="2636"/>
      <c r="E17" s="2636"/>
      <c r="F17" s="2636"/>
      <c r="G17" s="2636"/>
      <c r="H17" s="2636"/>
      <c r="I17" s="2636"/>
      <c r="J17" s="2636"/>
      <c r="K17" s="2636"/>
      <c r="L17" s="2636"/>
      <c r="M17" s="2636"/>
      <c r="N17" s="2636"/>
      <c r="O17" s="2636"/>
      <c r="P17" s="2636"/>
      <c r="Q17" s="2636"/>
      <c r="R17" s="2636"/>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21" t="s">
        <v>1971</v>
      </c>
      <c r="C19" s="2621"/>
      <c r="D19" s="2621"/>
      <c r="E19" s="2621"/>
      <c r="F19" s="2621"/>
      <c r="G19" s="2621"/>
      <c r="H19" s="2621"/>
      <c r="I19" s="2621"/>
      <c r="J19" s="2621"/>
      <c r="K19" s="2621"/>
      <c r="L19" s="2621"/>
      <c r="M19" s="2621"/>
      <c r="N19" s="2621"/>
      <c r="O19" s="2621"/>
      <c r="P19" s="2621"/>
      <c r="Q19" s="2621"/>
      <c r="R19" s="2621"/>
      <c r="S19" s="792"/>
    </row>
    <row r="20" spans="1:19" ht="15" customHeight="1">
      <c r="A20" s="791"/>
      <c r="B20" s="2621"/>
      <c r="C20" s="2621"/>
      <c r="D20" s="2621"/>
      <c r="E20" s="2621"/>
      <c r="F20" s="2621"/>
      <c r="G20" s="2621"/>
      <c r="H20" s="2621"/>
      <c r="I20" s="2621"/>
      <c r="J20" s="2621"/>
      <c r="K20" s="2621"/>
      <c r="L20" s="2621"/>
      <c r="M20" s="2621"/>
      <c r="N20" s="2621"/>
      <c r="O20" s="2621"/>
      <c r="P20" s="2621"/>
      <c r="Q20" s="2621"/>
      <c r="R20" s="2621"/>
      <c r="S20" s="792"/>
    </row>
    <row r="21" spans="1:19" ht="15" customHeight="1">
      <c r="A21" s="791"/>
      <c r="B21" s="2621"/>
      <c r="C21" s="2621"/>
      <c r="D21" s="2621"/>
      <c r="E21" s="2621"/>
      <c r="F21" s="2621"/>
      <c r="G21" s="2621"/>
      <c r="H21" s="2621"/>
      <c r="I21" s="2621"/>
      <c r="J21" s="2621"/>
      <c r="K21" s="2621"/>
      <c r="L21" s="2621"/>
      <c r="M21" s="2621"/>
      <c r="N21" s="2621"/>
      <c r="O21" s="2621"/>
      <c r="P21" s="2621"/>
      <c r="Q21" s="2621"/>
      <c r="R21" s="2621"/>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21" t="s">
        <v>1972</v>
      </c>
      <c r="C23" s="2621"/>
      <c r="D23" s="2621"/>
      <c r="E23" s="2621"/>
      <c r="F23" s="2621"/>
      <c r="G23" s="2621"/>
      <c r="H23" s="2621"/>
      <c r="I23" s="2621"/>
      <c r="J23" s="2621"/>
      <c r="K23" s="2621"/>
      <c r="L23" s="2621"/>
      <c r="M23" s="2621"/>
      <c r="N23" s="2621"/>
      <c r="O23" s="2621"/>
      <c r="P23" s="2621"/>
      <c r="Q23" s="2621"/>
      <c r="R23" s="2621"/>
      <c r="S23" s="792"/>
    </row>
    <row r="24" spans="1:19" ht="15" customHeight="1">
      <c r="A24" s="793"/>
      <c r="B24" s="2621"/>
      <c r="C24" s="2621"/>
      <c r="D24" s="2621"/>
      <c r="E24" s="2621"/>
      <c r="F24" s="2621"/>
      <c r="G24" s="2621"/>
      <c r="H24" s="2621"/>
      <c r="I24" s="2621"/>
      <c r="J24" s="2621"/>
      <c r="K24" s="2621"/>
      <c r="L24" s="2621"/>
      <c r="M24" s="2621"/>
      <c r="N24" s="2621"/>
      <c r="O24" s="2621"/>
      <c r="P24" s="2621"/>
      <c r="Q24" s="2621"/>
      <c r="R24" s="2621"/>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20" t="s">
        <v>1855</v>
      </c>
      <c r="C26" s="2620"/>
      <c r="D26" s="2620"/>
      <c r="E26" s="2620"/>
      <c r="F26" s="2620"/>
      <c r="G26" s="2620"/>
      <c r="H26" s="2620"/>
      <c r="I26" s="2620"/>
      <c r="J26" s="2620"/>
      <c r="K26" s="2620"/>
      <c r="L26" s="2620"/>
      <c r="M26" s="2620"/>
      <c r="N26" s="2620"/>
      <c r="O26" s="2620"/>
      <c r="P26" s="2620"/>
      <c r="Q26" s="2620"/>
      <c r="R26" s="2620"/>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30" t="s">
        <v>1760</v>
      </c>
      <c r="C29" s="2630"/>
      <c r="D29" s="2630"/>
      <c r="E29" s="2630"/>
      <c r="F29" s="2630"/>
      <c r="G29" s="2630"/>
      <c r="H29" s="795"/>
      <c r="I29" s="795"/>
      <c r="J29" s="795"/>
      <c r="K29" s="795"/>
      <c r="L29" s="795"/>
      <c r="M29" s="795"/>
      <c r="N29" s="795"/>
      <c r="O29" s="2628" t="s">
        <v>1769</v>
      </c>
      <c r="P29" s="793"/>
      <c r="Q29" s="793"/>
      <c r="R29" s="793"/>
      <c r="S29" s="793"/>
    </row>
    <row r="30" spans="1:19" ht="15" customHeight="1">
      <c r="A30" s="793"/>
      <c r="B30" s="2630"/>
      <c r="C30" s="2630"/>
      <c r="D30" s="2630"/>
      <c r="E30" s="2630"/>
      <c r="F30" s="2630"/>
      <c r="G30" s="2630"/>
      <c r="H30" s="795"/>
      <c r="I30" s="795"/>
      <c r="J30" s="795"/>
      <c r="K30" s="795"/>
      <c r="L30" s="795"/>
      <c r="M30" s="795"/>
      <c r="N30" s="795"/>
      <c r="O30" s="2628"/>
      <c r="P30" s="793"/>
      <c r="Q30" s="793"/>
      <c r="R30" s="793"/>
      <c r="S30" s="793"/>
    </row>
    <row r="31" spans="1:19" ht="15" customHeight="1">
      <c r="A31" s="793"/>
      <c r="B31" s="2630"/>
      <c r="C31" s="2630"/>
      <c r="D31" s="2630"/>
      <c r="E31" s="2630"/>
      <c r="F31" s="2630"/>
      <c r="G31" s="2630"/>
      <c r="H31" s="795"/>
      <c r="I31" s="795"/>
      <c r="J31" s="795"/>
      <c r="K31" s="795"/>
      <c r="L31" s="795"/>
      <c r="M31" s="795"/>
      <c r="N31" s="795"/>
      <c r="O31" s="2628"/>
      <c r="P31" s="793"/>
      <c r="Q31" s="793"/>
      <c r="R31" s="793"/>
      <c r="S31" s="793"/>
    </row>
    <row r="32" spans="1:19" ht="15" customHeight="1">
      <c r="A32" s="793"/>
      <c r="B32" s="2631"/>
      <c r="C32" s="2631"/>
      <c r="D32" s="2631"/>
      <c r="E32" s="2631"/>
      <c r="F32" s="2631"/>
      <c r="G32" s="2631"/>
      <c r="H32" s="793"/>
      <c r="I32" s="2632" t="s">
        <v>154</v>
      </c>
      <c r="J32" s="2633" t="s">
        <v>1075</v>
      </c>
      <c r="K32" s="2634">
        <v>1</v>
      </c>
      <c r="L32" s="793"/>
      <c r="M32" s="796"/>
      <c r="N32" s="793"/>
      <c r="O32" s="2629"/>
      <c r="P32" s="2633" t="s">
        <v>2145</v>
      </c>
      <c r="Q32" s="793"/>
      <c r="R32" s="793"/>
      <c r="S32" s="793"/>
    </row>
    <row r="33" spans="1:19" ht="15" customHeight="1">
      <c r="A33" s="793"/>
      <c r="B33" s="2664" t="s">
        <v>1764</v>
      </c>
      <c r="C33" s="2664"/>
      <c r="D33" s="2664"/>
      <c r="E33" s="2664"/>
      <c r="F33" s="2664"/>
      <c r="G33" s="2664"/>
      <c r="H33" s="793"/>
      <c r="I33" s="2632"/>
      <c r="J33" s="2633"/>
      <c r="K33" s="2634"/>
      <c r="L33" s="793"/>
      <c r="M33" s="797"/>
      <c r="N33" s="793"/>
      <c r="O33" s="2664" t="s">
        <v>1764</v>
      </c>
      <c r="P33" s="2633"/>
      <c r="Q33" s="793"/>
      <c r="R33" s="793"/>
      <c r="S33" s="793"/>
    </row>
    <row r="34" spans="1:19" ht="15" customHeight="1">
      <c r="A34" s="793"/>
      <c r="B34" s="2665"/>
      <c r="C34" s="2665"/>
      <c r="D34" s="2665"/>
      <c r="E34" s="2665"/>
      <c r="F34" s="2665"/>
      <c r="G34" s="2665"/>
      <c r="H34" s="793"/>
      <c r="I34" s="1025"/>
      <c r="J34" s="1024"/>
      <c r="K34" s="1026"/>
      <c r="L34" s="793"/>
      <c r="M34" s="797"/>
      <c r="N34" s="793"/>
      <c r="O34" s="2665"/>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37" t="s">
        <v>1752</v>
      </c>
      <c r="C37" s="2637"/>
      <c r="D37" s="2637"/>
      <c r="E37" s="2637"/>
      <c r="F37" s="804"/>
      <c r="G37" s="804"/>
      <c r="H37" s="805"/>
      <c r="I37" s="806"/>
      <c r="J37" s="806"/>
      <c r="P37" s="793"/>
      <c r="Q37" s="807"/>
      <c r="R37" s="807"/>
      <c r="S37" s="793"/>
    </row>
    <row r="38" spans="1:19" ht="15" customHeight="1">
      <c r="A38" s="793"/>
      <c r="B38" s="2642" t="s">
        <v>1770</v>
      </c>
      <c r="C38" s="2642"/>
      <c r="D38" s="2642"/>
      <c r="E38" s="2642"/>
      <c r="F38" s="1020"/>
      <c r="G38" s="808">
        <f>D110</f>
        <v>3747773.2334380075</v>
      </c>
      <c r="H38" s="809"/>
      <c r="I38" s="810"/>
      <c r="J38" s="809"/>
      <c r="L38" s="1275"/>
      <c r="M38" s="1275"/>
      <c r="N38" s="1275"/>
      <c r="O38" s="1275"/>
      <c r="P38" s="759"/>
      <c r="Q38" s="2627"/>
      <c r="R38" s="2627"/>
      <c r="S38" s="759"/>
    </row>
    <row r="39" spans="1:19" ht="15" customHeight="1">
      <c r="A39" s="579"/>
      <c r="B39" s="2643" t="s">
        <v>1386</v>
      </c>
      <c r="C39" s="2643"/>
      <c r="D39" s="2643"/>
      <c r="E39" s="2643"/>
      <c r="F39" s="1020"/>
      <c r="G39" s="977"/>
      <c r="H39" s="809"/>
      <c r="I39" s="810"/>
      <c r="J39" s="809"/>
      <c r="L39" s="809"/>
      <c r="M39" s="807"/>
      <c r="N39" s="807"/>
      <c r="O39" s="807"/>
      <c r="P39" s="759"/>
      <c r="Q39" s="1132"/>
      <c r="R39" s="1132"/>
      <c r="S39" s="759"/>
    </row>
    <row r="40" spans="1:19" ht="15" customHeight="1">
      <c r="A40" s="579"/>
      <c r="B40" s="2643" t="s">
        <v>1387</v>
      </c>
      <c r="C40" s="2643"/>
      <c r="D40" s="2643"/>
      <c r="E40" s="2643"/>
      <c r="F40" s="1020"/>
      <c r="G40" s="977"/>
      <c r="H40" s="809"/>
      <c r="I40" s="810"/>
      <c r="J40" s="809"/>
      <c r="K40" s="2626"/>
      <c r="L40" s="2626"/>
      <c r="M40" s="2626"/>
      <c r="N40" s="2626"/>
      <c r="O40" s="2626"/>
      <c r="P40" s="1049"/>
      <c r="Q40" s="2627"/>
      <c r="R40" s="2627"/>
      <c r="S40" s="793"/>
    </row>
    <row r="41" spans="1:19" ht="15" customHeight="1">
      <c r="A41" s="579"/>
      <c r="B41" s="2644" t="s">
        <v>1765</v>
      </c>
      <c r="C41" s="2644"/>
      <c r="D41" s="2644"/>
      <c r="E41" s="2644"/>
      <c r="F41" s="1020"/>
      <c r="G41" s="809"/>
      <c r="H41" s="809"/>
      <c r="I41" s="810"/>
      <c r="J41" s="809"/>
      <c r="K41" s="809"/>
      <c r="L41" s="809"/>
      <c r="M41" s="807"/>
      <c r="N41" s="807"/>
      <c r="O41" s="807"/>
      <c r="P41" s="759"/>
      <c r="Q41" s="811"/>
      <c r="R41" s="811"/>
      <c r="S41" s="793"/>
    </row>
    <row r="42" spans="1:19" ht="15" customHeight="1">
      <c r="A42" s="579"/>
      <c r="B42" s="979" t="s">
        <v>2341</v>
      </c>
      <c r="C42" s="979"/>
      <c r="D42" s="972"/>
      <c r="E42" s="1023">
        <v>550000</v>
      </c>
      <c r="F42" s="1020"/>
      <c r="G42" s="809"/>
      <c r="H42" s="809"/>
      <c r="I42" s="810"/>
      <c r="J42" s="809"/>
      <c r="K42" s="2626"/>
      <c r="L42" s="2626"/>
      <c r="M42" s="2626"/>
      <c r="N42" s="2626"/>
      <c r="O42" s="2626"/>
      <c r="P42" s="1049"/>
      <c r="Q42" s="2627"/>
      <c r="R42" s="2627"/>
      <c r="S42" s="793"/>
    </row>
    <row r="43" spans="1:19" ht="15" customHeight="1">
      <c r="A43" s="579"/>
      <c r="B43" s="979" t="s">
        <v>2341</v>
      </c>
      <c r="C43" s="979"/>
      <c r="D43" s="788"/>
      <c r="E43" s="1264">
        <v>2580000</v>
      </c>
      <c r="F43" s="1020"/>
      <c r="G43" s="809"/>
      <c r="H43" s="809"/>
      <c r="I43" s="810"/>
      <c r="J43" s="809"/>
      <c r="L43" s="809"/>
      <c r="M43" s="807"/>
      <c r="N43" s="807"/>
      <c r="O43" s="807"/>
      <c r="P43" s="759"/>
      <c r="Q43" s="811"/>
      <c r="R43" s="811"/>
      <c r="S43" s="793"/>
    </row>
    <row r="44" spans="1:19" ht="15" customHeight="1">
      <c r="A44" s="579"/>
      <c r="B44" s="979" t="s">
        <v>2341</v>
      </c>
      <c r="C44" s="979"/>
      <c r="D44" s="788"/>
      <c r="E44" s="1023">
        <v>7000000</v>
      </c>
      <c r="F44" s="1020"/>
      <c r="G44" s="809"/>
      <c r="H44" s="809"/>
      <c r="I44" s="810"/>
      <c r="K44" s="1281" t="s">
        <v>2035</v>
      </c>
      <c r="P44" s="1049"/>
      <c r="Q44" s="2627"/>
      <c r="R44" s="2627"/>
      <c r="S44" s="793"/>
    </row>
    <row r="45" spans="1:19" ht="15" customHeight="1">
      <c r="A45" s="579"/>
      <c r="B45" s="979" t="s">
        <v>2424</v>
      </c>
      <c r="C45" s="979"/>
      <c r="D45" s="788"/>
      <c r="E45" s="1023">
        <v>2643027</v>
      </c>
      <c r="F45" s="1020"/>
      <c r="G45" s="809"/>
      <c r="H45" s="809"/>
      <c r="I45" s="810"/>
      <c r="K45" s="1282" t="s">
        <v>2030</v>
      </c>
      <c r="L45" s="1282"/>
      <c r="M45" s="809"/>
      <c r="N45" s="809"/>
      <c r="O45" s="809"/>
      <c r="P45" s="809"/>
      <c r="Q45" s="579"/>
      <c r="R45" s="579"/>
      <c r="S45" s="793"/>
    </row>
    <row r="46" spans="1:19" ht="15" customHeight="1">
      <c r="A46" s="579"/>
      <c r="B46" s="979"/>
      <c r="C46" s="979"/>
      <c r="D46" s="788"/>
      <c r="E46" s="1023"/>
      <c r="F46" s="1020"/>
      <c r="G46" s="809"/>
      <c r="H46" s="809"/>
      <c r="I46" s="810"/>
      <c r="J46" s="809"/>
      <c r="K46" s="2619" t="s">
        <v>2031</v>
      </c>
      <c r="L46" s="2619"/>
      <c r="M46" s="2619"/>
      <c r="N46" s="2619"/>
      <c r="O46" s="2619"/>
      <c r="P46" s="793"/>
      <c r="Q46" s="2622"/>
      <c r="R46" s="2622"/>
      <c r="S46" s="793"/>
    </row>
    <row r="47" spans="1:19" ht="15" customHeight="1">
      <c r="A47" s="579"/>
      <c r="B47" s="979"/>
      <c r="C47" s="979"/>
      <c r="D47" s="788"/>
      <c r="E47" s="1023"/>
      <c r="F47" s="1020"/>
      <c r="G47" s="809"/>
      <c r="H47" s="809"/>
      <c r="I47" s="810"/>
      <c r="J47" s="809"/>
      <c r="K47" s="2625" t="s">
        <v>2032</v>
      </c>
      <c r="L47" s="2625"/>
      <c r="M47" s="2625"/>
      <c r="N47" s="2625"/>
      <c r="O47" s="2625"/>
      <c r="P47" s="793"/>
      <c r="Q47" s="2624"/>
      <c r="R47" s="2624"/>
      <c r="S47" s="793"/>
    </row>
    <row r="48" spans="1:19" ht="15" customHeight="1">
      <c r="A48" s="579"/>
      <c r="B48" s="979"/>
      <c r="C48" s="979"/>
      <c r="D48" s="788"/>
      <c r="E48" s="1023"/>
      <c r="F48" s="1020"/>
      <c r="G48" s="809"/>
      <c r="H48" s="809"/>
      <c r="I48" s="810"/>
      <c r="J48" s="809"/>
      <c r="K48" s="2623" t="s">
        <v>2033</v>
      </c>
      <c r="L48" s="2623"/>
      <c r="M48" s="2623"/>
      <c r="N48" s="2623"/>
      <c r="O48" s="2623"/>
      <c r="P48" s="793"/>
      <c r="Q48" s="2619">
        <f>Q46+Q47</f>
        <v>0</v>
      </c>
      <c r="R48" s="2619"/>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1858</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1455</v>
      </c>
      <c r="C51" s="974"/>
      <c r="D51" s="978"/>
      <c r="E51" s="976"/>
      <c r="F51" s="1020"/>
      <c r="G51" s="809"/>
      <c r="H51" s="809"/>
      <c r="I51" s="810"/>
      <c r="J51" s="809"/>
      <c r="K51" s="579"/>
      <c r="L51" s="579"/>
      <c r="M51" s="579"/>
      <c r="N51" s="579"/>
      <c r="O51" s="579"/>
      <c r="P51" s="579"/>
      <c r="Q51" s="579"/>
      <c r="R51" s="579"/>
      <c r="S51" s="793"/>
    </row>
    <row r="52" spans="1:29" s="792" customFormat="1" ht="15" customHeight="1">
      <c r="B52" s="2642" t="s">
        <v>1761</v>
      </c>
      <c r="C52" s="2642"/>
      <c r="D52" s="2642"/>
      <c r="E52" s="2642"/>
      <c r="F52" s="1020"/>
      <c r="G52" s="808">
        <f>SUM(E42:E49)-ABS(E50)-ABS(E51)</f>
        <v>12773027</v>
      </c>
      <c r="H52" s="809"/>
      <c r="I52" s="810"/>
      <c r="J52" s="809"/>
    </row>
    <row r="53" spans="1:29" ht="15" customHeight="1">
      <c r="A53" s="579"/>
      <c r="B53" s="793"/>
      <c r="C53" s="814"/>
      <c r="D53" s="814" t="s">
        <v>953</v>
      </c>
      <c r="E53" s="815"/>
      <c r="F53" s="815"/>
      <c r="G53" s="816">
        <f>SUM(G38:G40)+G52</f>
        <v>16520800.233438008</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45" t="s">
        <v>1365</v>
      </c>
      <c r="C56" s="2645"/>
      <c r="D56" s="1020"/>
      <c r="E56" s="1020"/>
      <c r="F56" s="1020"/>
      <c r="G56" s="1020"/>
      <c r="H56" s="1020"/>
      <c r="I56" s="1020"/>
      <c r="J56" s="1020"/>
      <c r="K56" s="1020"/>
      <c r="L56" s="1020"/>
      <c r="M56" s="1020"/>
      <c r="N56" s="1020"/>
      <c r="O56" s="1020"/>
      <c r="P56" s="1020"/>
      <c r="Q56" s="793"/>
      <c r="R56" s="793"/>
      <c r="S56" s="793"/>
      <c r="U56" s="1209" t="s">
        <v>1965</v>
      </c>
      <c r="AC56" s="1263">
        <v>0.2</v>
      </c>
    </row>
    <row r="57" spans="1:29" ht="15" customHeight="1">
      <c r="A57" s="812"/>
      <c r="B57" s="2646" t="s">
        <v>1755</v>
      </c>
      <c r="C57" s="2646"/>
      <c r="D57" s="2646"/>
      <c r="E57" s="2646"/>
      <c r="F57" s="2646"/>
      <c r="G57" s="2646"/>
      <c r="H57" s="2646"/>
      <c r="I57" s="2646"/>
      <c r="J57" s="2646"/>
      <c r="K57" s="2646"/>
      <c r="L57" s="2646"/>
      <c r="M57" s="2646"/>
      <c r="N57" s="2646"/>
      <c r="O57" s="2646"/>
      <c r="P57" s="1020"/>
      <c r="Q57" s="793"/>
      <c r="R57" s="793"/>
      <c r="S57" s="793"/>
      <c r="U57" s="1209" t="s">
        <v>1966</v>
      </c>
      <c r="AC57" s="1263">
        <v>0.1</v>
      </c>
    </row>
    <row r="58" spans="1:29" ht="15" customHeight="1">
      <c r="A58" s="793"/>
      <c r="B58" s="2637" t="s">
        <v>1754</v>
      </c>
      <c r="C58" s="2638"/>
      <c r="D58" s="2638"/>
      <c r="E58" s="2638"/>
      <c r="F58" s="819"/>
      <c r="G58" s="819"/>
      <c r="H58" s="820"/>
      <c r="I58" s="820"/>
      <c r="J58" s="2639">
        <f>('Sources and Uses Budget'!D104+Q47)/('Sources and Uses Budget'!B104+Q48)</f>
        <v>0</v>
      </c>
      <c r="K58" s="2640"/>
      <c r="L58" s="2640"/>
      <c r="M58" s="2640"/>
      <c r="N58" s="2641"/>
      <c r="O58" s="820"/>
      <c r="P58" s="820"/>
      <c r="Q58" s="793"/>
      <c r="R58" s="793"/>
      <c r="S58" s="793"/>
      <c r="U58" s="1209" t="s">
        <v>1967</v>
      </c>
      <c r="AC58" s="1263">
        <v>0.1</v>
      </c>
    </row>
    <row r="59" spans="1:29" ht="15" customHeight="1">
      <c r="A59" s="793"/>
      <c r="B59" s="2647" t="s">
        <v>1970</v>
      </c>
      <c r="C59" s="2647"/>
      <c r="D59" s="2647"/>
      <c r="E59" s="2647"/>
      <c r="F59" s="2647"/>
      <c r="G59" s="2647"/>
      <c r="H59" s="2647"/>
      <c r="I59" s="2647"/>
      <c r="J59" s="2647"/>
      <c r="K59" s="2647"/>
      <c r="L59" s="2647"/>
      <c r="M59" s="2647"/>
      <c r="N59" s="2647"/>
      <c r="O59" s="2647"/>
      <c r="P59" s="820"/>
      <c r="Q59" s="793"/>
      <c r="R59" s="793"/>
      <c r="S59" s="793"/>
      <c r="U59" s="1209" t="s">
        <v>1968</v>
      </c>
      <c r="AC59" s="1263">
        <v>0.05</v>
      </c>
    </row>
    <row r="60" spans="1:29" ht="15" customHeight="1" thickBot="1">
      <c r="A60" s="793"/>
      <c r="B60" s="2647"/>
      <c r="C60" s="2647"/>
      <c r="D60" s="2647"/>
      <c r="E60" s="2647"/>
      <c r="F60" s="2647"/>
      <c r="G60" s="2647"/>
      <c r="H60" s="2647"/>
      <c r="I60" s="2647"/>
      <c r="J60" s="2647"/>
      <c r="K60" s="2647"/>
      <c r="L60" s="2647"/>
      <c r="M60" s="2647"/>
      <c r="N60" s="2647"/>
      <c r="O60" s="2647"/>
      <c r="P60" s="820"/>
      <c r="Q60" s="793"/>
      <c r="R60" s="793"/>
      <c r="S60" s="793"/>
      <c r="U60" s="1210"/>
      <c r="AC60" s="1211"/>
    </row>
    <row r="61" spans="1:29" ht="15" customHeight="1">
      <c r="A61" s="793"/>
      <c r="B61" s="2648" t="s">
        <v>1756</v>
      </c>
      <c r="C61" s="2648"/>
      <c r="D61" s="2648"/>
      <c r="E61" s="2648"/>
      <c r="F61" s="2648"/>
      <c r="G61" s="2648"/>
      <c r="H61" s="2648"/>
      <c r="I61" s="2648"/>
      <c r="J61" s="2648"/>
      <c r="K61" s="2648"/>
      <c r="L61" s="2648"/>
      <c r="M61" s="2648"/>
      <c r="N61" s="2648"/>
      <c r="O61" s="2648"/>
      <c r="P61" s="820"/>
      <c r="Q61" s="793"/>
      <c r="R61" s="793"/>
      <c r="S61" s="793"/>
      <c r="U61" s="2613">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14"/>
    </row>
    <row r="63" spans="1:29" ht="15" customHeight="1">
      <c r="A63" s="793"/>
      <c r="B63" s="807"/>
      <c r="C63" s="807"/>
      <c r="D63" s="807"/>
      <c r="E63" s="1281"/>
      <c r="F63" s="807"/>
      <c r="G63" s="807"/>
      <c r="H63" s="807"/>
      <c r="I63" s="1219"/>
      <c r="J63" s="2653" t="s">
        <v>2146</v>
      </c>
      <c r="K63" s="2654"/>
      <c r="L63" s="2654"/>
      <c r="M63" s="2654"/>
      <c r="N63" s="2654"/>
      <c r="O63" s="2654"/>
      <c r="P63" s="2654"/>
      <c r="Q63" s="2654"/>
      <c r="R63" s="2654"/>
      <c r="S63" s="793"/>
      <c r="U63" s="2613">
        <f>IF(J67="Non-rural project, Census Tract is High Resource (10 percentage points)",AC57,0)</f>
        <v>0.1</v>
      </c>
    </row>
    <row r="64" spans="1:29" ht="15" customHeight="1" thickBot="1">
      <c r="A64" s="793"/>
      <c r="B64" s="2649" t="s">
        <v>1766</v>
      </c>
      <c r="C64" s="2649"/>
      <c r="D64" s="807"/>
      <c r="F64" s="807"/>
      <c r="G64" s="1283" t="s">
        <v>2034</v>
      </c>
      <c r="H64" s="807"/>
      <c r="I64" s="1220"/>
      <c r="J64" s="2655"/>
      <c r="K64" s="2656"/>
      <c r="L64" s="2656"/>
      <c r="M64" s="2656"/>
      <c r="N64" s="2656"/>
      <c r="O64" s="2656"/>
      <c r="P64" s="2656"/>
      <c r="Q64" s="2656"/>
      <c r="R64" s="2656"/>
      <c r="S64" s="793"/>
      <c r="U64" s="2614"/>
    </row>
    <row r="65" spans="1:22" ht="15" customHeight="1">
      <c r="A65" s="793"/>
      <c r="B65" s="822" t="s">
        <v>1759</v>
      </c>
      <c r="C65" s="985" t="str">
        <f>IF(Application!M349="Yes","Yes","No")</f>
        <v>Yes</v>
      </c>
      <c r="E65" s="1284"/>
      <c r="F65" s="1284"/>
      <c r="G65" s="1285" t="s">
        <v>2036</v>
      </c>
      <c r="H65" s="807"/>
      <c r="I65" s="1220"/>
      <c r="J65" s="2655"/>
      <c r="K65" s="2656"/>
      <c r="L65" s="2656"/>
      <c r="M65" s="2656"/>
      <c r="N65" s="2656"/>
      <c r="O65" s="2656"/>
      <c r="P65" s="2656"/>
      <c r="Q65" s="2656"/>
      <c r="R65" s="2656"/>
      <c r="S65" s="793"/>
      <c r="U65" s="2613">
        <f>IF(J67="Rural project, Census Tract is Highest Resource (10 percentage points)",AC58,0)</f>
        <v>0</v>
      </c>
    </row>
    <row r="66" spans="1:22" ht="15" customHeight="1" thickBot="1">
      <c r="A66" s="793"/>
      <c r="B66" s="823" t="s">
        <v>1842</v>
      </c>
      <c r="C66" s="986">
        <f>Application!AG430-Application!AG431</f>
        <v>96</v>
      </c>
      <c r="D66" s="1284"/>
      <c r="E66" s="823" t="s">
        <v>2037</v>
      </c>
      <c r="F66" s="1284"/>
      <c r="G66" s="1033"/>
      <c r="H66" s="824"/>
      <c r="I66" s="1221"/>
      <c r="J66" s="2655"/>
      <c r="K66" s="2656"/>
      <c r="L66" s="2656"/>
      <c r="M66" s="2656"/>
      <c r="N66" s="2656"/>
      <c r="O66" s="2656"/>
      <c r="P66" s="2656"/>
      <c r="Q66" s="2656"/>
      <c r="R66" s="2656"/>
      <c r="S66" s="793"/>
      <c r="U66" s="2614"/>
    </row>
    <row r="67" spans="1:22" ht="15" customHeight="1">
      <c r="A67" s="793"/>
      <c r="B67" s="823" t="s">
        <v>1753</v>
      </c>
      <c r="C67" s="987">
        <f>MIN(IF(AND(C65="Yes",G67&gt;=50),(0.75+(G67/200)),1),1.5)</f>
        <v>1.23</v>
      </c>
      <c r="D67" s="824"/>
      <c r="E67" s="823" t="s">
        <v>1843</v>
      </c>
      <c r="G67" s="986">
        <f>C66+G66</f>
        <v>96</v>
      </c>
      <c r="H67" s="824"/>
      <c r="I67" s="1221"/>
      <c r="J67" s="2652" t="s">
        <v>1966</v>
      </c>
      <c r="K67" s="2652"/>
      <c r="L67" s="2652"/>
      <c r="M67" s="2652"/>
      <c r="N67" s="2652"/>
      <c r="O67" s="2652"/>
      <c r="P67" s="2652"/>
      <c r="Q67" s="2652"/>
      <c r="R67" s="2652"/>
      <c r="S67" s="793"/>
      <c r="U67" s="2613">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14"/>
    </row>
    <row r="69" spans="1:22" ht="15" customHeight="1">
      <c r="A69" s="793"/>
      <c r="B69" s="793"/>
      <c r="C69" s="793"/>
      <c r="D69" s="793"/>
      <c r="E69" s="793"/>
      <c r="F69" s="793"/>
      <c r="G69" s="793"/>
      <c r="H69" s="793"/>
      <c r="I69" s="793"/>
      <c r="J69" s="793"/>
      <c r="K69" s="793"/>
      <c r="L69" s="793"/>
      <c r="M69" s="793"/>
      <c r="N69" s="793"/>
      <c r="O69" s="793"/>
      <c r="P69" s="793"/>
      <c r="Q69" s="793"/>
      <c r="R69" s="793"/>
      <c r="S69" s="793"/>
      <c r="U69" s="2617">
        <f>SUM(U61:U68)</f>
        <v>0.1</v>
      </c>
    </row>
    <row r="70" spans="1:22" ht="15" customHeight="1" thickBot="1">
      <c r="A70" s="793"/>
      <c r="B70" s="2650" t="s">
        <v>1763</v>
      </c>
      <c r="C70" s="2650"/>
      <c r="D70" s="794"/>
      <c r="E70" s="794"/>
      <c r="F70" s="794"/>
      <c r="G70" s="794"/>
      <c r="H70" s="793"/>
      <c r="I70" s="793"/>
      <c r="J70" s="793"/>
      <c r="K70" s="793"/>
      <c r="L70" s="793"/>
      <c r="M70" s="793"/>
      <c r="N70" s="793"/>
      <c r="O70" s="793"/>
      <c r="P70" s="793"/>
      <c r="Q70" s="793"/>
      <c r="R70" s="793"/>
      <c r="S70" s="793"/>
      <c r="U70" s="2618"/>
      <c r="V70" s="620" t="s">
        <v>1969</v>
      </c>
    </row>
    <row r="71" spans="1:22" ht="15" customHeight="1">
      <c r="A71" s="793"/>
      <c r="B71" s="2651" t="s">
        <v>1767</v>
      </c>
      <c r="C71" s="2651"/>
      <c r="D71" s="2651"/>
      <c r="E71" s="794"/>
      <c r="F71" s="794"/>
      <c r="G71" s="808">
        <f>G53*(1-J58)</f>
        <v>16520800.233438008</v>
      </c>
      <c r="H71" s="793"/>
      <c r="I71" s="793"/>
      <c r="J71" s="826"/>
      <c r="K71" s="1117" t="s">
        <v>1769</v>
      </c>
      <c r="L71" s="1117"/>
      <c r="M71" s="1117"/>
      <c r="N71" s="1117"/>
      <c r="O71" s="1117"/>
      <c r="P71" s="793"/>
      <c r="Q71" s="2619">
        <f>'Basis &amp; Credits'!T23+'Basis &amp; Credits'!Y23+'Basis &amp; Credits'!AD23+'Basis &amp; Credits'!AI23</f>
        <v>26165166</v>
      </c>
      <c r="R71" s="2619"/>
      <c r="S71" s="793"/>
    </row>
    <row r="72" spans="1:22" ht="15" customHeight="1">
      <c r="A72" s="793"/>
      <c r="B72" s="2657" t="s">
        <v>1768</v>
      </c>
      <c r="C72" s="2657"/>
      <c r="D72" s="2657"/>
      <c r="E72" s="794"/>
      <c r="F72" s="794"/>
      <c r="G72" s="808">
        <f>G71*C67</f>
        <v>20320584.28712875</v>
      </c>
      <c r="H72" s="793"/>
      <c r="I72" s="793"/>
      <c r="J72" s="826"/>
      <c r="K72" s="1223"/>
      <c r="L72" s="1223"/>
      <c r="M72" s="1223"/>
      <c r="N72" s="1223"/>
      <c r="O72" s="1223"/>
      <c r="P72" s="793"/>
      <c r="Q72" s="2627"/>
      <c r="R72" s="2627"/>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58">
        <f>$G$72</f>
        <v>20320584.28712875</v>
      </c>
      <c r="C75" s="2659"/>
      <c r="D75" s="2659"/>
      <c r="E75" s="2659"/>
      <c r="F75" s="2659"/>
      <c r="G75" s="2659"/>
      <c r="H75" s="827"/>
      <c r="I75" s="2632" t="s">
        <v>154</v>
      </c>
      <c r="J75" s="2633" t="s">
        <v>1075</v>
      </c>
      <c r="K75" s="2632">
        <v>1</v>
      </c>
      <c r="L75" s="793"/>
      <c r="M75" s="799"/>
      <c r="N75" s="825"/>
      <c r="O75" s="1035">
        <f>$Q$71</f>
        <v>26165166</v>
      </c>
      <c r="P75" s="2633" t="s">
        <v>2145</v>
      </c>
      <c r="Q75" s="2660" t="s">
        <v>153</v>
      </c>
      <c r="R75" s="2615">
        <f>((B75/B76)+((1-(O75/O76))/2))+U69</f>
        <v>0.74218005210940707</v>
      </c>
    </row>
    <row r="76" spans="1:22" ht="15" customHeight="1" thickBot="1">
      <c r="A76" s="793"/>
      <c r="B76" s="2661">
        <f>'Sources and Uses Budget'!$C$104+$Q$46-($E$50+$E$51)*(1-$J$58)</f>
        <v>50907291</v>
      </c>
      <c r="C76" s="2662"/>
      <c r="D76" s="2662"/>
      <c r="E76" s="2662"/>
      <c r="F76" s="2662"/>
      <c r="G76" s="2661"/>
      <c r="H76" s="793"/>
      <c r="I76" s="2632"/>
      <c r="J76" s="2633"/>
      <c r="K76" s="2632"/>
      <c r="L76" s="793"/>
      <c r="M76" s="1016"/>
      <c r="N76" s="793"/>
      <c r="O76" s="1034">
        <f>B76</f>
        <v>50907291</v>
      </c>
      <c r="P76" s="2633"/>
      <c r="Q76" s="2660"/>
      <c r="R76" s="2616"/>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1762</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2028</v>
      </c>
      <c r="C81" s="1022"/>
      <c r="D81" s="1022"/>
      <c r="E81" s="1022"/>
      <c r="F81" s="1022"/>
      <c r="G81" s="793"/>
      <c r="H81" s="1022"/>
      <c r="I81" s="810"/>
      <c r="J81" s="1022"/>
      <c r="K81" s="770" t="s">
        <v>2029</v>
      </c>
      <c r="L81" s="1022"/>
      <c r="M81" s="1022"/>
      <c r="N81" s="1022"/>
      <c r="O81" s="1022"/>
      <c r="P81" s="793"/>
      <c r="Q81" s="793"/>
      <c r="R81" s="793"/>
      <c r="S81" s="793"/>
    </row>
    <row r="82" spans="1:19" ht="15" customHeight="1">
      <c r="A82" s="793"/>
      <c r="B82" s="1240" t="s">
        <v>1975</v>
      </c>
      <c r="C82" s="1229"/>
      <c r="D82" s="1224"/>
      <c r="E82" s="1229"/>
      <c r="F82" s="1229"/>
      <c r="G82" s="1231"/>
      <c r="H82" s="793"/>
      <c r="I82" s="810"/>
      <c r="J82" s="793"/>
      <c r="L82" s="793"/>
      <c r="M82" s="793"/>
      <c r="N82" s="793"/>
      <c r="O82" s="793"/>
      <c r="P82" s="793"/>
      <c r="Q82" s="793"/>
      <c r="R82" s="793"/>
      <c r="S82" s="793"/>
    </row>
    <row r="83" spans="1:19" ht="15" customHeight="1">
      <c r="A83" s="793"/>
      <c r="B83" s="1238" t="s">
        <v>1978</v>
      </c>
      <c r="C83" s="1229"/>
      <c r="D83" s="1230"/>
      <c r="E83" s="1227"/>
      <c r="F83" s="1227"/>
      <c r="G83" s="1231"/>
      <c r="H83" s="793"/>
      <c r="I83" s="810"/>
      <c r="J83" s="793"/>
      <c r="K83" s="1212" t="s">
        <v>1844</v>
      </c>
      <c r="L83" s="793"/>
      <c r="M83" s="793"/>
      <c r="N83" s="793"/>
      <c r="O83" s="793"/>
      <c r="P83" s="793"/>
      <c r="Q83" s="793"/>
      <c r="R83" s="793"/>
      <c r="S83" s="793"/>
    </row>
    <row r="84" spans="1:19" ht="15" customHeight="1">
      <c r="A84" s="793"/>
      <c r="B84" s="1239" t="s">
        <v>2107</v>
      </c>
      <c r="C84" s="1232"/>
      <c r="D84" s="1233"/>
      <c r="E84" s="1225"/>
      <c r="F84" s="1225"/>
      <c r="G84" s="1234"/>
      <c r="H84" s="793"/>
      <c r="I84" s="810"/>
      <c r="J84" s="793"/>
      <c r="K84" s="1212" t="s">
        <v>1776</v>
      </c>
      <c r="L84" s="1113"/>
      <c r="M84" s="1113"/>
      <c r="N84" s="1113"/>
      <c r="O84" s="1113"/>
      <c r="P84" s="1113"/>
      <c r="Q84" s="2622"/>
      <c r="R84" s="2622"/>
      <c r="S84" s="793"/>
    </row>
    <row r="85" spans="1:19" ht="15" customHeight="1">
      <c r="A85" s="793"/>
      <c r="B85" s="1239" t="s">
        <v>1974</v>
      </c>
      <c r="C85" s="1235"/>
      <c r="D85" s="1236"/>
      <c r="E85" s="1228"/>
      <c r="F85" s="1228"/>
      <c r="G85" s="1237"/>
      <c r="H85" s="793"/>
      <c r="I85" s="810"/>
      <c r="J85" s="793"/>
      <c r="L85" s="1114"/>
      <c r="M85" s="1114"/>
      <c r="N85" s="1114"/>
      <c r="O85" s="1114"/>
      <c r="P85" s="1114"/>
      <c r="S85" s="793"/>
    </row>
    <row r="86" spans="1:19" ht="15" customHeight="1">
      <c r="A86" s="793"/>
      <c r="B86" s="1240" t="s">
        <v>2051</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2131</v>
      </c>
      <c r="C87" s="1235"/>
      <c r="D87" s="1224"/>
      <c r="E87" s="1229"/>
      <c r="F87" s="1229"/>
      <c r="G87" s="1297"/>
      <c r="H87" s="793"/>
      <c r="I87" s="810"/>
      <c r="J87" s="793"/>
      <c r="S87" s="793"/>
    </row>
    <row r="88" spans="1:19" ht="15" customHeight="1">
      <c r="A88" s="793"/>
      <c r="B88" s="1293"/>
      <c r="C88" s="1294"/>
      <c r="D88" s="1295"/>
      <c r="E88" s="1296" t="s">
        <v>1973</v>
      </c>
      <c r="F88" s="1227"/>
      <c r="G88" s="1227" t="s">
        <v>1076</v>
      </c>
      <c r="H88" s="793"/>
      <c r="I88" s="810"/>
      <c r="J88" s="793"/>
      <c r="K88" s="1213" t="s">
        <v>1775</v>
      </c>
      <c r="L88" s="1113"/>
      <c r="M88" s="1113"/>
      <c r="N88" s="1113"/>
      <c r="O88" s="1113"/>
      <c r="P88" s="1113"/>
      <c r="Q88" s="793"/>
      <c r="R88" s="579"/>
      <c r="S88" s="793"/>
    </row>
    <row r="89" spans="1:19" ht="15" customHeight="1">
      <c r="A89" s="793"/>
      <c r="B89" s="828" t="s">
        <v>1069</v>
      </c>
      <c r="C89" s="829" t="s">
        <v>1070</v>
      </c>
      <c r="D89" s="1241" t="s">
        <v>1976</v>
      </c>
      <c r="E89" s="1241" t="s">
        <v>2052</v>
      </c>
      <c r="F89" s="830"/>
      <c r="G89" s="830" t="s">
        <v>1977</v>
      </c>
      <c r="H89" s="793"/>
      <c r="I89" s="810"/>
      <c r="J89" s="793"/>
      <c r="K89" s="1213" t="s">
        <v>1777</v>
      </c>
      <c r="L89" s="1114"/>
      <c r="M89" s="1114"/>
      <c r="N89" s="1114"/>
      <c r="O89" s="1114"/>
      <c r="P89" s="1114"/>
      <c r="Q89" s="2622"/>
      <c r="R89" s="2622"/>
      <c r="S89" s="793"/>
    </row>
    <row r="90" spans="1:19" ht="15" customHeight="1">
      <c r="A90" s="579"/>
      <c r="B90" s="771" t="s">
        <v>2421</v>
      </c>
      <c r="C90" s="772">
        <v>3</v>
      </c>
      <c r="D90" s="773">
        <v>976</v>
      </c>
      <c r="E90" s="774">
        <v>1725</v>
      </c>
      <c r="F90" s="838"/>
      <c r="G90" s="831">
        <f>MAX(($E90-$D90)*$C90*12,0)</f>
        <v>26964</v>
      </c>
      <c r="H90" s="793"/>
      <c r="I90" s="810"/>
      <c r="J90" s="793"/>
      <c r="K90" s="1213" t="s">
        <v>1778</v>
      </c>
      <c r="L90" s="1114"/>
      <c r="M90" s="1114"/>
      <c r="N90" s="1114"/>
      <c r="O90" s="1114"/>
      <c r="P90" s="1114"/>
      <c r="Q90" s="2663"/>
      <c r="R90" s="2663"/>
      <c r="S90" s="793"/>
    </row>
    <row r="91" spans="1:19" ht="15" customHeight="1">
      <c r="A91" s="579"/>
      <c r="B91" s="771" t="s">
        <v>2422</v>
      </c>
      <c r="C91" s="772">
        <v>7</v>
      </c>
      <c r="D91" s="773">
        <v>1171</v>
      </c>
      <c r="E91" s="774">
        <v>2210</v>
      </c>
      <c r="F91" s="838"/>
      <c r="G91" s="831">
        <f t="shared" ref="G91:G97" si="0">MAX(($E91-$D91)*$C91*12,0)</f>
        <v>87276</v>
      </c>
      <c r="H91" s="793"/>
      <c r="I91" s="810"/>
      <c r="J91" s="793"/>
      <c r="K91" s="1213" t="s">
        <v>1782</v>
      </c>
      <c r="L91" s="1114"/>
      <c r="M91" s="1114"/>
      <c r="N91" s="1114"/>
      <c r="O91" s="1114"/>
      <c r="P91" s="1114"/>
      <c r="Q91" s="2625">
        <f>IFERROR(Q89/Q90,0)</f>
        <v>0</v>
      </c>
      <c r="R91" s="2625"/>
      <c r="S91" s="793"/>
    </row>
    <row r="92" spans="1:19" ht="15" customHeight="1">
      <c r="A92" s="579"/>
      <c r="B92" s="771" t="s">
        <v>2423</v>
      </c>
      <c r="C92" s="772">
        <v>14</v>
      </c>
      <c r="D92" s="773">
        <v>1353</v>
      </c>
      <c r="E92" s="774">
        <v>3070</v>
      </c>
      <c r="F92" s="838"/>
      <c r="G92" s="831">
        <f t="shared" si="0"/>
        <v>288456</v>
      </c>
      <c r="H92" s="793"/>
      <c r="I92" s="810"/>
      <c r="J92" s="793"/>
      <c r="S92" s="793"/>
    </row>
    <row r="93" spans="1:19" ht="15" customHeight="1">
      <c r="A93" s="579"/>
      <c r="B93" s="771" t="s">
        <v>677</v>
      </c>
      <c r="C93" s="772"/>
      <c r="D93" s="773"/>
      <c r="E93" s="774"/>
      <c r="F93" s="838"/>
      <c r="G93" s="831">
        <f t="shared" si="0"/>
        <v>0</v>
      </c>
      <c r="H93" s="793"/>
      <c r="I93" s="810"/>
      <c r="J93" s="793"/>
      <c r="K93" s="1214" t="s">
        <v>1783</v>
      </c>
      <c r="L93" s="1112"/>
      <c r="M93" s="1112"/>
      <c r="N93" s="1112"/>
      <c r="O93" s="1112"/>
      <c r="P93" s="1112"/>
      <c r="Q93" s="2619">
        <f>MAX(Q84,Q91)</f>
        <v>0</v>
      </c>
      <c r="R93" s="2619"/>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1880</v>
      </c>
      <c r="F98" s="1021"/>
      <c r="G98" s="1065">
        <f>SUM(G90:G97)</f>
        <v>402696</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1779</v>
      </c>
      <c r="C100" s="793"/>
      <c r="D100" s="983">
        <f>G98+Q93</f>
        <v>402696</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382561.2</v>
      </c>
      <c r="E102" s="793"/>
      <c r="F102" s="793"/>
      <c r="G102" s="793"/>
      <c r="H102" s="793"/>
      <c r="I102" s="793"/>
      <c r="J102" s="793"/>
      <c r="K102" s="793"/>
      <c r="L102" s="793"/>
      <c r="M102" s="793"/>
      <c r="N102" s="793"/>
      <c r="O102" s="793"/>
      <c r="P102" s="793"/>
      <c r="Q102" s="793"/>
      <c r="R102" s="793"/>
      <c r="S102" s="793"/>
    </row>
    <row r="103" spans="1:19" ht="15" customHeight="1">
      <c r="A103" s="793"/>
      <c r="B103" s="818" t="s">
        <v>1771</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1780</v>
      </c>
      <c r="C104" s="793"/>
      <c r="D104" s="983">
        <f>D102/D108</f>
        <v>332661.91304347827</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1772</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1773</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1774</v>
      </c>
      <c r="C110" s="807"/>
      <c r="D110" s="984">
        <f>PV(D107/12,D106*12,-D104/12, ,0)</f>
        <v>3747773.2334380075</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FD216"/>
  <sheetViews>
    <sheetView workbookViewId="0">
      <selection activeCell="A67" sqref="A67"/>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6">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3.8">
      <c r="A4" s="592" t="s">
        <v>1161</v>
      </c>
      <c r="B4" s="592"/>
      <c r="C4" s="616">
        <v>1.0249999999999999</v>
      </c>
      <c r="D4" s="592"/>
      <c r="E4" s="592">
        <f>Application!Y779</f>
        <v>1807968</v>
      </c>
      <c r="F4" s="592"/>
      <c r="G4" s="592">
        <f>E4*$C$4</f>
        <v>1853167.2</v>
      </c>
      <c r="H4" s="592"/>
      <c r="I4" s="592">
        <f>G4*$C$4</f>
        <v>1899496.38</v>
      </c>
      <c r="J4" s="592"/>
      <c r="K4" s="592">
        <f>I4*$C$4</f>
        <v>1946983.7894999997</v>
      </c>
      <c r="L4" s="592"/>
      <c r="M4" s="592">
        <f>K4*$C$4</f>
        <v>1995658.3842374994</v>
      </c>
      <c r="N4" s="592"/>
      <c r="O4" s="592">
        <f>M4*$C$4</f>
        <v>2045549.8438434368</v>
      </c>
      <c r="P4" s="592"/>
      <c r="Q4" s="592">
        <f>O4*$C$4</f>
        <v>2096688.5899395226</v>
      </c>
      <c r="R4" s="592"/>
      <c r="S4" s="592">
        <f>Q4*$C$4</f>
        <v>2149105.8046880104</v>
      </c>
      <c r="T4" s="592"/>
      <c r="U4" s="592">
        <f>S4*$C$4</f>
        <v>2202833.4498052103</v>
      </c>
      <c r="V4" s="592"/>
      <c r="W4" s="592">
        <f>U4*$C$4</f>
        <v>2257904.2860503406</v>
      </c>
      <c r="X4" s="592"/>
      <c r="Y4" s="592">
        <f>W4*$C$4</f>
        <v>2314351.8932015989</v>
      </c>
      <c r="Z4" s="592"/>
      <c r="AA4" s="592">
        <f>Y4*$C$4</f>
        <v>2372210.6905316385</v>
      </c>
      <c r="AB4" s="592"/>
      <c r="AC4" s="592">
        <f>AA4*$C$4</f>
        <v>2431515.9577949294</v>
      </c>
      <c r="AD4" s="592"/>
      <c r="AE4" s="592">
        <f>AC4*$C$4</f>
        <v>2492303.8567398023</v>
      </c>
      <c r="AF4" s="592"/>
      <c r="AG4" s="592">
        <f>AE4*$C$4</f>
        <v>2554611.4531582971</v>
      </c>
      <c r="AH4" s="592"/>
    </row>
    <row r="5" spans="1:34" ht="13.8">
      <c r="A5" s="582"/>
      <c r="B5" s="582" t="s">
        <v>1071</v>
      </c>
      <c r="C5" s="617">
        <f>IF(Application!$D$214="Special Needs",0.1,0.05)</f>
        <v>0.05</v>
      </c>
      <c r="D5" s="582"/>
      <c r="E5" s="594">
        <f>-E4*$C$5</f>
        <v>-90398.400000000009</v>
      </c>
      <c r="F5" s="594"/>
      <c r="G5" s="594">
        <f>-G4*$C$5</f>
        <v>-92658.36</v>
      </c>
      <c r="H5" s="594"/>
      <c r="I5" s="594">
        <f>-I4*$C$5</f>
        <v>-94974.819000000003</v>
      </c>
      <c r="J5" s="594"/>
      <c r="K5" s="594">
        <f>-K4*$C$5</f>
        <v>-97349.189474999992</v>
      </c>
      <c r="L5" s="594"/>
      <c r="M5" s="594">
        <f>-M4*$C$5</f>
        <v>-99782.919211874978</v>
      </c>
      <c r="N5" s="594"/>
      <c r="O5" s="594">
        <f>-O4*$C$5</f>
        <v>-102277.49219217185</v>
      </c>
      <c r="P5" s="594"/>
      <c r="Q5" s="594">
        <f>-Q4*$C$5</f>
        <v>-104834.42949697614</v>
      </c>
      <c r="R5" s="594"/>
      <c r="S5" s="594">
        <f>-S4*$C$5</f>
        <v>-107455.29023440053</v>
      </c>
      <c r="T5" s="594"/>
      <c r="U5" s="594">
        <f>-U4*$C$5</f>
        <v>-110141.67249026052</v>
      </c>
      <c r="V5" s="594"/>
      <c r="W5" s="594">
        <f>-W4*$C$5</f>
        <v>-112895.21430251704</v>
      </c>
      <c r="X5" s="594"/>
      <c r="Y5" s="594">
        <f>-Y4*$C$5</f>
        <v>-115717.59466007995</v>
      </c>
      <c r="Z5" s="594"/>
      <c r="AA5" s="594">
        <f>-AA4*$C$5</f>
        <v>-118610.53452658193</v>
      </c>
      <c r="AB5" s="594"/>
      <c r="AC5" s="594">
        <f>-AC4*$C$5</f>
        <v>-121575.79788974648</v>
      </c>
      <c r="AD5" s="594"/>
      <c r="AE5" s="594">
        <f>-AE4*$C$5</f>
        <v>-124615.19283699011</v>
      </c>
      <c r="AF5" s="594"/>
      <c r="AG5" s="594">
        <f>-AG4*$C$5</f>
        <v>-127730.57265791486</v>
      </c>
      <c r="AH5" s="582"/>
    </row>
    <row r="6" spans="1:34" ht="13.8">
      <c r="A6" s="582" t="s">
        <v>1162</v>
      </c>
      <c r="B6" s="582"/>
      <c r="C6" s="616">
        <v>1.0249999999999999</v>
      </c>
      <c r="D6" s="582"/>
      <c r="E6" s="595">
        <f>Application!Z787</f>
        <v>427176</v>
      </c>
      <c r="F6" s="595"/>
      <c r="G6" s="595">
        <f>E6*$C$6</f>
        <v>437855.39999999997</v>
      </c>
      <c r="H6" s="595"/>
      <c r="I6" s="595">
        <f>G6*$C$6</f>
        <v>448801.78499999992</v>
      </c>
      <c r="J6" s="595"/>
      <c r="K6" s="595">
        <f>I6*$C$6</f>
        <v>460021.8296249999</v>
      </c>
      <c r="L6" s="595"/>
      <c r="M6" s="595">
        <f>K6*$C$6</f>
        <v>471522.37536562484</v>
      </c>
      <c r="N6" s="595"/>
      <c r="O6" s="595">
        <f>M6*$C$6</f>
        <v>483310.43474976544</v>
      </c>
      <c r="P6" s="595"/>
      <c r="Q6" s="595">
        <f>O6*$C$6</f>
        <v>495393.19561850955</v>
      </c>
      <c r="R6" s="595"/>
      <c r="S6" s="595">
        <f>Q6*$C$6</f>
        <v>507778.02550897223</v>
      </c>
      <c r="T6" s="595"/>
      <c r="U6" s="595">
        <f>S6*$C$6</f>
        <v>520472.47614669648</v>
      </c>
      <c r="V6" s="595"/>
      <c r="W6" s="595">
        <f>U6*$C$6</f>
        <v>533484.28805036389</v>
      </c>
      <c r="X6" s="595"/>
      <c r="Y6" s="595">
        <f>W6*$C$6</f>
        <v>546821.39525162289</v>
      </c>
      <c r="Z6" s="595"/>
      <c r="AA6" s="595">
        <f>Y6*$C$6</f>
        <v>560491.9301329134</v>
      </c>
      <c r="AB6" s="595"/>
      <c r="AC6" s="595">
        <f>AA6*$C$6</f>
        <v>574504.22838623624</v>
      </c>
      <c r="AD6" s="595"/>
      <c r="AE6" s="595">
        <f>AC6*$C$6</f>
        <v>588866.83409589215</v>
      </c>
      <c r="AF6" s="595"/>
      <c r="AG6" s="595">
        <f>AE6*$C$6</f>
        <v>603588.50494828937</v>
      </c>
      <c r="AH6" s="582"/>
    </row>
    <row r="7" spans="1:34" ht="13.8">
      <c r="A7" s="582"/>
      <c r="B7" s="582" t="s">
        <v>1071</v>
      </c>
      <c r="C7" s="617">
        <f>IF(Application!$D$214="Special Needs",0.1,0.05)</f>
        <v>0.05</v>
      </c>
      <c r="D7" s="582"/>
      <c r="E7" s="594">
        <f>-E6*$C$7</f>
        <v>-21358.800000000003</v>
      </c>
      <c r="F7" s="594"/>
      <c r="G7" s="594">
        <f>-G6*$C$7</f>
        <v>-21892.77</v>
      </c>
      <c r="H7" s="594"/>
      <c r="I7" s="594">
        <f>-I6*$C$7</f>
        <v>-22440.089249999997</v>
      </c>
      <c r="J7" s="594"/>
      <c r="K7" s="594">
        <f>-K6*$C$7</f>
        <v>-23001.091481249998</v>
      </c>
      <c r="L7" s="594"/>
      <c r="M7" s="594">
        <f>-M6*$C$7</f>
        <v>-23576.118768281245</v>
      </c>
      <c r="N7" s="594"/>
      <c r="O7" s="594">
        <f>-O6*$C$7</f>
        <v>-24165.521737488274</v>
      </c>
      <c r="P7" s="594"/>
      <c r="Q7" s="594">
        <f>-Q6*$C$7</f>
        <v>-24769.659780925478</v>
      </c>
      <c r="R7" s="594"/>
      <c r="S7" s="594">
        <f>-S6*$C$7</f>
        <v>-25388.901275448614</v>
      </c>
      <c r="T7" s="594"/>
      <c r="U7" s="594">
        <f>-U6*$C$7</f>
        <v>-26023.623807334825</v>
      </c>
      <c r="V7" s="594"/>
      <c r="W7" s="594">
        <f>-W6*$C$7</f>
        <v>-26674.214402518195</v>
      </c>
      <c r="X7" s="594"/>
      <c r="Y7" s="594">
        <f>-Y6*$C$7</f>
        <v>-27341.069762581144</v>
      </c>
      <c r="Z7" s="594"/>
      <c r="AA7" s="594">
        <f>-AA6*$C$7</f>
        <v>-28024.59650664567</v>
      </c>
      <c r="AB7" s="594"/>
      <c r="AC7" s="594">
        <f>-AC6*$C$7</f>
        <v>-28725.211419311814</v>
      </c>
      <c r="AD7" s="594"/>
      <c r="AE7" s="594">
        <f>-AE6*$C$7</f>
        <v>-29443.34170479461</v>
      </c>
      <c r="AF7" s="594"/>
      <c r="AG7" s="594">
        <f>-AG6*$C$7</f>
        <v>-30179.425247414471</v>
      </c>
      <c r="AH7" s="582"/>
    </row>
    <row r="8" spans="1:34" ht="13.8">
      <c r="A8" s="582" t="s">
        <v>288</v>
      </c>
      <c r="B8" s="582"/>
      <c r="C8" s="616">
        <v>1.0249999999999999</v>
      </c>
      <c r="D8" s="582"/>
      <c r="E8" s="595">
        <f>Application!Z795</f>
        <v>26536</v>
      </c>
      <c r="F8" s="595"/>
      <c r="G8" s="595">
        <f>E8*$C$8</f>
        <v>27199.399999999998</v>
      </c>
      <c r="H8" s="595"/>
      <c r="I8" s="595">
        <f>G8*$C$8</f>
        <v>27879.384999999995</v>
      </c>
      <c r="J8" s="595"/>
      <c r="K8" s="595">
        <f>I8*$C$8</f>
        <v>28576.369624999992</v>
      </c>
      <c r="L8" s="595"/>
      <c r="M8" s="595">
        <f>K8*$C$8</f>
        <v>29290.77886562499</v>
      </c>
      <c r="N8" s="595"/>
      <c r="O8" s="595">
        <f>M8*$C$8</f>
        <v>30023.048337265613</v>
      </c>
      <c r="P8" s="595"/>
      <c r="Q8" s="595">
        <f>O8*$C$8</f>
        <v>30773.62454569725</v>
      </c>
      <c r="R8" s="595"/>
      <c r="S8" s="595">
        <f>Q8*$C$8</f>
        <v>31542.965159339677</v>
      </c>
      <c r="T8" s="595"/>
      <c r="U8" s="595">
        <f>S8*$C$8</f>
        <v>32331.539288323165</v>
      </c>
      <c r="V8" s="595"/>
      <c r="W8" s="595">
        <f>U8*$C$8</f>
        <v>33139.827770531243</v>
      </c>
      <c r="X8" s="595"/>
      <c r="Y8" s="595">
        <f>W8*$C$8</f>
        <v>33968.323464794521</v>
      </c>
      <c r="Z8" s="595"/>
      <c r="AA8" s="595">
        <f>Y8*$C$8</f>
        <v>34817.53155141438</v>
      </c>
      <c r="AB8" s="595"/>
      <c r="AC8" s="595">
        <f>AA8*$C$8</f>
        <v>35687.969840199738</v>
      </c>
      <c r="AD8" s="595"/>
      <c r="AE8" s="595">
        <f>AC8*$C$8</f>
        <v>36580.169086204725</v>
      </c>
      <c r="AF8" s="595"/>
      <c r="AG8" s="595">
        <f>AE8*$C$8</f>
        <v>37494.673313359839</v>
      </c>
      <c r="AH8" s="582"/>
    </row>
    <row r="9" spans="1:34" ht="13.8">
      <c r="A9" s="582"/>
      <c r="B9" s="582" t="s">
        <v>1071</v>
      </c>
      <c r="C9" s="617">
        <f>IF(Application!$D$214="Special Needs",0.1,0.05)</f>
        <v>0.05</v>
      </c>
      <c r="D9" s="582"/>
      <c r="E9" s="614">
        <f>-E8*$C$9</f>
        <v>-1326.8000000000002</v>
      </c>
      <c r="F9" s="594"/>
      <c r="G9" s="614">
        <f>-G8*$C$9</f>
        <v>-1359.97</v>
      </c>
      <c r="H9" s="594"/>
      <c r="I9" s="614">
        <f>-I8*$C$9</f>
        <v>-1393.9692499999999</v>
      </c>
      <c r="J9" s="594"/>
      <c r="K9" s="614">
        <f>-K8*$C$9</f>
        <v>-1428.8184812499996</v>
      </c>
      <c r="L9" s="594"/>
      <c r="M9" s="614">
        <f>-M8*$C$9</f>
        <v>-1464.5389432812497</v>
      </c>
      <c r="N9" s="594"/>
      <c r="O9" s="614">
        <f>-O8*$C$9</f>
        <v>-1501.1524168632807</v>
      </c>
      <c r="P9" s="594"/>
      <c r="Q9" s="614">
        <f>-Q8*$C$9</f>
        <v>-1538.6812272848626</v>
      </c>
      <c r="R9" s="594"/>
      <c r="S9" s="614">
        <f>-S8*$C$9</f>
        <v>-1577.1482579669839</v>
      </c>
      <c r="T9" s="594"/>
      <c r="U9" s="614">
        <f>-U8*$C$9</f>
        <v>-1616.5769644161583</v>
      </c>
      <c r="V9" s="594"/>
      <c r="W9" s="614">
        <f>-W8*$C$9</f>
        <v>-1656.9913885265623</v>
      </c>
      <c r="X9" s="594"/>
      <c r="Y9" s="614">
        <f>-Y8*$C$9</f>
        <v>-1698.416173239726</v>
      </c>
      <c r="Z9" s="594"/>
      <c r="AA9" s="614">
        <f>-AA8*$C$9</f>
        <v>-1740.8765775707191</v>
      </c>
      <c r="AB9" s="594"/>
      <c r="AC9" s="614">
        <f>-AC8*$C$9</f>
        <v>-1784.398492009987</v>
      </c>
      <c r="AD9" s="594"/>
      <c r="AE9" s="614">
        <f>-AE8*$C$9</f>
        <v>-1829.0084543102364</v>
      </c>
      <c r="AF9" s="594"/>
      <c r="AG9" s="614">
        <f>-AG8*$C$9</f>
        <v>-1874.733665667992</v>
      </c>
      <c r="AH9" s="582"/>
    </row>
    <row r="10" spans="1:34" ht="13.8">
      <c r="A10" s="596" t="s">
        <v>1163</v>
      </c>
      <c r="B10" s="596"/>
      <c r="C10" s="587"/>
      <c r="D10" s="596"/>
      <c r="E10" s="596">
        <f>SUM(E4:E9)</f>
        <v>2148596.0000000005</v>
      </c>
      <c r="F10" s="596"/>
      <c r="G10" s="596">
        <f>SUM(G4:G9)</f>
        <v>2202310.8999999994</v>
      </c>
      <c r="H10" s="596"/>
      <c r="I10" s="596">
        <f>SUM(I4:I9)</f>
        <v>2257368.6724999994</v>
      </c>
      <c r="J10" s="596"/>
      <c r="K10" s="596">
        <f>SUM(K4:K9)</f>
        <v>2313802.8893124997</v>
      </c>
      <c r="L10" s="596"/>
      <c r="M10" s="596">
        <f>SUM(M4:M9)</f>
        <v>2371647.9615453118</v>
      </c>
      <c r="N10" s="596"/>
      <c r="O10" s="596">
        <f>SUM(O4:O9)</f>
        <v>2430939.1605839441</v>
      </c>
      <c r="P10" s="596"/>
      <c r="Q10" s="596">
        <f>SUM(Q4:Q9)</f>
        <v>2491712.6395985428</v>
      </c>
      <c r="R10" s="596"/>
      <c r="S10" s="596">
        <f>SUM(S4:S9)</f>
        <v>2554005.4555885065</v>
      </c>
      <c r="T10" s="596"/>
      <c r="U10" s="596">
        <f>SUM(U4:U9)</f>
        <v>2617855.5919782189</v>
      </c>
      <c r="V10" s="596"/>
      <c r="W10" s="596">
        <f>SUM(W4:W9)</f>
        <v>2683301.9817776736</v>
      </c>
      <c r="X10" s="596"/>
      <c r="Y10" s="596">
        <f>SUM(Y4:Y9)</f>
        <v>2750384.5313221156</v>
      </c>
      <c r="Z10" s="596"/>
      <c r="AA10" s="596">
        <f>SUM(AA4:AA9)</f>
        <v>2819144.1446051677</v>
      </c>
      <c r="AB10" s="596"/>
      <c r="AC10" s="596">
        <f>SUM(AC4:AC9)</f>
        <v>2889622.7482202975</v>
      </c>
      <c r="AD10" s="596"/>
      <c r="AE10" s="596">
        <f>SUM(AE4:AE9)</f>
        <v>2961863.3169258041</v>
      </c>
      <c r="AF10" s="596"/>
      <c r="AG10" s="596">
        <f>SUM(AG4:AG9)</f>
        <v>3035909.8998489492</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6">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3.8">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3.8">
      <c r="A14" s="592" t="s">
        <v>1166</v>
      </c>
      <c r="B14" s="592"/>
      <c r="C14" s="607"/>
      <c r="D14" s="592"/>
      <c r="E14" s="592">
        <f>Application!W825</f>
        <v>68000</v>
      </c>
      <c r="F14" s="592"/>
      <c r="G14" s="592">
        <f t="shared" ref="G14:G20" si="0">E14*$C$13</f>
        <v>70380</v>
      </c>
      <c r="H14" s="592"/>
      <c r="I14" s="592">
        <f t="shared" ref="I14:I20" si="1">G14*$C$13</f>
        <v>72843.299999999988</v>
      </c>
      <c r="J14" s="592"/>
      <c r="K14" s="592">
        <f t="shared" ref="K14:K20" si="2">I14*$C$13</f>
        <v>75392.815499999982</v>
      </c>
      <c r="L14" s="592"/>
      <c r="M14" s="592">
        <f t="shared" ref="M14:M20" si="3">K14*$C$13</f>
        <v>78031.564042499973</v>
      </c>
      <c r="N14" s="592"/>
      <c r="O14" s="592">
        <f t="shared" ref="O14:O20" si="4">M14*$C$13</f>
        <v>80762.668783987465</v>
      </c>
      <c r="P14" s="592"/>
      <c r="Q14" s="592">
        <f t="shared" ref="Q14:Q20" si="5">O14*$C$13</f>
        <v>83589.362191427019</v>
      </c>
      <c r="R14" s="592"/>
      <c r="S14" s="592">
        <f t="shared" ref="S14:S20" si="6">Q14*$C$13</f>
        <v>86514.989868126955</v>
      </c>
      <c r="T14" s="592"/>
      <c r="U14" s="592">
        <f t="shared" ref="U14:U20" si="7">S14*$C$13</f>
        <v>89543.014513511385</v>
      </c>
      <c r="V14" s="592"/>
      <c r="W14" s="592">
        <f t="shared" ref="W14:W20" si="8">U14*$C$13</f>
        <v>92677.020021484277</v>
      </c>
      <c r="X14" s="592"/>
      <c r="Y14" s="592">
        <f t="shared" ref="Y14:Y20" si="9">W14*$C$13</f>
        <v>95920.715722236215</v>
      </c>
      <c r="Z14" s="592"/>
      <c r="AA14" s="592">
        <f t="shared" ref="AA14:AA20" si="10">Y14*$C$13</f>
        <v>99277.94077251447</v>
      </c>
      <c r="AB14" s="592"/>
      <c r="AC14" s="592">
        <f t="shared" ref="AC14:AC20" si="11">AA14*$C$13</f>
        <v>102752.66869955247</v>
      </c>
      <c r="AD14" s="592"/>
      <c r="AE14" s="592">
        <f t="shared" ref="AE14:AE20" si="12">AC14*$C$13</f>
        <v>106349.0121040368</v>
      </c>
      <c r="AF14" s="592"/>
      <c r="AG14" s="592">
        <f t="shared" ref="AG14:AG20" si="13">AE14*$C$13</f>
        <v>110071.22752767807</v>
      </c>
      <c r="AH14" s="592"/>
    </row>
    <row r="15" spans="1:34" ht="13.8">
      <c r="A15" s="582" t="s">
        <v>514</v>
      </c>
      <c r="B15" s="582"/>
      <c r="C15" s="606"/>
      <c r="D15" s="582"/>
      <c r="E15" s="595">
        <f>Application!W827</f>
        <v>107509</v>
      </c>
      <c r="F15" s="595"/>
      <c r="G15" s="595">
        <f t="shared" si="0"/>
        <v>111271.81499999999</v>
      </c>
      <c r="H15" s="595"/>
      <c r="I15" s="595">
        <f t="shared" si="1"/>
        <v>115166.32852499998</v>
      </c>
      <c r="J15" s="595"/>
      <c r="K15" s="595">
        <f t="shared" si="2"/>
        <v>119197.15002337497</v>
      </c>
      <c r="L15" s="595"/>
      <c r="M15" s="595">
        <f t="shared" si="3"/>
        <v>123369.05027419308</v>
      </c>
      <c r="N15" s="595"/>
      <c r="O15" s="595">
        <f t="shared" si="4"/>
        <v>127686.96703378983</v>
      </c>
      <c r="P15" s="595"/>
      <c r="Q15" s="595">
        <f t="shared" si="5"/>
        <v>132156.01087997245</v>
      </c>
      <c r="R15" s="595"/>
      <c r="S15" s="595">
        <f t="shared" si="6"/>
        <v>136781.47126077148</v>
      </c>
      <c r="T15" s="595"/>
      <c r="U15" s="595">
        <f t="shared" si="7"/>
        <v>141568.82275489846</v>
      </c>
      <c r="V15" s="595"/>
      <c r="W15" s="595">
        <f t="shared" si="8"/>
        <v>146523.73155131988</v>
      </c>
      <c r="X15" s="595"/>
      <c r="Y15" s="595">
        <f t="shared" si="9"/>
        <v>151652.06215561606</v>
      </c>
      <c r="Z15" s="595"/>
      <c r="AA15" s="595">
        <f t="shared" si="10"/>
        <v>156959.88433106261</v>
      </c>
      <c r="AB15" s="595"/>
      <c r="AC15" s="595">
        <f t="shared" si="11"/>
        <v>162453.48028264978</v>
      </c>
      <c r="AD15" s="595"/>
      <c r="AE15" s="595">
        <f t="shared" si="12"/>
        <v>168139.35209254251</v>
      </c>
      <c r="AF15" s="595"/>
      <c r="AG15" s="595">
        <f t="shared" si="13"/>
        <v>174024.22941578148</v>
      </c>
      <c r="AH15" s="582"/>
    </row>
    <row r="16" spans="1:34" ht="13.8">
      <c r="A16" s="582" t="s">
        <v>796</v>
      </c>
      <c r="B16" s="582"/>
      <c r="C16" s="606"/>
      <c r="D16" s="582"/>
      <c r="E16" s="595">
        <f>Application!W833</f>
        <v>141660</v>
      </c>
      <c r="F16" s="595"/>
      <c r="G16" s="595">
        <f t="shared" si="0"/>
        <v>146618.09999999998</v>
      </c>
      <c r="H16" s="595"/>
      <c r="I16" s="595">
        <f t="shared" si="1"/>
        <v>151749.73349999997</v>
      </c>
      <c r="J16" s="595"/>
      <c r="K16" s="595">
        <f t="shared" si="2"/>
        <v>157060.97417249996</v>
      </c>
      <c r="L16" s="595"/>
      <c r="M16" s="595">
        <f t="shared" si="3"/>
        <v>162558.10826853744</v>
      </c>
      <c r="N16" s="595"/>
      <c r="O16" s="595">
        <f t="shared" si="4"/>
        <v>168247.64205793623</v>
      </c>
      <c r="P16" s="595"/>
      <c r="Q16" s="595">
        <f t="shared" si="5"/>
        <v>174136.309529964</v>
      </c>
      <c r="R16" s="595"/>
      <c r="S16" s="595">
        <f t="shared" si="6"/>
        <v>180231.08036351274</v>
      </c>
      <c r="T16" s="595"/>
      <c r="U16" s="595">
        <f t="shared" si="7"/>
        <v>186539.16817623566</v>
      </c>
      <c r="V16" s="595"/>
      <c r="W16" s="595">
        <f t="shared" si="8"/>
        <v>193068.0390624039</v>
      </c>
      <c r="X16" s="595"/>
      <c r="Y16" s="595">
        <f t="shared" si="9"/>
        <v>199825.42042958803</v>
      </c>
      <c r="Z16" s="595"/>
      <c r="AA16" s="595">
        <f t="shared" si="10"/>
        <v>206819.3101446236</v>
      </c>
      <c r="AB16" s="595"/>
      <c r="AC16" s="595">
        <f t="shared" si="11"/>
        <v>214057.98599968539</v>
      </c>
      <c r="AD16" s="595"/>
      <c r="AE16" s="595">
        <f t="shared" si="12"/>
        <v>221550.01550967435</v>
      </c>
      <c r="AF16" s="595"/>
      <c r="AG16" s="595">
        <f t="shared" si="13"/>
        <v>229304.26605251295</v>
      </c>
      <c r="AH16" s="582"/>
    </row>
    <row r="17" spans="1:33" ht="13.8">
      <c r="A17" s="582" t="s">
        <v>1167</v>
      </c>
      <c r="B17" s="582"/>
      <c r="C17" s="606"/>
      <c r="D17" s="582"/>
      <c r="E17" s="595">
        <f>Application!W840</f>
        <v>171383</v>
      </c>
      <c r="F17" s="595"/>
      <c r="G17" s="595">
        <f t="shared" si="0"/>
        <v>177381.405</v>
      </c>
      <c r="H17" s="595"/>
      <c r="I17" s="595">
        <f t="shared" si="1"/>
        <v>183589.75417499998</v>
      </c>
      <c r="J17" s="595"/>
      <c r="K17" s="595">
        <f t="shared" si="2"/>
        <v>190015.39557112497</v>
      </c>
      <c r="L17" s="595"/>
      <c r="M17" s="595">
        <f t="shared" si="3"/>
        <v>196665.93441611432</v>
      </c>
      <c r="N17" s="595"/>
      <c r="O17" s="595">
        <f t="shared" si="4"/>
        <v>203549.2421206783</v>
      </c>
      <c r="P17" s="595"/>
      <c r="Q17" s="595">
        <f t="shared" si="5"/>
        <v>210673.46559490202</v>
      </c>
      <c r="R17" s="595"/>
      <c r="S17" s="595">
        <f t="shared" si="6"/>
        <v>218047.03689072357</v>
      </c>
      <c r="T17" s="595"/>
      <c r="U17" s="595">
        <f t="shared" si="7"/>
        <v>225678.68318189887</v>
      </c>
      <c r="V17" s="595"/>
      <c r="W17" s="595">
        <f t="shared" si="8"/>
        <v>233577.43709326533</v>
      </c>
      <c r="X17" s="595"/>
      <c r="Y17" s="595">
        <f t="shared" si="9"/>
        <v>241752.64739152958</v>
      </c>
      <c r="Z17" s="595"/>
      <c r="AA17" s="595">
        <f t="shared" si="10"/>
        <v>250213.99005023309</v>
      </c>
      <c r="AB17" s="595"/>
      <c r="AC17" s="595">
        <f t="shared" si="11"/>
        <v>258971.47970199122</v>
      </c>
      <c r="AD17" s="595"/>
      <c r="AE17" s="595">
        <f t="shared" si="12"/>
        <v>268035.48149156087</v>
      </c>
      <c r="AF17" s="595"/>
      <c r="AG17" s="595">
        <f t="shared" si="13"/>
        <v>277416.72334376548</v>
      </c>
    </row>
    <row r="18" spans="1:33" ht="13.8">
      <c r="A18" s="582" t="s">
        <v>1014</v>
      </c>
      <c r="B18" s="582"/>
      <c r="C18" s="606"/>
      <c r="D18" s="582"/>
      <c r="E18" s="595">
        <f>Application!W841</f>
        <v>26000</v>
      </c>
      <c r="F18" s="595"/>
      <c r="G18" s="595">
        <f t="shared" si="0"/>
        <v>26909.999999999996</v>
      </c>
      <c r="H18" s="595"/>
      <c r="I18" s="595">
        <f t="shared" si="1"/>
        <v>27851.849999999995</v>
      </c>
      <c r="J18" s="595"/>
      <c r="K18" s="595">
        <f t="shared" si="2"/>
        <v>28826.664749999993</v>
      </c>
      <c r="L18" s="595"/>
      <c r="M18" s="595">
        <f t="shared" si="3"/>
        <v>29835.598016249991</v>
      </c>
      <c r="N18" s="595"/>
      <c r="O18" s="595">
        <f t="shared" si="4"/>
        <v>30879.843946818739</v>
      </c>
      <c r="P18" s="595"/>
      <c r="Q18" s="595">
        <f t="shared" si="5"/>
        <v>31960.638484957391</v>
      </c>
      <c r="R18" s="595"/>
      <c r="S18" s="595">
        <f t="shared" si="6"/>
        <v>33079.2608319309</v>
      </c>
      <c r="T18" s="595"/>
      <c r="U18" s="595">
        <f t="shared" si="7"/>
        <v>34237.034961048477</v>
      </c>
      <c r="V18" s="595"/>
      <c r="W18" s="595">
        <f t="shared" si="8"/>
        <v>35435.331184685172</v>
      </c>
      <c r="X18" s="595"/>
      <c r="Y18" s="595">
        <f t="shared" si="9"/>
        <v>36675.567776149153</v>
      </c>
      <c r="Z18" s="595"/>
      <c r="AA18" s="595">
        <f t="shared" si="10"/>
        <v>37959.212648314373</v>
      </c>
      <c r="AB18" s="595"/>
      <c r="AC18" s="595">
        <f t="shared" si="11"/>
        <v>39287.785091005375</v>
      </c>
      <c r="AD18" s="595"/>
      <c r="AE18" s="595">
        <f t="shared" si="12"/>
        <v>40662.857569190557</v>
      </c>
      <c r="AF18" s="595"/>
      <c r="AG18" s="595">
        <f t="shared" si="13"/>
        <v>42086.057584112226</v>
      </c>
    </row>
    <row r="19" spans="1:33" ht="13.8">
      <c r="A19" s="582" t="s">
        <v>60</v>
      </c>
      <c r="B19" s="582"/>
      <c r="C19" s="606"/>
      <c r="D19" s="582"/>
      <c r="E19" s="595">
        <f>Application!W850</f>
        <v>102000</v>
      </c>
      <c r="F19" s="595"/>
      <c r="G19" s="595">
        <f t="shared" si="0"/>
        <v>105569.99999999999</v>
      </c>
      <c r="H19" s="595"/>
      <c r="I19" s="595">
        <f t="shared" si="1"/>
        <v>109264.94999999998</v>
      </c>
      <c r="J19" s="595"/>
      <c r="K19" s="595">
        <f t="shared" si="2"/>
        <v>113089.22324999997</v>
      </c>
      <c r="L19" s="595"/>
      <c r="M19" s="595">
        <f t="shared" si="3"/>
        <v>117047.34606374995</v>
      </c>
      <c r="N19" s="595"/>
      <c r="O19" s="595">
        <f t="shared" si="4"/>
        <v>121144.0031759812</v>
      </c>
      <c r="P19" s="595"/>
      <c r="Q19" s="595">
        <f t="shared" si="5"/>
        <v>125384.04328714054</v>
      </c>
      <c r="R19" s="595"/>
      <c r="S19" s="595">
        <f t="shared" si="6"/>
        <v>129772.48480219045</v>
      </c>
      <c r="T19" s="595"/>
      <c r="U19" s="595">
        <f t="shared" si="7"/>
        <v>134314.52177026711</v>
      </c>
      <c r="V19" s="595"/>
      <c r="W19" s="595">
        <f t="shared" si="8"/>
        <v>139015.53003222644</v>
      </c>
      <c r="X19" s="595"/>
      <c r="Y19" s="595">
        <f t="shared" si="9"/>
        <v>143881.07358335436</v>
      </c>
      <c r="Z19" s="595"/>
      <c r="AA19" s="595">
        <f t="shared" si="10"/>
        <v>148916.91115877175</v>
      </c>
      <c r="AB19" s="595"/>
      <c r="AC19" s="595">
        <f t="shared" si="11"/>
        <v>154129.00304932875</v>
      </c>
      <c r="AD19" s="595"/>
      <c r="AE19" s="595">
        <f t="shared" si="12"/>
        <v>159523.51815605524</v>
      </c>
      <c r="AF19" s="595"/>
      <c r="AG19" s="595">
        <f t="shared" si="13"/>
        <v>165106.84129151716</v>
      </c>
    </row>
    <row r="20" spans="1:33" ht="13.8">
      <c r="A20" s="746" t="s">
        <v>1318</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3.8">
      <c r="A21" s="596" t="s">
        <v>1168</v>
      </c>
      <c r="B21" s="596"/>
      <c r="C21" s="606"/>
      <c r="D21" s="596"/>
      <c r="E21" s="596">
        <f>SUM(E14:E20)</f>
        <v>616552</v>
      </c>
      <c r="F21" s="596"/>
      <c r="G21" s="596">
        <f>SUM(G14:G20)</f>
        <v>638131.31999999995</v>
      </c>
      <c r="H21" s="596"/>
      <c r="I21" s="596">
        <f>SUM(I14:I20)</f>
        <v>660465.91619999986</v>
      </c>
      <c r="J21" s="596"/>
      <c r="K21" s="596">
        <f>SUM(K14:K20)</f>
        <v>683582.22326699982</v>
      </c>
      <c r="L21" s="596"/>
      <c r="M21" s="596">
        <f>SUM(M14:M20)</f>
        <v>707507.60108134476</v>
      </c>
      <c r="N21" s="596"/>
      <c r="O21" s="596">
        <f>SUM(O14:O20)</f>
        <v>732270.3671191918</v>
      </c>
      <c r="P21" s="596"/>
      <c r="Q21" s="596">
        <f>SUM(Q14:Q20)</f>
        <v>757899.8299683634</v>
      </c>
      <c r="R21" s="596"/>
      <c r="S21" s="596">
        <f>SUM(S14:S20)</f>
        <v>784426.32401725603</v>
      </c>
      <c r="T21" s="596"/>
      <c r="U21" s="596">
        <f>SUM(U14:U20)</f>
        <v>811881.24535786011</v>
      </c>
      <c r="V21" s="596"/>
      <c r="W21" s="596">
        <f>SUM(W14:W20)</f>
        <v>840297.08894538495</v>
      </c>
      <c r="X21" s="596"/>
      <c r="Y21" s="596">
        <f>SUM(Y14:Y20)</f>
        <v>869707.4870584734</v>
      </c>
      <c r="Z21" s="596"/>
      <c r="AA21" s="596">
        <f>SUM(AA14:AA20)</f>
        <v>900147.24910551985</v>
      </c>
      <c r="AB21" s="596"/>
      <c r="AC21" s="596">
        <f>SUM(AC14:AC20)</f>
        <v>931652.40282421303</v>
      </c>
      <c r="AD21" s="596"/>
      <c r="AE21" s="596">
        <f>SUM(AE14:AE20)</f>
        <v>964260.23692306038</v>
      </c>
      <c r="AF21" s="596"/>
      <c r="AG21" s="596">
        <f>SUM(AG14:AG20)</f>
        <v>998009.34521536739</v>
      </c>
    </row>
    <row r="22" spans="1:33" s="1334" customFormat="1" ht="13.8">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3.8">
      <c r="A23" s="1353" t="s">
        <v>2141</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3.8">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3.8">
      <c r="A25" s="582" t="s">
        <v>1481</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3.8">
      <c r="A26" s="582" t="s">
        <v>1169</v>
      </c>
      <c r="B26" s="582"/>
      <c r="C26" s="618">
        <v>1.0349999999999999</v>
      </c>
      <c r="D26" s="582"/>
      <c r="E26" s="595">
        <f>Application!AC866</f>
        <v>45000</v>
      </c>
      <c r="F26" s="595"/>
      <c r="G26" s="595">
        <f>E26*$C$26</f>
        <v>46575</v>
      </c>
      <c r="H26" s="595"/>
      <c r="I26" s="595">
        <f>G26*$C$26</f>
        <v>48205.124999999993</v>
      </c>
      <c r="J26" s="595"/>
      <c r="K26" s="595">
        <f>I26*$C$26</f>
        <v>49892.304374999985</v>
      </c>
      <c r="L26" s="595"/>
      <c r="M26" s="595">
        <f>K26*$C$26</f>
        <v>51638.535028124978</v>
      </c>
      <c r="N26" s="595"/>
      <c r="O26" s="595">
        <f>M26*$C$26</f>
        <v>53445.883754109345</v>
      </c>
      <c r="P26" s="595"/>
      <c r="Q26" s="595">
        <f>O26*$C$26</f>
        <v>55316.489685503169</v>
      </c>
      <c r="R26" s="595"/>
      <c r="S26" s="595">
        <f>Q26*$C$26</f>
        <v>57252.566824495778</v>
      </c>
      <c r="T26" s="595"/>
      <c r="U26" s="595">
        <f>S26*$C$26</f>
        <v>59256.406663353126</v>
      </c>
      <c r="V26" s="595"/>
      <c r="W26" s="595">
        <f>U26*$C$26</f>
        <v>61330.380896570481</v>
      </c>
      <c r="X26" s="595"/>
      <c r="Y26" s="595">
        <f>W26*$C$26</f>
        <v>63476.944227950444</v>
      </c>
      <c r="Z26" s="595"/>
      <c r="AA26" s="595">
        <f>Y26*$C$26</f>
        <v>65698.637275928704</v>
      </c>
      <c r="AB26" s="595"/>
      <c r="AC26" s="595">
        <f>AA26*$C$26</f>
        <v>67998.089580586209</v>
      </c>
      <c r="AD26" s="595"/>
      <c r="AE26" s="595">
        <f>AC26*$C$26</f>
        <v>70378.022715906714</v>
      </c>
      <c r="AF26" s="595"/>
      <c r="AG26" s="595">
        <f>AE26*$C$26</f>
        <v>72841.253510963448</v>
      </c>
    </row>
    <row r="27" spans="1:33" ht="13.8">
      <c r="A27" s="1353" t="s">
        <v>1170</v>
      </c>
      <c r="B27" s="582"/>
      <c r="C27" s="618"/>
      <c r="D27" s="582"/>
      <c r="E27" s="595">
        <f>Application!AC867</f>
        <v>24000</v>
      </c>
      <c r="F27" s="595"/>
      <c r="G27" s="595">
        <f>$E$27</f>
        <v>24000</v>
      </c>
      <c r="H27" s="595"/>
      <c r="I27" s="595">
        <f>$E$27</f>
        <v>24000</v>
      </c>
      <c r="J27" s="595"/>
      <c r="K27" s="595">
        <f>$E$27</f>
        <v>24000</v>
      </c>
      <c r="L27" s="595"/>
      <c r="M27" s="595">
        <f>$E$27</f>
        <v>24000</v>
      </c>
      <c r="N27" s="595"/>
      <c r="O27" s="595">
        <f>$E$27</f>
        <v>24000</v>
      </c>
      <c r="P27" s="595"/>
      <c r="Q27" s="595">
        <f>$E$27</f>
        <v>24000</v>
      </c>
      <c r="R27" s="595"/>
      <c r="S27" s="595">
        <f>$E$27</f>
        <v>24000</v>
      </c>
      <c r="T27" s="595"/>
      <c r="U27" s="595">
        <f>$E$27</f>
        <v>24000</v>
      </c>
      <c r="V27" s="595"/>
      <c r="W27" s="595">
        <f>$E$27</f>
        <v>24000</v>
      </c>
      <c r="X27" s="595"/>
      <c r="Y27" s="595">
        <f>$E$27</f>
        <v>24000</v>
      </c>
      <c r="Z27" s="595"/>
      <c r="AA27" s="595">
        <f>$E$27</f>
        <v>24000</v>
      </c>
      <c r="AB27" s="595"/>
      <c r="AC27" s="595">
        <f>$E$27</f>
        <v>24000</v>
      </c>
      <c r="AD27" s="595"/>
      <c r="AE27" s="595">
        <f>$E$27</f>
        <v>24000</v>
      </c>
      <c r="AF27" s="595"/>
      <c r="AG27" s="595">
        <f>$E$27</f>
        <v>24000</v>
      </c>
    </row>
    <row r="28" spans="1:33" s="1334" customFormat="1" ht="13.8">
      <c r="A28" s="1353" t="s">
        <v>2142</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3.8">
      <c r="A29" s="1353" t="s">
        <v>1171</v>
      </c>
      <c r="B29" s="582"/>
      <c r="C29" s="616">
        <v>1.02</v>
      </c>
      <c r="D29" s="582"/>
      <c r="E29" s="595">
        <f>Application!AC869</f>
        <v>7000</v>
      </c>
      <c r="F29" s="595"/>
      <c r="G29" s="595">
        <f>E29*$C$29</f>
        <v>7140</v>
      </c>
      <c r="H29" s="595"/>
      <c r="I29" s="595">
        <f>G29*$C$29</f>
        <v>7282.8</v>
      </c>
      <c r="J29" s="595"/>
      <c r="K29" s="595">
        <f>I29*$C$29</f>
        <v>7428.4560000000001</v>
      </c>
      <c r="L29" s="595"/>
      <c r="M29" s="595">
        <f>K29*$C$29</f>
        <v>7577.0251200000002</v>
      </c>
      <c r="N29" s="595"/>
      <c r="O29" s="595">
        <f>M29*$C$29</f>
        <v>7728.5656224000004</v>
      </c>
      <c r="P29" s="595"/>
      <c r="Q29" s="595">
        <f>O29*$C$29</f>
        <v>7883.1369348480002</v>
      </c>
      <c r="R29" s="595"/>
      <c r="S29" s="595">
        <f>Q29*$C$29</f>
        <v>8040.7996735449606</v>
      </c>
      <c r="T29" s="595"/>
      <c r="U29" s="595">
        <f>S29*$C$29</f>
        <v>8201.6156670158598</v>
      </c>
      <c r="V29" s="595"/>
      <c r="W29" s="595">
        <f>U29*$C$29</f>
        <v>8365.6479803561779</v>
      </c>
      <c r="X29" s="595"/>
      <c r="Y29" s="595">
        <f>W29*$C$29</f>
        <v>8532.9609399633009</v>
      </c>
      <c r="Z29" s="595"/>
      <c r="AA29" s="595">
        <f>Y29*$C$29</f>
        <v>8703.6201587625674</v>
      </c>
      <c r="AB29" s="595"/>
      <c r="AC29" s="595">
        <f>AA29*$C$29</f>
        <v>8877.692561937818</v>
      </c>
      <c r="AD29" s="595"/>
      <c r="AE29" s="595">
        <f>AC29*$C$29</f>
        <v>9055.2464131765737</v>
      </c>
      <c r="AF29" s="595"/>
      <c r="AG29" s="595">
        <f>AE29*$C$29</f>
        <v>9236.3513414401059</v>
      </c>
    </row>
    <row r="30" spans="1:33" s="1334" customFormat="1" ht="13.8">
      <c r="A30" s="1353" t="s">
        <v>2143</v>
      </c>
      <c r="B30" s="582"/>
      <c r="C30" s="616">
        <v>1.02</v>
      </c>
      <c r="D30" s="582"/>
      <c r="E30" s="595">
        <f>Application!AC870</f>
        <v>105004</v>
      </c>
      <c r="F30" s="595"/>
      <c r="G30" s="595">
        <f>E30*$C$30</f>
        <v>107104.08</v>
      </c>
      <c r="H30" s="595"/>
      <c r="I30" s="595">
        <f>G30*$C$30</f>
        <v>109246.16160000001</v>
      </c>
      <c r="J30" s="595"/>
      <c r="K30" s="595">
        <f>I30*$C$30</f>
        <v>111431.08483200001</v>
      </c>
      <c r="L30" s="595"/>
      <c r="M30" s="595">
        <f>K30*$C$30</f>
        <v>113659.70652864</v>
      </c>
      <c r="N30" s="595"/>
      <c r="O30" s="595">
        <f>M30*$C$30</f>
        <v>115932.9006592128</v>
      </c>
      <c r="P30" s="595"/>
      <c r="Q30" s="595">
        <f>O30*$C$30</f>
        <v>118251.55867239706</v>
      </c>
      <c r="R30" s="595"/>
      <c r="S30" s="595">
        <f>Q30*$C$30</f>
        <v>120616.58984584501</v>
      </c>
      <c r="T30" s="595"/>
      <c r="U30" s="595">
        <f>S30*$C$30</f>
        <v>123028.92164276191</v>
      </c>
      <c r="V30" s="595"/>
      <c r="W30" s="595">
        <f>U30*$C$30</f>
        <v>125489.50007561715</v>
      </c>
      <c r="X30" s="595"/>
      <c r="Y30" s="595">
        <f>W30*$C$30</f>
        <v>127999.2900771295</v>
      </c>
      <c r="Z30" s="595"/>
      <c r="AA30" s="595">
        <f>Y30*$C$30</f>
        <v>130559.27587867208</v>
      </c>
      <c r="AB30" s="595"/>
      <c r="AC30" s="595">
        <f>AA30*$C$30</f>
        <v>133170.46139624552</v>
      </c>
      <c r="AD30" s="595"/>
      <c r="AE30" s="595">
        <f>AC30*$C$30</f>
        <v>135833.87062417043</v>
      </c>
      <c r="AF30" s="595"/>
      <c r="AG30" s="595">
        <f>AE30*$C$30</f>
        <v>138550.54803665384</v>
      </c>
    </row>
    <row r="31" spans="1:33" ht="13.8">
      <c r="A31" s="599" t="str">
        <f>Application!E871</f>
        <v>Other (Specify): County HOME monitoring fee</v>
      </c>
      <c r="B31" s="599"/>
      <c r="C31" s="752">
        <v>1.01</v>
      </c>
      <c r="D31" s="582"/>
      <c r="E31" s="595">
        <f>Application!AC871</f>
        <v>4000</v>
      </c>
      <c r="F31" s="595"/>
      <c r="G31" s="595">
        <f>E31*$C$31</f>
        <v>4040</v>
      </c>
      <c r="H31" s="595"/>
      <c r="I31" s="595">
        <f>G31*$C$31</f>
        <v>4080.4</v>
      </c>
      <c r="J31" s="595"/>
      <c r="K31" s="595">
        <f>I31*$C$31</f>
        <v>4121.2039999999997</v>
      </c>
      <c r="L31" s="595"/>
      <c r="M31" s="595">
        <f>K31*$C$31</f>
        <v>4162.4160400000001</v>
      </c>
      <c r="N31" s="595"/>
      <c r="O31" s="595">
        <f>M31*$C$31</f>
        <v>4204.0402003999998</v>
      </c>
      <c r="P31" s="595"/>
      <c r="Q31" s="595">
        <f>O31*$C$31</f>
        <v>4246.0806024039994</v>
      </c>
      <c r="R31" s="595"/>
      <c r="S31" s="595">
        <f>Q31*$C$31</f>
        <v>4288.5414084280392</v>
      </c>
      <c r="T31" s="595"/>
      <c r="U31" s="595">
        <f>S31*$C$31</f>
        <v>4331.4268225123196</v>
      </c>
      <c r="V31" s="595"/>
      <c r="W31" s="595">
        <f>U31*$C$31</f>
        <v>4374.7410907374433</v>
      </c>
      <c r="X31" s="595"/>
      <c r="Y31" s="595">
        <f>W31*$C$31</f>
        <v>4418.4885016448179</v>
      </c>
      <c r="Z31" s="595"/>
      <c r="AA31" s="595">
        <f>Y31*$C$31</f>
        <v>4462.6733866612658</v>
      </c>
      <c r="AB31" s="595"/>
      <c r="AC31" s="595">
        <f>AA31*$C$31</f>
        <v>4507.3001205278788</v>
      </c>
      <c r="AD31" s="595"/>
      <c r="AE31" s="595">
        <f>AC31*$C$31</f>
        <v>4552.3731217331579</v>
      </c>
      <c r="AF31" s="595"/>
      <c r="AG31" s="595">
        <f>AE31*$C$31</f>
        <v>4597.8968529504891</v>
      </c>
    </row>
    <row r="32" spans="1:33" ht="13.8">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3.8">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3.8">
      <c r="A34" s="596" t="s">
        <v>164</v>
      </c>
      <c r="B34" s="596"/>
      <c r="C34" s="597"/>
      <c r="D34" s="596"/>
      <c r="E34" s="596">
        <f>SUM(E21:E32)</f>
        <v>801556</v>
      </c>
      <c r="F34" s="596"/>
      <c r="G34" s="596">
        <f>SUM(G21:G32)</f>
        <v>826990.39999999991</v>
      </c>
      <c r="H34" s="596"/>
      <c r="I34" s="596">
        <f>SUM(I21:I32)</f>
        <v>853280.40279999992</v>
      </c>
      <c r="J34" s="596"/>
      <c r="K34" s="596">
        <f>SUM(K21:K32)</f>
        <v>880455.27247399976</v>
      </c>
      <c r="L34" s="596"/>
      <c r="M34" s="596">
        <f>SUM(M21:M32)</f>
        <v>908545.28379810974</v>
      </c>
      <c r="N34" s="596"/>
      <c r="O34" s="596">
        <f>SUM(O21:O32)</f>
        <v>937581.7573553141</v>
      </c>
      <c r="P34" s="596"/>
      <c r="Q34" s="596">
        <f>SUM(Q21:Q32)</f>
        <v>967597.09586351563</v>
      </c>
      <c r="R34" s="596"/>
      <c r="S34" s="596">
        <f>SUM(S21:S32)</f>
        <v>998624.82176956977</v>
      </c>
      <c r="T34" s="596"/>
      <c r="U34" s="596">
        <f>SUM(U21:U32)</f>
        <v>1030699.6161535033</v>
      </c>
      <c r="V34" s="596"/>
      <c r="W34" s="596">
        <f>SUM(W21:W32)</f>
        <v>1063857.3589886662</v>
      </c>
      <c r="X34" s="596"/>
      <c r="Y34" s="596">
        <f>SUM(Y21:Y32)</f>
        <v>1098135.1708051616</v>
      </c>
      <c r="Z34" s="596"/>
      <c r="AA34" s="596">
        <f>SUM(AA21:AA32)</f>
        <v>1133571.4558055445</v>
      </c>
      <c r="AB34" s="596"/>
      <c r="AC34" s="596">
        <f>SUM(AC21:AC32)</f>
        <v>1170205.9464835105</v>
      </c>
      <c r="AD34" s="596"/>
      <c r="AE34" s="596">
        <f>SUM(AE21:AE32)</f>
        <v>1208079.7497980471</v>
      </c>
      <c r="AF34" s="596"/>
      <c r="AG34" s="596">
        <f>SUM(AG21:AG32)</f>
        <v>1247235.3949573752</v>
      </c>
    </row>
    <row r="35" spans="1:35" ht="13.8">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3.8">
      <c r="A36" s="596" t="s">
        <v>1172</v>
      </c>
      <c r="B36" s="596"/>
      <c r="C36" s="597"/>
      <c r="D36" s="596"/>
      <c r="E36" s="596">
        <f>E10-E34</f>
        <v>1347040.0000000005</v>
      </c>
      <c r="F36" s="596"/>
      <c r="G36" s="596">
        <f>G10-G34</f>
        <v>1375320.4999999995</v>
      </c>
      <c r="H36" s="596"/>
      <c r="I36" s="596">
        <f>I10-I34</f>
        <v>1404088.2696999996</v>
      </c>
      <c r="J36" s="596"/>
      <c r="K36" s="596">
        <f>K10-K34</f>
        <v>1433347.6168384999</v>
      </c>
      <c r="L36" s="596"/>
      <c r="M36" s="596">
        <f>M10-M34</f>
        <v>1463102.6777472021</v>
      </c>
      <c r="N36" s="596"/>
      <c r="O36" s="596">
        <f>O10-O34</f>
        <v>1493357.4032286298</v>
      </c>
      <c r="P36" s="596"/>
      <c r="Q36" s="596">
        <f>Q10-Q34</f>
        <v>1524115.5437350273</v>
      </c>
      <c r="R36" s="596"/>
      <c r="S36" s="596">
        <f>S10-S34</f>
        <v>1555380.6338189368</v>
      </c>
      <c r="T36" s="596"/>
      <c r="U36" s="596">
        <f>U10-U34</f>
        <v>1587155.9758247156</v>
      </c>
      <c r="V36" s="596"/>
      <c r="W36" s="596">
        <f>W10-W34</f>
        <v>1619444.6227890074</v>
      </c>
      <c r="X36" s="596"/>
      <c r="Y36" s="596">
        <f>Y10-Y34</f>
        <v>1652249.360516954</v>
      </c>
      <c r="Z36" s="596"/>
      <c r="AA36" s="596">
        <f>AA10-AA34</f>
        <v>1685572.6887996232</v>
      </c>
      <c r="AB36" s="596"/>
      <c r="AC36" s="596">
        <f>AC10-AC34</f>
        <v>1719416.801736787</v>
      </c>
      <c r="AD36" s="596"/>
      <c r="AE36" s="596">
        <f>AE10-AE34</f>
        <v>1753783.567127757</v>
      </c>
      <c r="AF36" s="596"/>
      <c r="AG36" s="596">
        <f>AG10-AG34</f>
        <v>1788674.5048915739</v>
      </c>
    </row>
    <row r="37" spans="1:35" ht="13.8">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3.8">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3.8">
      <c r="A39" s="598" t="str">
        <f>Application!C632</f>
        <v>Permanent Loan - Chase</v>
      </c>
      <c r="B39" s="599"/>
      <c r="C39" s="593"/>
      <c r="D39" s="582"/>
      <c r="E39" s="592">
        <f>Application!AF632</f>
        <v>1152673</v>
      </c>
      <c r="F39" s="592"/>
      <c r="G39" s="592">
        <f>$E$39</f>
        <v>1152673</v>
      </c>
      <c r="H39" s="592"/>
      <c r="I39" s="592">
        <f>$E$39</f>
        <v>1152673</v>
      </c>
      <c r="J39" s="592"/>
      <c r="K39" s="592">
        <f>$E$39</f>
        <v>1152673</v>
      </c>
      <c r="L39" s="592"/>
      <c r="M39" s="592">
        <f>$E$39</f>
        <v>1152673</v>
      </c>
      <c r="N39" s="592"/>
      <c r="O39" s="592">
        <f>$E$39</f>
        <v>1152673</v>
      </c>
      <c r="P39" s="592"/>
      <c r="Q39" s="592">
        <f>$E$39</f>
        <v>1152673</v>
      </c>
      <c r="R39" s="592"/>
      <c r="S39" s="592">
        <f>$E$39</f>
        <v>1152673</v>
      </c>
      <c r="T39" s="592"/>
      <c r="U39" s="592">
        <f>$E$39</f>
        <v>1152673</v>
      </c>
      <c r="V39" s="592"/>
      <c r="W39" s="592">
        <f>$E$39</f>
        <v>1152673</v>
      </c>
      <c r="X39" s="592"/>
      <c r="Y39" s="592">
        <f>$E$39</f>
        <v>1152673</v>
      </c>
      <c r="Z39" s="592"/>
      <c r="AA39" s="592">
        <f>$E$39</f>
        <v>1152673</v>
      </c>
      <c r="AB39" s="592"/>
      <c r="AC39" s="592">
        <f>$E$39</f>
        <v>1152673</v>
      </c>
      <c r="AD39" s="592"/>
      <c r="AE39" s="592">
        <f>$E$39</f>
        <v>1152673</v>
      </c>
      <c r="AF39" s="592"/>
      <c r="AG39" s="592">
        <f>$E$39</f>
        <v>1152673</v>
      </c>
      <c r="AH39" s="582"/>
      <c r="AI39" s="582"/>
    </row>
    <row r="40" spans="1:35" ht="13.8">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3.8">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3.8">
      <c r="A42" s="596" t="s">
        <v>1174</v>
      </c>
      <c r="B42" s="596"/>
      <c r="C42" s="597"/>
      <c r="D42" s="596"/>
      <c r="E42" s="596">
        <f>SUM(E39:E41)</f>
        <v>1152673</v>
      </c>
      <c r="F42" s="596"/>
      <c r="G42" s="596">
        <f>SUM(G39:G41)</f>
        <v>1152673</v>
      </c>
      <c r="H42" s="596"/>
      <c r="I42" s="596">
        <f>SUM(I39:I41)</f>
        <v>1152673</v>
      </c>
      <c r="J42" s="596"/>
      <c r="K42" s="596">
        <f>SUM(K39:K41)</f>
        <v>1152673</v>
      </c>
      <c r="L42" s="596"/>
      <c r="M42" s="596">
        <f>SUM(M39:M41)</f>
        <v>1152673</v>
      </c>
      <c r="N42" s="596"/>
      <c r="O42" s="596">
        <f>SUM(O39:O41)</f>
        <v>1152673</v>
      </c>
      <c r="P42" s="596"/>
      <c r="Q42" s="596">
        <f>SUM(Q39:Q41)</f>
        <v>1152673</v>
      </c>
      <c r="R42" s="596"/>
      <c r="S42" s="596">
        <f>SUM(S39:S41)</f>
        <v>1152673</v>
      </c>
      <c r="T42" s="596"/>
      <c r="U42" s="596">
        <f>SUM(U39:U41)</f>
        <v>1152673</v>
      </c>
      <c r="V42" s="596"/>
      <c r="W42" s="596">
        <f>SUM(W39:W41)</f>
        <v>1152673</v>
      </c>
      <c r="X42" s="596"/>
      <c r="Y42" s="596">
        <f>SUM(Y39:Y41)</f>
        <v>1152673</v>
      </c>
      <c r="Z42" s="596"/>
      <c r="AA42" s="596">
        <f>SUM(AA39:AA41)</f>
        <v>1152673</v>
      </c>
      <c r="AB42" s="596"/>
      <c r="AC42" s="596">
        <f>SUM(AC39:AC41)</f>
        <v>1152673</v>
      </c>
      <c r="AD42" s="596"/>
      <c r="AE42" s="596">
        <f>SUM(AE39:AE41)</f>
        <v>1152673</v>
      </c>
      <c r="AF42" s="596"/>
      <c r="AG42" s="596">
        <f>SUM(AG39:AG41)</f>
        <v>1152673</v>
      </c>
      <c r="AH42" s="596"/>
      <c r="AI42" s="596"/>
    </row>
    <row r="43" spans="1:35" ht="13.8">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3.8">
      <c r="A44" s="596" t="s">
        <v>1175</v>
      </c>
      <c r="B44" s="596"/>
      <c r="C44" s="597"/>
      <c r="D44" s="596"/>
      <c r="E44" s="596">
        <f>E36-E42</f>
        <v>194367.00000000047</v>
      </c>
      <c r="F44" s="596"/>
      <c r="G44" s="596">
        <f>G36-G42</f>
        <v>222647.49999999953</v>
      </c>
      <c r="H44" s="596"/>
      <c r="I44" s="596">
        <f>I36-I42</f>
        <v>251415.2696999996</v>
      </c>
      <c r="J44" s="596"/>
      <c r="K44" s="596">
        <f>K36-K42</f>
        <v>280674.6168384999</v>
      </c>
      <c r="L44" s="596"/>
      <c r="M44" s="596">
        <f>M36-M42</f>
        <v>310429.67774720211</v>
      </c>
      <c r="N44" s="596"/>
      <c r="O44" s="596">
        <f>O36-O42</f>
        <v>340684.40322862985</v>
      </c>
      <c r="P44" s="596"/>
      <c r="Q44" s="596">
        <f>Q36-Q42</f>
        <v>371442.54373502731</v>
      </c>
      <c r="R44" s="596"/>
      <c r="S44" s="596">
        <f>S36-S42</f>
        <v>402707.63381893677</v>
      </c>
      <c r="T44" s="596"/>
      <c r="U44" s="596">
        <f>U36-U42</f>
        <v>434482.97582471557</v>
      </c>
      <c r="V44" s="596"/>
      <c r="W44" s="596">
        <f>W36-W42</f>
        <v>466771.62278900738</v>
      </c>
      <c r="X44" s="596"/>
      <c r="Y44" s="596">
        <f>Y36-Y42</f>
        <v>499576.36051695398</v>
      </c>
      <c r="Z44" s="596"/>
      <c r="AA44" s="596">
        <f>AA36-AA42</f>
        <v>532899.68879962317</v>
      </c>
      <c r="AB44" s="596"/>
      <c r="AC44" s="596">
        <f>AC36-AC42</f>
        <v>566743.80173678696</v>
      </c>
      <c r="AD44" s="596"/>
      <c r="AE44" s="596">
        <f>AE36-AE42</f>
        <v>601110.56712775701</v>
      </c>
      <c r="AF44" s="596"/>
      <c r="AG44" s="596">
        <f>AG36-AG42</f>
        <v>636001.50489157392</v>
      </c>
      <c r="AH44" s="596"/>
      <c r="AI44" s="596"/>
    </row>
    <row r="45" spans="1:35" ht="13.8">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3.8">
      <c r="A46" s="600" t="s">
        <v>1176</v>
      </c>
      <c r="B46" s="600"/>
      <c r="C46" s="593"/>
      <c r="D46" s="600"/>
      <c r="E46" s="600">
        <f>E44/(E4+E6+E8)</f>
        <v>8.593921332814565E-2</v>
      </c>
      <c r="F46" s="600"/>
      <c r="G46" s="600">
        <f>G44/(G4+G6+G8)</f>
        <v>9.6042354873691796E-2</v>
      </c>
      <c r="H46" s="600"/>
      <c r="I46" s="600">
        <f>I44/(I4+I6+I8)</f>
        <v>0.10580660089983579</v>
      </c>
      <c r="J46" s="600"/>
      <c r="K46" s="600">
        <f>K44/(K4+K6+K8)</f>
        <v>0.11523923979358584</v>
      </c>
      <c r="L46" s="600"/>
      <c r="M46" s="600">
        <f>M44/(M4+M6+M8)</f>
        <v>0.12434737306783361</v>
      </c>
      <c r="N46" s="600"/>
      <c r="O46" s="600">
        <f>O44/(O4+O6+O8)</f>
        <v>0.13313791982743545</v>
      </c>
      <c r="P46" s="600"/>
      <c r="Q46" s="600">
        <f>Q44/(Q4+Q6+Q8)</f>
        <v>0.141617621125496</v>
      </c>
      <c r="R46" s="600"/>
      <c r="S46" s="600">
        <f>S44/(S4+S6+S8)</f>
        <v>0.14979304421252138</v>
      </c>
      <c r="T46" s="600"/>
      <c r="U46" s="600">
        <f>U44/(U4+U6+U8)</f>
        <v>0.15767058668105252</v>
      </c>
      <c r="V46" s="600"/>
      <c r="W46" s="600">
        <f>W44/(W4+W6+W8)</f>
        <v>0.16525648050831196</v>
      </c>
      <c r="X46" s="600"/>
      <c r="Y46" s="600">
        <f>Y44/(Y4+Y6+Y8)</f>
        <v>0.17255679599934567</v>
      </c>
      <c r="Z46" s="600"/>
      <c r="AA46" s="600">
        <f>AA44/(AA4+AA6+AA8)</f>
        <v>0.17957744563307704</v>
      </c>
      <c r="AB46" s="600"/>
      <c r="AC46" s="600">
        <f>AC44/(AC4+AC6+AC8)</f>
        <v>0.18632418781363391</v>
      </c>
      <c r="AD46" s="600"/>
      <c r="AE46" s="600">
        <f>AE44/(AE4+AE6+AE8)</f>
        <v>0.19280263052924473</v>
      </c>
      <c r="AF46" s="600"/>
      <c r="AG46" s="600">
        <f>AG44/(AG4+AG6+AG8)</f>
        <v>0.19901823492095636</v>
      </c>
      <c r="AH46" s="600"/>
      <c r="AI46" s="600"/>
    </row>
    <row r="47" spans="1:35" ht="13.8">
      <c r="A47" s="600" t="s">
        <v>1177</v>
      </c>
      <c r="B47" s="600"/>
      <c r="C47" s="593"/>
      <c r="D47" s="600"/>
      <c r="E47" s="600">
        <f>E44/E42</f>
        <v>0.1686228444667312</v>
      </c>
      <c r="F47" s="600"/>
      <c r="G47" s="600">
        <f>G44/G42</f>
        <v>0.19315755639283608</v>
      </c>
      <c r="H47" s="600"/>
      <c r="I47" s="600">
        <f>I44/I42</f>
        <v>0.21811499852950456</v>
      </c>
      <c r="J47" s="600"/>
      <c r="K47" s="600">
        <f>K44/K42</f>
        <v>0.24349890804981109</v>
      </c>
      <c r="L47" s="600"/>
      <c r="M47" s="600">
        <f>M44/M42</f>
        <v>0.26931287342308019</v>
      </c>
      <c r="N47" s="600"/>
      <c r="O47" s="600">
        <f>O44/O42</f>
        <v>0.29556032216303307</v>
      </c>
      <c r="P47" s="600"/>
      <c r="Q47" s="600">
        <f>Q44/Q42</f>
        <v>0.32224450796976012</v>
      </c>
      <c r="R47" s="600"/>
      <c r="S47" s="600">
        <f>S44/S42</f>
        <v>0.34936849723983887</v>
      </c>
      <c r="T47" s="600"/>
      <c r="U47" s="600">
        <f>U44/U42</f>
        <v>0.37693515491793039</v>
      </c>
      <c r="V47" s="600"/>
      <c r="W47" s="600">
        <f>W44/W42</f>
        <v>0.40494712966210483</v>
      </c>
      <c r="X47" s="600"/>
      <c r="Y47" s="600">
        <f>Y44/Y42</f>
        <v>0.43340683829408166</v>
      </c>
      <c r="Z47" s="600"/>
      <c r="AA47" s="600">
        <f>AA44/AA42</f>
        <v>0.4623164495044329</v>
      </c>
      <c r="AB47" s="600"/>
      <c r="AC47" s="600">
        <f>AC44/AC42</f>
        <v>0.4916778667816345</v>
      </c>
      <c r="AD47" s="600"/>
      <c r="AE47" s="600">
        <f>AE44/AE42</f>
        <v>0.52149271053261159</v>
      </c>
      <c r="AF47" s="600"/>
      <c r="AG47" s="600">
        <f>AG44/AG42</f>
        <v>0.55176229936120125</v>
      </c>
      <c r="AH47" s="600"/>
      <c r="AI47" s="600"/>
    </row>
    <row r="48" spans="1:35" ht="13.8">
      <c r="A48" s="601" t="s">
        <v>1178</v>
      </c>
      <c r="B48" s="601"/>
      <c r="C48" s="602"/>
      <c r="D48" s="601"/>
      <c r="E48" s="601">
        <f>E36/E42</f>
        <v>1.1686228444667313</v>
      </c>
      <c r="F48" s="601"/>
      <c r="G48" s="601">
        <f>G36/G42</f>
        <v>1.193157556392836</v>
      </c>
      <c r="H48" s="601"/>
      <c r="I48" s="601">
        <f>I36/I42</f>
        <v>1.2181149985295046</v>
      </c>
      <c r="J48" s="601"/>
      <c r="K48" s="601">
        <f>K36/K42</f>
        <v>1.2434989080498111</v>
      </c>
      <c r="L48" s="601"/>
      <c r="M48" s="601">
        <f>M36/M42</f>
        <v>1.2693128734230801</v>
      </c>
      <c r="N48" s="601"/>
      <c r="O48" s="601">
        <f>O36/O42</f>
        <v>1.2955603221630332</v>
      </c>
      <c r="P48" s="601"/>
      <c r="Q48" s="601">
        <f>Q36/Q42</f>
        <v>1.3222445079697602</v>
      </c>
      <c r="R48" s="601"/>
      <c r="S48" s="601">
        <f>S36/S42</f>
        <v>1.3493684972398388</v>
      </c>
      <c r="T48" s="601"/>
      <c r="U48" s="601">
        <f>U36/U42</f>
        <v>1.3769351549179303</v>
      </c>
      <c r="V48" s="601"/>
      <c r="W48" s="601">
        <f>W36/W42</f>
        <v>1.4049471296621048</v>
      </c>
      <c r="X48" s="601"/>
      <c r="Y48" s="601">
        <f>Y36/Y42</f>
        <v>1.4334068382940817</v>
      </c>
      <c r="Z48" s="601"/>
      <c r="AA48" s="601">
        <f>AA36/AA42</f>
        <v>1.462316449504433</v>
      </c>
      <c r="AB48" s="601"/>
      <c r="AC48" s="601">
        <f>AC36/AC42</f>
        <v>1.4916778667816344</v>
      </c>
      <c r="AD48" s="601"/>
      <c r="AE48" s="601">
        <f>AE36/AE42</f>
        <v>1.5214927105326117</v>
      </c>
      <c r="AF48" s="601"/>
      <c r="AG48" s="601">
        <f>AG36/AG42</f>
        <v>1.5517622993612012</v>
      </c>
      <c r="AH48" s="601"/>
      <c r="AI48" s="601"/>
    </row>
    <row r="49" spans="1:35" ht="13.8">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v>1.03</v>
      </c>
      <c r="D52" s="580"/>
      <c r="E52" s="609">
        <v>20000</v>
      </c>
      <c r="F52" s="580"/>
      <c r="G52" s="1358">
        <f>E52*$C$52</f>
        <v>20600</v>
      </c>
      <c r="H52" s="1358"/>
      <c r="I52" s="1358">
        <f>G52*$C$52</f>
        <v>21218</v>
      </c>
      <c r="J52" s="1358"/>
      <c r="K52" s="1358">
        <f>I52*$C$52</f>
        <v>21854.54</v>
      </c>
      <c r="L52" s="1358"/>
      <c r="M52" s="1358">
        <f>K52*$C$52</f>
        <v>22510.176200000002</v>
      </c>
      <c r="N52" s="1358"/>
      <c r="O52" s="1358">
        <f>M52*$C$52</f>
        <v>23185.481486000001</v>
      </c>
      <c r="P52" s="1358"/>
      <c r="Q52" s="1358">
        <f>O52*$C$52</f>
        <v>23881.04593058</v>
      </c>
      <c r="R52" s="1358"/>
      <c r="S52" s="1358">
        <f>Q52*$C$52</f>
        <v>24597.4773084974</v>
      </c>
      <c r="T52" s="1358"/>
      <c r="U52" s="1358">
        <f>S52*$C$52</f>
        <v>25335.401627752322</v>
      </c>
      <c r="V52" s="1358"/>
      <c r="W52" s="1358">
        <f>U52*$C$52</f>
        <v>26095.463676584892</v>
      </c>
      <c r="X52" s="1358"/>
      <c r="Y52" s="1358">
        <f>W52*$C$52</f>
        <v>26878.327586882438</v>
      </c>
      <c r="Z52" s="1358"/>
      <c r="AA52" s="1358">
        <f>Y52*$C$52</f>
        <v>27684.677414488913</v>
      </c>
      <c r="AB52" s="1358"/>
      <c r="AC52" s="1358">
        <f>AA52*$C$52</f>
        <v>28515.21773692358</v>
      </c>
      <c r="AD52" s="1358"/>
      <c r="AE52" s="1358">
        <f>AC52*$C$52</f>
        <v>29370.674269031289</v>
      </c>
      <c r="AF52" s="1358"/>
      <c r="AG52" s="1358">
        <f>AE52*$C$52</f>
        <v>30251.79449710223</v>
      </c>
      <c r="AH52" s="580"/>
      <c r="AI52" s="580"/>
    </row>
    <row r="53" spans="1:35">
      <c r="A53" s="564" t="s">
        <v>1181</v>
      </c>
      <c r="B53" s="564"/>
      <c r="C53" s="619">
        <v>1.03</v>
      </c>
      <c r="D53" s="564"/>
      <c r="E53" s="610">
        <v>5000</v>
      </c>
      <c r="F53" s="589"/>
      <c r="G53" s="1357">
        <f t="shared" ref="G53:AG56" si="14">E53*$C$52</f>
        <v>5150</v>
      </c>
      <c r="H53" s="1357"/>
      <c r="I53" s="1357">
        <f t="shared" si="14"/>
        <v>5304.5</v>
      </c>
      <c r="J53" s="1357"/>
      <c r="K53" s="1357">
        <f t="shared" si="14"/>
        <v>5463.6350000000002</v>
      </c>
      <c r="L53" s="1357"/>
      <c r="M53" s="1357">
        <f t="shared" si="14"/>
        <v>5627.5440500000004</v>
      </c>
      <c r="N53" s="1357"/>
      <c r="O53" s="1357">
        <f t="shared" si="14"/>
        <v>5796.3703715000001</v>
      </c>
      <c r="P53" s="1357"/>
      <c r="Q53" s="1357">
        <f t="shared" si="14"/>
        <v>5970.2614826449999</v>
      </c>
      <c r="R53" s="1357"/>
      <c r="S53" s="1357">
        <f t="shared" si="14"/>
        <v>6149.3693271243501</v>
      </c>
      <c r="T53" s="1357"/>
      <c r="U53" s="1357">
        <f t="shared" si="14"/>
        <v>6333.8504069380806</v>
      </c>
      <c r="V53" s="1357"/>
      <c r="W53" s="1357">
        <f t="shared" si="14"/>
        <v>6523.865919146223</v>
      </c>
      <c r="X53" s="1357"/>
      <c r="Y53" s="1357">
        <f t="shared" si="14"/>
        <v>6719.5818967206096</v>
      </c>
      <c r="Z53" s="1357"/>
      <c r="AA53" s="1357">
        <f t="shared" si="14"/>
        <v>6921.1693536222283</v>
      </c>
      <c r="AB53" s="1357"/>
      <c r="AC53" s="1357">
        <f t="shared" si="14"/>
        <v>7128.8044342308949</v>
      </c>
      <c r="AD53" s="1357"/>
      <c r="AE53" s="1357">
        <f t="shared" si="14"/>
        <v>7342.6685672578224</v>
      </c>
      <c r="AF53" s="1357"/>
      <c r="AG53" s="1357">
        <f t="shared" si="14"/>
        <v>7562.9486242755574</v>
      </c>
      <c r="AH53" s="589"/>
      <c r="AI53" s="589"/>
    </row>
    <row r="54" spans="1:35">
      <c r="A54" s="564" t="s">
        <v>1182</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25000</v>
      </c>
      <c r="F57" s="589"/>
      <c r="G57" s="589">
        <f>SUM(G52:G56)</f>
        <v>25750</v>
      </c>
      <c r="H57" s="589"/>
      <c r="I57" s="589">
        <f>SUM(I52:I56)</f>
        <v>26522.5</v>
      </c>
      <c r="J57" s="589"/>
      <c r="K57" s="589">
        <f>SUM(K52:K56)</f>
        <v>27318.175000000003</v>
      </c>
      <c r="L57" s="589"/>
      <c r="M57" s="589">
        <f>SUM(M52:M56)</f>
        <v>28137.720250000002</v>
      </c>
      <c r="N57" s="589"/>
      <c r="O57" s="589">
        <f>SUM(O52:O56)</f>
        <v>28981.851857500002</v>
      </c>
      <c r="P57" s="589"/>
      <c r="Q57" s="589">
        <f>SUM(Q52:Q56)</f>
        <v>29851.307413225</v>
      </c>
      <c r="R57" s="589"/>
      <c r="S57" s="589">
        <f>SUM(S52:S56)</f>
        <v>30746.84663562175</v>
      </c>
      <c r="T57" s="589"/>
      <c r="U57" s="589">
        <f>SUM(U52:U56)</f>
        <v>31669.252034690402</v>
      </c>
      <c r="V57" s="589"/>
      <c r="W57" s="589">
        <f>SUM(W52:W56)</f>
        <v>32619.329595731113</v>
      </c>
      <c r="X57" s="589"/>
      <c r="Y57" s="589">
        <f>SUM(Y52:Y56)</f>
        <v>33597.909483603049</v>
      </c>
      <c r="Z57" s="589"/>
      <c r="AA57" s="589">
        <f>SUM(AA52:AA56)</f>
        <v>34605.846768111143</v>
      </c>
      <c r="AB57" s="589"/>
      <c r="AC57" s="589">
        <f>SUM(AC52:AC56)</f>
        <v>35644.022171154473</v>
      </c>
      <c r="AD57" s="589"/>
      <c r="AE57" s="589">
        <f>SUM(AE52:AE56)</f>
        <v>36713.342836289114</v>
      </c>
      <c r="AF57" s="589"/>
      <c r="AG57" s="589">
        <f>SUM(AG52:AG56)</f>
        <v>37814.743121377789</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169367.00000000047</v>
      </c>
      <c r="F59" s="580"/>
      <c r="G59" s="580">
        <f>G44-G57</f>
        <v>196897.49999999953</v>
      </c>
      <c r="H59" s="580"/>
      <c r="I59" s="580">
        <f>I44-I57</f>
        <v>224892.7696999996</v>
      </c>
      <c r="J59" s="580"/>
      <c r="K59" s="580">
        <f>K44-K57</f>
        <v>253356.44183849992</v>
      </c>
      <c r="L59" s="580"/>
      <c r="M59" s="580">
        <f>M44-M57</f>
        <v>282291.95749720209</v>
      </c>
      <c r="N59" s="580"/>
      <c r="O59" s="580">
        <f>O44-O57</f>
        <v>311702.55137112987</v>
      </c>
      <c r="P59" s="580"/>
      <c r="Q59" s="580">
        <f>Q44-Q57</f>
        <v>341591.23632180231</v>
      </c>
      <c r="R59" s="580"/>
      <c r="S59" s="580">
        <f>S44-S57</f>
        <v>371960.78718331503</v>
      </c>
      <c r="T59" s="580"/>
      <c r="U59" s="580">
        <f>U44-U57</f>
        <v>402813.72379002516</v>
      </c>
      <c r="V59" s="580"/>
      <c r="W59" s="580">
        <f>W44-W57</f>
        <v>434152.29319327627</v>
      </c>
      <c r="X59" s="580"/>
      <c r="Y59" s="580">
        <f>Y44-Y57</f>
        <v>465978.45103335095</v>
      </c>
      <c r="Z59" s="580"/>
      <c r="AA59" s="580">
        <f>AA44-AA57</f>
        <v>498293.842031512</v>
      </c>
      <c r="AB59" s="580"/>
      <c r="AC59" s="580">
        <f>AC44-AC57</f>
        <v>531099.77956563246</v>
      </c>
      <c r="AD59" s="580"/>
      <c r="AE59" s="580">
        <f>AE44-AE57</f>
        <v>564397.22429146792</v>
      </c>
      <c r="AF59" s="580"/>
      <c r="AG59" s="580">
        <f>AG44-AG57</f>
        <v>598186.76177019614</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16384">
      <c r="A65" s="1517"/>
      <c r="B65" s="609"/>
      <c r="C65" s="607"/>
      <c r="D65" s="580"/>
      <c r="E65" s="609"/>
      <c r="F65" s="609"/>
      <c r="G65" s="609"/>
      <c r="H65" s="609"/>
      <c r="I65" s="609"/>
      <c r="J65" s="609"/>
      <c r="K65" s="609"/>
      <c r="L65" s="609"/>
      <c r="M65" s="609"/>
      <c r="N65" s="609"/>
      <c r="O65" s="609"/>
      <c r="P65" s="609"/>
      <c r="Q65" s="609"/>
      <c r="R65" s="609"/>
      <c r="S65" s="609"/>
      <c r="T65" s="609"/>
      <c r="U65" s="609"/>
      <c r="V65" s="609"/>
      <c r="W65" s="609"/>
      <c r="X65" s="609"/>
      <c r="Y65" s="609"/>
      <c r="Z65" s="609"/>
      <c r="AA65" s="609"/>
      <c r="AB65" s="609"/>
      <c r="AC65" s="609"/>
      <c r="AD65" s="609"/>
      <c r="AE65" s="609"/>
      <c r="AF65" s="609"/>
      <c r="AG65" s="609"/>
      <c r="AH65" s="609"/>
      <c r="AI65" s="609"/>
      <c r="AJ65" s="609"/>
      <c r="AK65" s="609"/>
      <c r="AL65" s="609"/>
      <c r="AM65" s="609"/>
      <c r="AN65" s="609"/>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c r="CU65" s="609"/>
      <c r="CV65" s="609"/>
      <c r="CW65" s="609"/>
      <c r="CX65" s="609"/>
      <c r="CY65" s="609"/>
      <c r="CZ65" s="609"/>
      <c r="DA65" s="609"/>
      <c r="DB65" s="609"/>
      <c r="DC65" s="609"/>
      <c r="DD65" s="609"/>
      <c r="DE65" s="609"/>
      <c r="DF65" s="609"/>
      <c r="DG65" s="609"/>
      <c r="DH65" s="609"/>
      <c r="DI65" s="609"/>
      <c r="DJ65" s="609"/>
      <c r="DK65" s="609"/>
      <c r="DL65" s="609"/>
      <c r="DM65" s="609"/>
      <c r="DN65" s="609"/>
      <c r="DO65" s="609"/>
      <c r="DP65" s="609"/>
      <c r="DQ65" s="609"/>
      <c r="DR65" s="609"/>
      <c r="DS65" s="609"/>
      <c r="DT65" s="609"/>
      <c r="DU65" s="609"/>
      <c r="DV65" s="609"/>
      <c r="DW65" s="609"/>
      <c r="DX65" s="609"/>
      <c r="DY65" s="609"/>
      <c r="DZ65" s="609"/>
      <c r="EA65" s="609"/>
      <c r="EB65" s="609"/>
      <c r="EC65" s="609"/>
      <c r="ED65" s="609"/>
      <c r="EE65" s="609"/>
      <c r="EF65" s="609"/>
      <c r="EG65" s="609"/>
      <c r="EH65" s="609"/>
      <c r="EI65" s="609"/>
      <c r="EJ65" s="609"/>
      <c r="EK65" s="609"/>
      <c r="EL65" s="609"/>
      <c r="EM65" s="609"/>
      <c r="EN65" s="609"/>
      <c r="EO65" s="609"/>
      <c r="EP65" s="609"/>
      <c r="EQ65" s="609"/>
      <c r="ER65" s="609"/>
      <c r="ES65" s="609"/>
      <c r="ET65" s="609"/>
      <c r="EU65" s="609"/>
      <c r="EV65" s="609"/>
      <c r="EW65" s="609"/>
      <c r="EX65" s="609"/>
      <c r="EY65" s="609"/>
      <c r="EZ65" s="609"/>
      <c r="FA65" s="609"/>
      <c r="FB65" s="609"/>
      <c r="FC65" s="609"/>
      <c r="FD65" s="609"/>
      <c r="FE65" s="609"/>
      <c r="FF65" s="609"/>
      <c r="FG65" s="609"/>
      <c r="FH65" s="609"/>
      <c r="FI65" s="609"/>
      <c r="FJ65" s="609"/>
      <c r="FK65" s="609"/>
      <c r="FL65" s="609"/>
      <c r="FM65" s="609"/>
      <c r="FN65" s="609"/>
      <c r="FO65" s="609"/>
      <c r="FP65" s="609"/>
      <c r="FQ65" s="609"/>
      <c r="FR65" s="609"/>
      <c r="FS65" s="609"/>
      <c r="FT65" s="609"/>
      <c r="FU65" s="609"/>
      <c r="FV65" s="609"/>
      <c r="FW65" s="609"/>
      <c r="FX65" s="609"/>
      <c r="FY65" s="609"/>
      <c r="FZ65" s="609"/>
      <c r="GA65" s="609"/>
      <c r="GB65" s="609"/>
      <c r="GC65" s="609"/>
      <c r="GD65" s="609"/>
      <c r="GE65" s="609"/>
      <c r="GF65" s="609"/>
      <c r="GG65" s="609"/>
      <c r="GH65" s="609"/>
      <c r="GI65" s="609"/>
      <c r="GJ65" s="609"/>
      <c r="GK65" s="609"/>
      <c r="GL65" s="609"/>
      <c r="GM65" s="609"/>
      <c r="GN65" s="609"/>
      <c r="GO65" s="609"/>
      <c r="GP65" s="609"/>
      <c r="GQ65" s="609"/>
      <c r="GR65" s="609"/>
      <c r="GS65" s="609"/>
      <c r="GT65" s="609"/>
      <c r="GU65" s="609"/>
      <c r="GV65" s="609"/>
      <c r="GW65" s="609"/>
      <c r="GX65" s="609"/>
      <c r="GY65" s="609"/>
      <c r="GZ65" s="609"/>
      <c r="HA65" s="609"/>
      <c r="HB65" s="609"/>
      <c r="HC65" s="609"/>
      <c r="HD65" s="609"/>
      <c r="HE65" s="609"/>
      <c r="HF65" s="609"/>
      <c r="HG65" s="609"/>
      <c r="HH65" s="609"/>
      <c r="HI65" s="609"/>
      <c r="HJ65" s="609"/>
      <c r="HK65" s="609"/>
      <c r="HL65" s="609"/>
      <c r="HM65" s="609"/>
      <c r="HN65" s="609"/>
      <c r="HO65" s="609"/>
      <c r="HP65" s="609"/>
      <c r="HQ65" s="609"/>
      <c r="HR65" s="609"/>
      <c r="HS65" s="609"/>
      <c r="HT65" s="609"/>
      <c r="HU65" s="609"/>
      <c r="HV65" s="609"/>
      <c r="HW65" s="609"/>
      <c r="HX65" s="609"/>
      <c r="HY65" s="609"/>
      <c r="HZ65" s="609"/>
      <c r="IA65" s="609"/>
      <c r="IB65" s="609"/>
      <c r="IC65" s="609"/>
      <c r="ID65" s="609"/>
      <c r="IE65" s="609"/>
      <c r="IF65" s="609"/>
      <c r="IG65" s="609"/>
      <c r="IH65" s="609"/>
      <c r="II65" s="609"/>
      <c r="IJ65" s="609"/>
      <c r="IK65" s="609"/>
      <c r="IL65" s="609"/>
      <c r="IM65" s="609"/>
      <c r="IN65" s="609"/>
      <c r="IO65" s="609"/>
      <c r="IP65" s="609"/>
      <c r="IQ65" s="609"/>
      <c r="IR65" s="609"/>
      <c r="IS65" s="609"/>
      <c r="IT65" s="609"/>
      <c r="IU65" s="609"/>
      <c r="IV65" s="609"/>
      <c r="IW65" s="609"/>
      <c r="IX65" s="609"/>
      <c r="IY65" s="609"/>
      <c r="IZ65" s="609"/>
      <c r="JA65" s="609"/>
      <c r="JB65" s="609"/>
      <c r="JC65" s="609"/>
      <c r="JD65" s="609"/>
      <c r="JE65" s="609"/>
      <c r="JF65" s="609"/>
      <c r="JG65" s="609"/>
      <c r="JH65" s="609"/>
      <c r="JI65" s="609"/>
      <c r="JJ65" s="609"/>
      <c r="JK65" s="609"/>
      <c r="JL65" s="609"/>
      <c r="JM65" s="609"/>
      <c r="JN65" s="609"/>
      <c r="JO65" s="609"/>
      <c r="JP65" s="609"/>
      <c r="JQ65" s="609"/>
      <c r="JR65" s="609"/>
      <c r="JS65" s="609"/>
      <c r="JT65" s="609"/>
      <c r="JU65" s="609"/>
      <c r="JV65" s="609"/>
      <c r="JW65" s="609"/>
      <c r="JX65" s="609"/>
      <c r="JY65" s="609"/>
      <c r="JZ65" s="609"/>
      <c r="KA65" s="609"/>
      <c r="KB65" s="609"/>
      <c r="KC65" s="609"/>
      <c r="KD65" s="609"/>
      <c r="KE65" s="609"/>
      <c r="KF65" s="609"/>
      <c r="KG65" s="609"/>
      <c r="KH65" s="609"/>
      <c r="KI65" s="609"/>
      <c r="KJ65" s="609"/>
      <c r="KK65" s="609"/>
      <c r="KL65" s="609"/>
      <c r="KM65" s="609"/>
      <c r="KN65" s="609"/>
      <c r="KO65" s="609"/>
      <c r="KP65" s="609"/>
      <c r="KQ65" s="609"/>
      <c r="KR65" s="609"/>
      <c r="KS65" s="609"/>
      <c r="KT65" s="609"/>
      <c r="KU65" s="609"/>
      <c r="KV65" s="609"/>
      <c r="KW65" s="609"/>
      <c r="KX65" s="609"/>
      <c r="KY65" s="609"/>
      <c r="KZ65" s="609"/>
      <c r="LA65" s="609"/>
      <c r="LB65" s="609"/>
      <c r="LC65" s="609"/>
      <c r="LD65" s="609"/>
      <c r="LE65" s="609"/>
      <c r="LF65" s="609"/>
      <c r="LG65" s="609"/>
      <c r="LH65" s="609"/>
      <c r="LI65" s="609"/>
      <c r="LJ65" s="609"/>
      <c r="LK65" s="609"/>
      <c r="LL65" s="609"/>
      <c r="LM65" s="609"/>
      <c r="LN65" s="609"/>
      <c r="LO65" s="609"/>
      <c r="LP65" s="609"/>
      <c r="LQ65" s="609"/>
      <c r="LR65" s="609"/>
      <c r="LS65" s="609"/>
      <c r="LT65" s="609"/>
      <c r="LU65" s="609"/>
      <c r="LV65" s="609"/>
      <c r="LW65" s="609"/>
      <c r="LX65" s="609"/>
      <c r="LY65" s="609"/>
      <c r="LZ65" s="609"/>
      <c r="MA65" s="609"/>
      <c r="MB65" s="609"/>
      <c r="MC65" s="609"/>
      <c r="MD65" s="609"/>
      <c r="ME65" s="609"/>
      <c r="MF65" s="609"/>
      <c r="MG65" s="609"/>
      <c r="MH65" s="609"/>
      <c r="MI65" s="609"/>
      <c r="MJ65" s="609"/>
      <c r="MK65" s="609"/>
      <c r="ML65" s="609"/>
      <c r="MM65" s="609"/>
      <c r="MN65" s="609"/>
      <c r="MO65" s="609"/>
      <c r="MP65" s="609"/>
      <c r="MQ65" s="609"/>
      <c r="MR65" s="609"/>
      <c r="MS65" s="609"/>
      <c r="MT65" s="609"/>
      <c r="MU65" s="609"/>
      <c r="MV65" s="609"/>
      <c r="MW65" s="609"/>
      <c r="MX65" s="609"/>
      <c r="MY65" s="609"/>
      <c r="MZ65" s="609"/>
      <c r="NA65" s="609"/>
      <c r="NB65" s="609"/>
      <c r="NC65" s="609"/>
      <c r="ND65" s="609"/>
      <c r="NE65" s="609"/>
      <c r="NF65" s="609"/>
      <c r="NG65" s="609"/>
      <c r="NH65" s="609"/>
      <c r="NI65" s="609"/>
      <c r="NJ65" s="609"/>
      <c r="NK65" s="609"/>
      <c r="NL65" s="609"/>
      <c r="NM65" s="609"/>
      <c r="NN65" s="609"/>
      <c r="NO65" s="609"/>
      <c r="NP65" s="609"/>
      <c r="NQ65" s="609"/>
      <c r="NR65" s="609"/>
      <c r="NS65" s="609"/>
      <c r="NT65" s="609"/>
      <c r="NU65" s="609"/>
      <c r="NV65" s="609"/>
      <c r="NW65" s="609"/>
      <c r="NX65" s="609"/>
      <c r="NY65" s="609"/>
      <c r="NZ65" s="609"/>
      <c r="OA65" s="609"/>
      <c r="OB65" s="609"/>
      <c r="OC65" s="609"/>
      <c r="OD65" s="609"/>
      <c r="OE65" s="609"/>
      <c r="OF65" s="609"/>
      <c r="OG65" s="609"/>
      <c r="OH65" s="609"/>
      <c r="OI65" s="609"/>
      <c r="OJ65" s="609"/>
      <c r="OK65" s="609"/>
      <c r="OL65" s="609"/>
      <c r="OM65" s="609"/>
      <c r="ON65" s="609"/>
      <c r="OO65" s="609"/>
      <c r="OP65" s="609"/>
      <c r="OQ65" s="609"/>
      <c r="OR65" s="609"/>
      <c r="OS65" s="609"/>
      <c r="OT65" s="609"/>
      <c r="OU65" s="609"/>
      <c r="OV65" s="609"/>
      <c r="OW65" s="609"/>
      <c r="OX65" s="609"/>
      <c r="OY65" s="609"/>
      <c r="OZ65" s="609"/>
      <c r="PA65" s="609"/>
      <c r="PB65" s="609"/>
      <c r="PC65" s="609"/>
      <c r="PD65" s="609"/>
      <c r="PE65" s="609"/>
      <c r="PF65" s="609"/>
      <c r="PG65" s="609"/>
      <c r="PH65" s="609"/>
      <c r="PI65" s="609"/>
      <c r="PJ65" s="609"/>
      <c r="PK65" s="609"/>
      <c r="PL65" s="609"/>
      <c r="PM65" s="609"/>
      <c r="PN65" s="609"/>
      <c r="PO65" s="609"/>
      <c r="PP65" s="609"/>
      <c r="PQ65" s="609"/>
      <c r="PR65" s="609"/>
      <c r="PS65" s="609"/>
      <c r="PT65" s="609"/>
      <c r="PU65" s="609"/>
      <c r="PV65" s="609"/>
      <c r="PW65" s="609"/>
      <c r="PX65" s="609"/>
      <c r="PY65" s="609"/>
      <c r="PZ65" s="609"/>
      <c r="QA65" s="609"/>
      <c r="QB65" s="609"/>
      <c r="QC65" s="609"/>
      <c r="QD65" s="609"/>
      <c r="QE65" s="609"/>
      <c r="QF65" s="609"/>
      <c r="QG65" s="609"/>
      <c r="QH65" s="609"/>
      <c r="QI65" s="609"/>
      <c r="QJ65" s="609"/>
      <c r="QK65" s="609"/>
      <c r="QL65" s="609"/>
      <c r="QM65" s="609"/>
      <c r="QN65" s="609"/>
      <c r="QO65" s="609"/>
      <c r="QP65" s="609"/>
      <c r="QQ65" s="609"/>
      <c r="QR65" s="609"/>
      <c r="QS65" s="609"/>
      <c r="QT65" s="609"/>
      <c r="QU65" s="609"/>
      <c r="QV65" s="609"/>
      <c r="QW65" s="609"/>
      <c r="QX65" s="609"/>
      <c r="QY65" s="609"/>
      <c r="QZ65" s="609"/>
      <c r="RA65" s="609"/>
      <c r="RB65" s="609"/>
      <c r="RC65" s="609"/>
      <c r="RD65" s="609"/>
      <c r="RE65" s="609"/>
      <c r="RF65" s="609"/>
      <c r="RG65" s="609"/>
      <c r="RH65" s="609"/>
      <c r="RI65" s="609"/>
      <c r="RJ65" s="609"/>
      <c r="RK65" s="609"/>
      <c r="RL65" s="609"/>
      <c r="RM65" s="609"/>
      <c r="RN65" s="609"/>
      <c r="RO65" s="609"/>
      <c r="RP65" s="609"/>
      <c r="RQ65" s="609"/>
      <c r="RR65" s="609"/>
      <c r="RS65" s="609"/>
      <c r="RT65" s="609"/>
      <c r="RU65" s="609"/>
      <c r="RV65" s="609"/>
      <c r="RW65" s="609"/>
      <c r="RX65" s="609"/>
      <c r="RY65" s="609"/>
      <c r="RZ65" s="609"/>
      <c r="SA65" s="609"/>
      <c r="SB65" s="609"/>
      <c r="SC65" s="609"/>
      <c r="SD65" s="609"/>
      <c r="SE65" s="609"/>
      <c r="SF65" s="609"/>
      <c r="SG65" s="609"/>
      <c r="SH65" s="609"/>
      <c r="SI65" s="609"/>
      <c r="SJ65" s="609"/>
      <c r="SK65" s="609"/>
      <c r="SL65" s="609"/>
      <c r="SM65" s="609"/>
      <c r="SN65" s="609"/>
      <c r="SO65" s="609"/>
      <c r="SP65" s="609"/>
      <c r="SQ65" s="609"/>
      <c r="SR65" s="609"/>
      <c r="SS65" s="609"/>
      <c r="ST65" s="609"/>
      <c r="SU65" s="609"/>
      <c r="SV65" s="609"/>
      <c r="SW65" s="609"/>
      <c r="SX65" s="609"/>
      <c r="SY65" s="609"/>
      <c r="SZ65" s="609"/>
      <c r="TA65" s="609"/>
      <c r="TB65" s="609"/>
      <c r="TC65" s="609"/>
      <c r="TD65" s="609"/>
      <c r="TE65" s="609"/>
      <c r="TF65" s="609"/>
      <c r="TG65" s="609"/>
      <c r="TH65" s="609"/>
      <c r="TI65" s="609"/>
      <c r="TJ65" s="609"/>
      <c r="TK65" s="609"/>
      <c r="TL65" s="609"/>
      <c r="TM65" s="609"/>
      <c r="TN65" s="609"/>
      <c r="TO65" s="609"/>
      <c r="TP65" s="609"/>
      <c r="TQ65" s="609"/>
      <c r="TR65" s="609"/>
      <c r="TS65" s="609"/>
      <c r="TT65" s="609"/>
      <c r="TU65" s="609"/>
      <c r="TV65" s="609"/>
      <c r="TW65" s="609"/>
      <c r="TX65" s="609"/>
      <c r="TY65" s="609"/>
      <c r="TZ65" s="609"/>
      <c r="UA65" s="609"/>
      <c r="UB65" s="609"/>
      <c r="UC65" s="609"/>
      <c r="UD65" s="609"/>
      <c r="UE65" s="609"/>
      <c r="UF65" s="609"/>
      <c r="UG65" s="609"/>
      <c r="UH65" s="609"/>
      <c r="UI65" s="609"/>
      <c r="UJ65" s="609"/>
      <c r="UK65" s="609"/>
      <c r="UL65" s="609"/>
      <c r="UM65" s="609"/>
      <c r="UN65" s="609"/>
      <c r="UO65" s="609"/>
      <c r="UP65" s="609"/>
      <c r="UQ65" s="609"/>
      <c r="UR65" s="609"/>
      <c r="US65" s="609"/>
      <c r="UT65" s="609"/>
      <c r="UU65" s="609"/>
      <c r="UV65" s="609"/>
      <c r="UW65" s="609"/>
      <c r="UX65" s="609"/>
      <c r="UY65" s="609"/>
      <c r="UZ65" s="609"/>
      <c r="VA65" s="609"/>
      <c r="VB65" s="609"/>
      <c r="VC65" s="609"/>
      <c r="VD65" s="609"/>
      <c r="VE65" s="609"/>
      <c r="VF65" s="609"/>
      <c r="VG65" s="609"/>
      <c r="VH65" s="609"/>
      <c r="VI65" s="609"/>
      <c r="VJ65" s="609"/>
      <c r="VK65" s="609"/>
      <c r="VL65" s="609"/>
      <c r="VM65" s="609"/>
      <c r="VN65" s="609"/>
      <c r="VO65" s="609"/>
      <c r="VP65" s="609"/>
      <c r="VQ65" s="609"/>
      <c r="VR65" s="609"/>
      <c r="VS65" s="609"/>
      <c r="VT65" s="609"/>
      <c r="VU65" s="609"/>
      <c r="VV65" s="609"/>
      <c r="VW65" s="609"/>
      <c r="VX65" s="609"/>
      <c r="VY65" s="609"/>
      <c r="VZ65" s="609"/>
      <c r="WA65" s="609"/>
      <c r="WB65" s="609"/>
      <c r="WC65" s="609"/>
      <c r="WD65" s="609"/>
      <c r="WE65" s="609"/>
      <c r="WF65" s="609"/>
      <c r="WG65" s="609"/>
      <c r="WH65" s="609"/>
      <c r="WI65" s="609"/>
      <c r="WJ65" s="609"/>
      <c r="WK65" s="609"/>
      <c r="WL65" s="609"/>
      <c r="WM65" s="609"/>
      <c r="WN65" s="609"/>
      <c r="WO65" s="609"/>
      <c r="WP65" s="609"/>
      <c r="WQ65" s="609"/>
      <c r="WR65" s="609"/>
      <c r="WS65" s="609"/>
      <c r="WT65" s="609"/>
      <c r="WU65" s="609"/>
      <c r="WV65" s="609"/>
      <c r="WW65" s="609"/>
      <c r="WX65" s="609"/>
      <c r="WY65" s="609"/>
      <c r="WZ65" s="609"/>
      <c r="XA65" s="609"/>
      <c r="XB65" s="609"/>
      <c r="XC65" s="609"/>
      <c r="XD65" s="609"/>
      <c r="XE65" s="609"/>
      <c r="XF65" s="609"/>
      <c r="XG65" s="609"/>
      <c r="XH65" s="609"/>
      <c r="XI65" s="609"/>
      <c r="XJ65" s="609"/>
      <c r="XK65" s="609"/>
      <c r="XL65" s="609"/>
      <c r="XM65" s="609"/>
      <c r="XN65" s="609"/>
      <c r="XO65" s="609"/>
      <c r="XP65" s="609"/>
      <c r="XQ65" s="609"/>
      <c r="XR65" s="609"/>
      <c r="XS65" s="609"/>
      <c r="XT65" s="609"/>
      <c r="XU65" s="609"/>
      <c r="XV65" s="609"/>
      <c r="XW65" s="609"/>
      <c r="XX65" s="609"/>
      <c r="XY65" s="609"/>
      <c r="XZ65" s="609"/>
      <c r="YA65" s="609"/>
      <c r="YB65" s="609"/>
      <c r="YC65" s="609"/>
      <c r="YD65" s="609"/>
      <c r="YE65" s="609"/>
      <c r="YF65" s="609"/>
      <c r="YG65" s="609"/>
      <c r="YH65" s="609"/>
      <c r="YI65" s="609"/>
      <c r="YJ65" s="609"/>
      <c r="YK65" s="609"/>
      <c r="YL65" s="609"/>
      <c r="YM65" s="609"/>
      <c r="YN65" s="609"/>
      <c r="YO65" s="609"/>
      <c r="YP65" s="609"/>
      <c r="YQ65" s="609"/>
      <c r="YR65" s="609"/>
      <c r="YS65" s="609"/>
      <c r="YT65" s="609"/>
      <c r="YU65" s="609"/>
      <c r="YV65" s="609"/>
      <c r="YW65" s="609"/>
      <c r="YX65" s="609"/>
      <c r="YY65" s="609"/>
      <c r="YZ65" s="609"/>
      <c r="ZA65" s="609"/>
      <c r="ZB65" s="609"/>
      <c r="ZC65" s="609"/>
      <c r="ZD65" s="609"/>
      <c r="ZE65" s="609"/>
      <c r="ZF65" s="609"/>
      <c r="ZG65" s="609"/>
      <c r="ZH65" s="609"/>
      <c r="ZI65" s="609"/>
      <c r="ZJ65" s="609"/>
      <c r="ZK65" s="609"/>
      <c r="ZL65" s="609"/>
      <c r="ZM65" s="609"/>
      <c r="ZN65" s="609"/>
      <c r="ZO65" s="609"/>
      <c r="ZP65" s="609"/>
      <c r="ZQ65" s="609"/>
      <c r="ZR65" s="609"/>
      <c r="ZS65" s="609"/>
      <c r="ZT65" s="609"/>
      <c r="ZU65" s="609"/>
      <c r="ZV65" s="609"/>
      <c r="ZW65" s="609"/>
      <c r="ZX65" s="609"/>
      <c r="ZY65" s="609"/>
      <c r="ZZ65" s="609"/>
      <c r="AAA65" s="609"/>
      <c r="AAB65" s="609"/>
      <c r="AAC65" s="609"/>
      <c r="AAD65" s="609"/>
      <c r="AAE65" s="609"/>
      <c r="AAF65" s="609"/>
      <c r="AAG65" s="609"/>
      <c r="AAH65" s="609"/>
      <c r="AAI65" s="609"/>
      <c r="AAJ65" s="609"/>
      <c r="AAK65" s="609"/>
      <c r="AAL65" s="609"/>
      <c r="AAM65" s="609"/>
      <c r="AAN65" s="609"/>
      <c r="AAO65" s="609"/>
      <c r="AAP65" s="609"/>
      <c r="AAQ65" s="609"/>
      <c r="AAR65" s="609"/>
      <c r="AAS65" s="609"/>
      <c r="AAT65" s="609"/>
      <c r="AAU65" s="609"/>
      <c r="AAV65" s="609"/>
      <c r="AAW65" s="609"/>
      <c r="AAX65" s="609"/>
      <c r="AAY65" s="609"/>
      <c r="AAZ65" s="609"/>
      <c r="ABA65" s="609"/>
      <c r="ABB65" s="609"/>
      <c r="ABC65" s="609"/>
      <c r="ABD65" s="609"/>
      <c r="ABE65" s="609"/>
      <c r="ABF65" s="609"/>
      <c r="ABG65" s="609"/>
      <c r="ABH65" s="609"/>
      <c r="ABI65" s="609"/>
      <c r="ABJ65" s="609"/>
      <c r="ABK65" s="609"/>
      <c r="ABL65" s="609"/>
      <c r="ABM65" s="609"/>
      <c r="ABN65" s="609"/>
      <c r="ABO65" s="609"/>
      <c r="ABP65" s="609"/>
      <c r="ABQ65" s="609"/>
      <c r="ABR65" s="609"/>
      <c r="ABS65" s="609"/>
      <c r="ABT65" s="609"/>
      <c r="ABU65" s="609"/>
      <c r="ABV65" s="609"/>
      <c r="ABW65" s="609"/>
      <c r="ABX65" s="609"/>
      <c r="ABY65" s="609"/>
      <c r="ABZ65" s="609"/>
      <c r="ACA65" s="609"/>
      <c r="ACB65" s="609"/>
      <c r="ACC65" s="609"/>
      <c r="ACD65" s="609"/>
      <c r="ACE65" s="609"/>
      <c r="ACF65" s="609"/>
      <c r="ACG65" s="609"/>
      <c r="ACH65" s="609"/>
      <c r="ACI65" s="609"/>
      <c r="ACJ65" s="609"/>
      <c r="ACK65" s="609"/>
      <c r="ACL65" s="609"/>
      <c r="ACM65" s="609"/>
      <c r="ACN65" s="609"/>
      <c r="ACO65" s="609"/>
      <c r="ACP65" s="609"/>
      <c r="ACQ65" s="609"/>
      <c r="ACR65" s="609"/>
      <c r="ACS65" s="609"/>
      <c r="ACT65" s="609"/>
      <c r="ACU65" s="609"/>
      <c r="ACV65" s="609"/>
      <c r="ACW65" s="609"/>
      <c r="ACX65" s="609"/>
      <c r="ACY65" s="609"/>
      <c r="ACZ65" s="609"/>
      <c r="ADA65" s="609"/>
      <c r="ADB65" s="609"/>
      <c r="ADC65" s="609"/>
      <c r="ADD65" s="609"/>
      <c r="ADE65" s="609"/>
      <c r="ADF65" s="609"/>
      <c r="ADG65" s="609"/>
      <c r="ADH65" s="609"/>
      <c r="ADI65" s="609"/>
      <c r="ADJ65" s="609"/>
      <c r="ADK65" s="609"/>
      <c r="ADL65" s="609"/>
      <c r="ADM65" s="609"/>
      <c r="ADN65" s="609"/>
      <c r="ADO65" s="609"/>
      <c r="ADP65" s="609"/>
      <c r="ADQ65" s="609"/>
      <c r="ADR65" s="609"/>
      <c r="ADS65" s="609"/>
      <c r="ADT65" s="609"/>
      <c r="ADU65" s="609"/>
      <c r="ADV65" s="609"/>
      <c r="ADW65" s="609"/>
      <c r="ADX65" s="609"/>
      <c r="ADY65" s="609"/>
      <c r="ADZ65" s="609"/>
      <c r="AEA65" s="609"/>
      <c r="AEB65" s="609"/>
      <c r="AEC65" s="609"/>
      <c r="AED65" s="609"/>
      <c r="AEE65" s="609"/>
      <c r="AEF65" s="609"/>
      <c r="AEG65" s="609"/>
      <c r="AEH65" s="609"/>
      <c r="AEI65" s="609"/>
      <c r="AEJ65" s="609"/>
      <c r="AEK65" s="609"/>
      <c r="AEL65" s="609"/>
      <c r="AEM65" s="609"/>
      <c r="AEN65" s="609"/>
      <c r="AEO65" s="609"/>
      <c r="AEP65" s="609"/>
      <c r="AEQ65" s="609"/>
      <c r="AER65" s="609"/>
      <c r="AES65" s="609"/>
      <c r="AET65" s="609"/>
      <c r="AEU65" s="609"/>
      <c r="AEV65" s="609"/>
      <c r="AEW65" s="609"/>
      <c r="AEX65" s="609"/>
      <c r="AEY65" s="609"/>
      <c r="AEZ65" s="609"/>
      <c r="AFA65" s="609"/>
      <c r="AFB65" s="609"/>
      <c r="AFC65" s="609"/>
      <c r="AFD65" s="609"/>
      <c r="AFE65" s="609"/>
      <c r="AFF65" s="609"/>
      <c r="AFG65" s="609"/>
      <c r="AFH65" s="609"/>
      <c r="AFI65" s="609"/>
      <c r="AFJ65" s="609"/>
      <c r="AFK65" s="609"/>
      <c r="AFL65" s="609"/>
      <c r="AFM65" s="609"/>
      <c r="AFN65" s="609"/>
      <c r="AFO65" s="609"/>
      <c r="AFP65" s="609"/>
      <c r="AFQ65" s="609"/>
      <c r="AFR65" s="609"/>
      <c r="AFS65" s="609"/>
      <c r="AFT65" s="609"/>
      <c r="AFU65" s="609"/>
      <c r="AFV65" s="609"/>
      <c r="AFW65" s="609"/>
      <c r="AFX65" s="609"/>
      <c r="AFY65" s="609"/>
      <c r="AFZ65" s="609"/>
      <c r="AGA65" s="609"/>
      <c r="AGB65" s="609"/>
      <c r="AGC65" s="609"/>
      <c r="AGD65" s="609"/>
      <c r="AGE65" s="609"/>
      <c r="AGF65" s="609"/>
      <c r="AGG65" s="609"/>
      <c r="AGH65" s="609"/>
      <c r="AGI65" s="609"/>
      <c r="AGJ65" s="609"/>
      <c r="AGK65" s="609"/>
      <c r="AGL65" s="609"/>
      <c r="AGM65" s="609"/>
      <c r="AGN65" s="609"/>
      <c r="AGO65" s="609"/>
      <c r="AGP65" s="609"/>
      <c r="AGQ65" s="609"/>
      <c r="AGR65" s="609"/>
      <c r="AGS65" s="609"/>
      <c r="AGT65" s="609"/>
      <c r="AGU65" s="609"/>
      <c r="AGV65" s="609"/>
      <c r="AGW65" s="609"/>
      <c r="AGX65" s="609"/>
      <c r="AGY65" s="609"/>
      <c r="AGZ65" s="609"/>
      <c r="AHA65" s="609"/>
      <c r="AHB65" s="609"/>
      <c r="AHC65" s="609"/>
      <c r="AHD65" s="609"/>
      <c r="AHE65" s="609"/>
      <c r="AHF65" s="609"/>
      <c r="AHG65" s="609"/>
      <c r="AHH65" s="609"/>
      <c r="AHI65" s="609"/>
      <c r="AHJ65" s="609"/>
      <c r="AHK65" s="609"/>
      <c r="AHL65" s="609"/>
      <c r="AHM65" s="609"/>
      <c r="AHN65" s="609"/>
      <c r="AHO65" s="609"/>
      <c r="AHP65" s="609"/>
      <c r="AHQ65" s="609"/>
      <c r="AHR65" s="609"/>
      <c r="AHS65" s="609"/>
      <c r="AHT65" s="609"/>
      <c r="AHU65" s="609"/>
      <c r="AHV65" s="609"/>
      <c r="AHW65" s="609"/>
      <c r="AHX65" s="609"/>
      <c r="AHY65" s="609"/>
      <c r="AHZ65" s="609"/>
      <c r="AIA65" s="609"/>
      <c r="AIB65" s="609"/>
      <c r="AIC65" s="609"/>
      <c r="AID65" s="609"/>
      <c r="AIE65" s="609"/>
      <c r="AIF65" s="609"/>
      <c r="AIG65" s="609"/>
      <c r="AIH65" s="609"/>
      <c r="AII65" s="609"/>
      <c r="AIJ65" s="609"/>
      <c r="AIK65" s="609"/>
      <c r="AIL65" s="609"/>
      <c r="AIM65" s="609"/>
      <c r="AIN65" s="609"/>
      <c r="AIO65" s="609"/>
      <c r="AIP65" s="609"/>
      <c r="AIQ65" s="609"/>
      <c r="AIR65" s="609"/>
      <c r="AIS65" s="609"/>
      <c r="AIT65" s="609"/>
      <c r="AIU65" s="609"/>
      <c r="AIV65" s="609"/>
      <c r="AIW65" s="609"/>
      <c r="AIX65" s="609"/>
      <c r="AIY65" s="609"/>
      <c r="AIZ65" s="609"/>
      <c r="AJA65" s="609"/>
      <c r="AJB65" s="609"/>
      <c r="AJC65" s="609"/>
      <c r="AJD65" s="609"/>
      <c r="AJE65" s="609"/>
      <c r="AJF65" s="609"/>
      <c r="AJG65" s="609"/>
      <c r="AJH65" s="609"/>
      <c r="AJI65" s="609"/>
      <c r="AJJ65" s="609"/>
      <c r="AJK65" s="609"/>
      <c r="AJL65" s="609"/>
      <c r="AJM65" s="609"/>
      <c r="AJN65" s="609"/>
      <c r="AJO65" s="609"/>
      <c r="AJP65" s="609"/>
      <c r="AJQ65" s="609"/>
      <c r="AJR65" s="609"/>
      <c r="AJS65" s="609"/>
      <c r="AJT65" s="609"/>
      <c r="AJU65" s="609"/>
      <c r="AJV65" s="609"/>
      <c r="AJW65" s="609"/>
      <c r="AJX65" s="609"/>
      <c r="AJY65" s="609"/>
      <c r="AJZ65" s="609"/>
      <c r="AKA65" s="609"/>
      <c r="AKB65" s="609"/>
      <c r="AKC65" s="609"/>
      <c r="AKD65" s="609"/>
      <c r="AKE65" s="609"/>
      <c r="AKF65" s="609"/>
      <c r="AKG65" s="609"/>
      <c r="AKH65" s="609"/>
      <c r="AKI65" s="609"/>
      <c r="AKJ65" s="609"/>
      <c r="AKK65" s="609"/>
      <c r="AKL65" s="609"/>
      <c r="AKM65" s="609"/>
      <c r="AKN65" s="609"/>
      <c r="AKO65" s="609"/>
      <c r="AKP65" s="609"/>
      <c r="AKQ65" s="609"/>
      <c r="AKR65" s="609"/>
      <c r="AKS65" s="609"/>
      <c r="AKT65" s="609"/>
      <c r="AKU65" s="609"/>
      <c r="AKV65" s="609"/>
      <c r="AKW65" s="609"/>
      <c r="AKX65" s="609"/>
      <c r="AKY65" s="609"/>
      <c r="AKZ65" s="609"/>
      <c r="ALA65" s="609"/>
      <c r="ALB65" s="609"/>
      <c r="ALC65" s="609"/>
      <c r="ALD65" s="609"/>
      <c r="ALE65" s="609"/>
      <c r="ALF65" s="609"/>
      <c r="ALG65" s="609"/>
      <c r="ALH65" s="609"/>
      <c r="ALI65" s="609"/>
      <c r="ALJ65" s="609"/>
      <c r="ALK65" s="609"/>
      <c r="ALL65" s="609"/>
      <c r="ALM65" s="609"/>
      <c r="ALN65" s="609"/>
      <c r="ALO65" s="609"/>
      <c r="ALP65" s="609"/>
      <c r="ALQ65" s="609"/>
      <c r="ALR65" s="609"/>
      <c r="ALS65" s="609"/>
      <c r="ALT65" s="609"/>
      <c r="ALU65" s="609"/>
      <c r="ALV65" s="609"/>
      <c r="ALW65" s="609"/>
      <c r="ALX65" s="609"/>
      <c r="ALY65" s="609"/>
      <c r="ALZ65" s="609"/>
      <c r="AMA65" s="609"/>
      <c r="AMB65" s="609"/>
      <c r="AMC65" s="609"/>
      <c r="AMD65" s="609"/>
      <c r="AME65" s="609"/>
      <c r="AMF65" s="609"/>
      <c r="AMG65" s="609"/>
      <c r="AMH65" s="609"/>
      <c r="AMI65" s="609"/>
      <c r="AMJ65" s="609"/>
      <c r="AMK65" s="609"/>
      <c r="AML65" s="609"/>
      <c r="AMM65" s="609"/>
      <c r="AMN65" s="609"/>
      <c r="AMO65" s="609"/>
      <c r="AMP65" s="609"/>
      <c r="AMQ65" s="609"/>
      <c r="AMR65" s="609"/>
      <c r="AMS65" s="609"/>
      <c r="AMT65" s="609"/>
      <c r="AMU65" s="609"/>
      <c r="AMV65" s="609"/>
      <c r="AMW65" s="609"/>
      <c r="AMX65" s="609"/>
      <c r="AMY65" s="609"/>
      <c r="AMZ65" s="609"/>
      <c r="ANA65" s="609"/>
      <c r="ANB65" s="609"/>
      <c r="ANC65" s="609"/>
      <c r="AND65" s="609"/>
      <c r="ANE65" s="609"/>
      <c r="ANF65" s="609"/>
      <c r="ANG65" s="609"/>
      <c r="ANH65" s="609"/>
      <c r="ANI65" s="609"/>
      <c r="ANJ65" s="609"/>
      <c r="ANK65" s="609"/>
      <c r="ANL65" s="609"/>
      <c r="ANM65" s="609"/>
      <c r="ANN65" s="609"/>
      <c r="ANO65" s="609"/>
      <c r="ANP65" s="609"/>
      <c r="ANQ65" s="609"/>
      <c r="ANR65" s="609"/>
      <c r="ANS65" s="609"/>
      <c r="ANT65" s="609"/>
      <c r="ANU65" s="609"/>
      <c r="ANV65" s="609"/>
      <c r="ANW65" s="609"/>
      <c r="ANX65" s="609"/>
      <c r="ANY65" s="609"/>
      <c r="ANZ65" s="609"/>
      <c r="AOA65" s="609"/>
      <c r="AOB65" s="609"/>
      <c r="AOC65" s="609"/>
      <c r="AOD65" s="609"/>
      <c r="AOE65" s="609"/>
      <c r="AOF65" s="609"/>
      <c r="AOG65" s="609"/>
      <c r="AOH65" s="609"/>
      <c r="AOI65" s="609"/>
      <c r="AOJ65" s="609"/>
      <c r="AOK65" s="609"/>
      <c r="AOL65" s="609"/>
      <c r="AOM65" s="609"/>
      <c r="AON65" s="609"/>
      <c r="AOO65" s="609"/>
      <c r="AOP65" s="609"/>
      <c r="AOQ65" s="609"/>
      <c r="AOR65" s="609"/>
      <c r="AOS65" s="609"/>
      <c r="AOT65" s="609"/>
      <c r="AOU65" s="609"/>
      <c r="AOV65" s="609"/>
      <c r="AOW65" s="609"/>
      <c r="AOX65" s="609"/>
      <c r="AOY65" s="609"/>
      <c r="AOZ65" s="609"/>
      <c r="APA65" s="609"/>
      <c r="APB65" s="609"/>
      <c r="APC65" s="609"/>
      <c r="APD65" s="609"/>
      <c r="APE65" s="609"/>
      <c r="APF65" s="609"/>
      <c r="APG65" s="609"/>
      <c r="APH65" s="609"/>
      <c r="API65" s="609"/>
      <c r="APJ65" s="609"/>
      <c r="APK65" s="609"/>
      <c r="APL65" s="609"/>
      <c r="APM65" s="609"/>
      <c r="APN65" s="609"/>
      <c r="APO65" s="609"/>
      <c r="APP65" s="609"/>
      <c r="APQ65" s="609"/>
      <c r="APR65" s="609"/>
      <c r="APS65" s="609"/>
      <c r="APT65" s="609"/>
      <c r="APU65" s="609"/>
      <c r="APV65" s="609"/>
      <c r="APW65" s="609"/>
      <c r="APX65" s="609"/>
      <c r="APY65" s="609"/>
      <c r="APZ65" s="609"/>
      <c r="AQA65" s="609"/>
      <c r="AQB65" s="609"/>
      <c r="AQC65" s="609"/>
      <c r="AQD65" s="609"/>
      <c r="AQE65" s="609"/>
      <c r="AQF65" s="609"/>
      <c r="AQG65" s="609"/>
      <c r="AQH65" s="609"/>
      <c r="AQI65" s="609"/>
      <c r="AQJ65" s="609"/>
      <c r="AQK65" s="609"/>
      <c r="AQL65" s="609"/>
      <c r="AQM65" s="609"/>
      <c r="AQN65" s="609"/>
      <c r="AQO65" s="609"/>
      <c r="AQP65" s="609"/>
      <c r="AQQ65" s="609"/>
      <c r="AQR65" s="609"/>
      <c r="AQS65" s="609"/>
      <c r="AQT65" s="609"/>
      <c r="AQU65" s="609"/>
      <c r="AQV65" s="609"/>
      <c r="AQW65" s="609"/>
      <c r="AQX65" s="609"/>
      <c r="AQY65" s="609"/>
      <c r="AQZ65" s="609"/>
      <c r="ARA65" s="609"/>
      <c r="ARB65" s="609"/>
      <c r="ARC65" s="609"/>
      <c r="ARD65" s="609"/>
      <c r="ARE65" s="609"/>
      <c r="ARF65" s="609"/>
      <c r="ARG65" s="609"/>
      <c r="ARH65" s="609"/>
      <c r="ARI65" s="609"/>
      <c r="ARJ65" s="609"/>
      <c r="ARK65" s="609"/>
      <c r="ARL65" s="609"/>
      <c r="ARM65" s="609"/>
      <c r="ARN65" s="609"/>
      <c r="ARO65" s="609"/>
      <c r="ARP65" s="609"/>
      <c r="ARQ65" s="609"/>
      <c r="ARR65" s="609"/>
      <c r="ARS65" s="609"/>
      <c r="ART65" s="609"/>
      <c r="ARU65" s="609"/>
      <c r="ARV65" s="609"/>
      <c r="ARW65" s="609"/>
      <c r="ARX65" s="609"/>
      <c r="ARY65" s="609"/>
      <c r="ARZ65" s="609"/>
      <c r="ASA65" s="609"/>
      <c r="ASB65" s="609"/>
      <c r="ASC65" s="609"/>
      <c r="ASD65" s="609"/>
      <c r="ASE65" s="609"/>
      <c r="ASF65" s="609"/>
      <c r="ASG65" s="609"/>
      <c r="ASH65" s="609"/>
      <c r="ASI65" s="609"/>
      <c r="ASJ65" s="609"/>
      <c r="ASK65" s="609"/>
      <c r="ASL65" s="609"/>
      <c r="ASM65" s="609"/>
      <c r="ASN65" s="609"/>
      <c r="ASO65" s="609"/>
      <c r="ASP65" s="609"/>
      <c r="ASQ65" s="609"/>
      <c r="ASR65" s="609"/>
      <c r="ASS65" s="609"/>
      <c r="AST65" s="609"/>
      <c r="ASU65" s="609"/>
      <c r="ASV65" s="609"/>
      <c r="ASW65" s="609"/>
      <c r="ASX65" s="609"/>
      <c r="ASY65" s="609"/>
      <c r="ASZ65" s="609"/>
      <c r="ATA65" s="609"/>
      <c r="ATB65" s="609"/>
      <c r="ATC65" s="609"/>
      <c r="ATD65" s="609"/>
      <c r="ATE65" s="609"/>
      <c r="ATF65" s="609"/>
      <c r="ATG65" s="609"/>
      <c r="ATH65" s="609"/>
      <c r="ATI65" s="609"/>
      <c r="ATJ65" s="609"/>
      <c r="ATK65" s="609"/>
      <c r="ATL65" s="609"/>
      <c r="ATM65" s="609"/>
      <c r="ATN65" s="609"/>
      <c r="ATO65" s="609"/>
      <c r="ATP65" s="609"/>
      <c r="ATQ65" s="609"/>
      <c r="ATR65" s="609"/>
      <c r="ATS65" s="609"/>
      <c r="ATT65" s="609"/>
      <c r="ATU65" s="609"/>
      <c r="ATV65" s="609"/>
      <c r="ATW65" s="609"/>
      <c r="ATX65" s="609"/>
      <c r="ATY65" s="609"/>
      <c r="ATZ65" s="609"/>
      <c r="AUA65" s="609"/>
      <c r="AUB65" s="609"/>
      <c r="AUC65" s="609"/>
      <c r="AUD65" s="609"/>
      <c r="AUE65" s="609"/>
      <c r="AUF65" s="609"/>
      <c r="AUG65" s="609"/>
      <c r="AUH65" s="609"/>
      <c r="AUI65" s="609"/>
      <c r="AUJ65" s="609"/>
      <c r="AUK65" s="609"/>
      <c r="AUL65" s="609"/>
      <c r="AUM65" s="609"/>
      <c r="AUN65" s="609"/>
      <c r="AUO65" s="609"/>
      <c r="AUP65" s="609"/>
      <c r="AUQ65" s="609"/>
      <c r="AUR65" s="609"/>
      <c r="AUS65" s="609"/>
      <c r="AUT65" s="609"/>
      <c r="AUU65" s="609"/>
      <c r="AUV65" s="609"/>
      <c r="AUW65" s="609"/>
      <c r="AUX65" s="609"/>
      <c r="AUY65" s="609"/>
      <c r="AUZ65" s="609"/>
      <c r="AVA65" s="609"/>
      <c r="AVB65" s="609"/>
      <c r="AVC65" s="609"/>
      <c r="AVD65" s="609"/>
      <c r="AVE65" s="609"/>
      <c r="AVF65" s="609"/>
      <c r="AVG65" s="609"/>
      <c r="AVH65" s="609"/>
      <c r="AVI65" s="609"/>
      <c r="AVJ65" s="609"/>
      <c r="AVK65" s="609"/>
      <c r="AVL65" s="609"/>
      <c r="AVM65" s="609"/>
      <c r="AVN65" s="609"/>
      <c r="AVO65" s="609"/>
      <c r="AVP65" s="609"/>
      <c r="AVQ65" s="609"/>
      <c r="AVR65" s="609"/>
      <c r="AVS65" s="609"/>
      <c r="AVT65" s="609"/>
      <c r="AVU65" s="609"/>
      <c r="AVV65" s="609"/>
      <c r="AVW65" s="609"/>
      <c r="AVX65" s="609"/>
      <c r="AVY65" s="609"/>
      <c r="AVZ65" s="609"/>
      <c r="AWA65" s="609"/>
      <c r="AWB65" s="609"/>
      <c r="AWC65" s="609"/>
      <c r="AWD65" s="609"/>
      <c r="AWE65" s="609"/>
      <c r="AWF65" s="609"/>
      <c r="AWG65" s="609"/>
      <c r="AWH65" s="609"/>
      <c r="AWI65" s="609"/>
      <c r="AWJ65" s="609"/>
      <c r="AWK65" s="609"/>
      <c r="AWL65" s="609"/>
      <c r="AWM65" s="609"/>
      <c r="AWN65" s="609"/>
      <c r="AWO65" s="609"/>
      <c r="AWP65" s="609"/>
      <c r="AWQ65" s="609"/>
      <c r="AWR65" s="609"/>
      <c r="AWS65" s="609"/>
      <c r="AWT65" s="609"/>
      <c r="AWU65" s="609"/>
      <c r="AWV65" s="609"/>
      <c r="AWW65" s="609"/>
      <c r="AWX65" s="609"/>
      <c r="AWY65" s="609"/>
      <c r="AWZ65" s="609"/>
      <c r="AXA65" s="609"/>
      <c r="AXB65" s="609"/>
      <c r="AXC65" s="609"/>
      <c r="AXD65" s="609"/>
      <c r="AXE65" s="609"/>
      <c r="AXF65" s="609"/>
      <c r="AXG65" s="609"/>
      <c r="AXH65" s="609"/>
      <c r="AXI65" s="609"/>
      <c r="AXJ65" s="609"/>
      <c r="AXK65" s="609"/>
      <c r="AXL65" s="609"/>
      <c r="AXM65" s="609"/>
      <c r="AXN65" s="609"/>
      <c r="AXO65" s="609"/>
      <c r="AXP65" s="609"/>
      <c r="AXQ65" s="609"/>
      <c r="AXR65" s="609"/>
      <c r="AXS65" s="609"/>
      <c r="AXT65" s="609"/>
      <c r="AXU65" s="609"/>
      <c r="AXV65" s="609"/>
      <c r="AXW65" s="609"/>
      <c r="AXX65" s="609"/>
      <c r="AXY65" s="609"/>
      <c r="AXZ65" s="609"/>
      <c r="AYA65" s="609"/>
      <c r="AYB65" s="609"/>
      <c r="AYC65" s="609"/>
      <c r="AYD65" s="609"/>
      <c r="AYE65" s="609"/>
      <c r="AYF65" s="609"/>
      <c r="AYG65" s="609"/>
      <c r="AYH65" s="609"/>
      <c r="AYI65" s="609"/>
      <c r="AYJ65" s="609"/>
      <c r="AYK65" s="609"/>
      <c r="AYL65" s="609"/>
      <c r="AYM65" s="609"/>
      <c r="AYN65" s="609"/>
      <c r="AYO65" s="609"/>
      <c r="AYP65" s="609"/>
      <c r="AYQ65" s="609"/>
      <c r="AYR65" s="609"/>
      <c r="AYS65" s="609"/>
      <c r="AYT65" s="609"/>
      <c r="AYU65" s="609"/>
      <c r="AYV65" s="609"/>
      <c r="AYW65" s="609"/>
      <c r="AYX65" s="609"/>
      <c r="AYY65" s="609"/>
      <c r="AYZ65" s="609"/>
      <c r="AZA65" s="609"/>
      <c r="AZB65" s="609"/>
      <c r="AZC65" s="609"/>
      <c r="AZD65" s="609"/>
      <c r="AZE65" s="609"/>
      <c r="AZF65" s="609"/>
      <c r="AZG65" s="609"/>
      <c r="AZH65" s="609"/>
      <c r="AZI65" s="609"/>
      <c r="AZJ65" s="609"/>
      <c r="AZK65" s="609"/>
      <c r="AZL65" s="609"/>
      <c r="AZM65" s="609"/>
      <c r="AZN65" s="609"/>
      <c r="AZO65" s="609"/>
      <c r="AZP65" s="609"/>
      <c r="AZQ65" s="609"/>
      <c r="AZR65" s="609"/>
      <c r="AZS65" s="609"/>
      <c r="AZT65" s="609"/>
      <c r="AZU65" s="609"/>
      <c r="AZV65" s="609"/>
      <c r="AZW65" s="609"/>
      <c r="AZX65" s="609"/>
      <c r="AZY65" s="609"/>
      <c r="AZZ65" s="609"/>
      <c r="BAA65" s="609"/>
      <c r="BAB65" s="609"/>
      <c r="BAC65" s="609"/>
      <c r="BAD65" s="609"/>
      <c r="BAE65" s="609"/>
      <c r="BAF65" s="609"/>
      <c r="BAG65" s="609"/>
      <c r="BAH65" s="609"/>
      <c r="BAI65" s="609"/>
      <c r="BAJ65" s="609"/>
      <c r="BAK65" s="609"/>
      <c r="BAL65" s="609"/>
      <c r="BAM65" s="609"/>
      <c r="BAN65" s="609"/>
      <c r="BAO65" s="609"/>
      <c r="BAP65" s="609"/>
      <c r="BAQ65" s="609"/>
      <c r="BAR65" s="609"/>
      <c r="BAS65" s="609"/>
      <c r="BAT65" s="609"/>
      <c r="BAU65" s="609"/>
      <c r="BAV65" s="609"/>
      <c r="BAW65" s="609"/>
      <c r="BAX65" s="609"/>
      <c r="BAY65" s="609"/>
      <c r="BAZ65" s="609"/>
      <c r="BBA65" s="609"/>
      <c r="BBB65" s="609"/>
      <c r="BBC65" s="609"/>
      <c r="BBD65" s="609"/>
      <c r="BBE65" s="609"/>
      <c r="BBF65" s="609"/>
      <c r="BBG65" s="609"/>
      <c r="BBH65" s="609"/>
      <c r="BBI65" s="609"/>
      <c r="BBJ65" s="609"/>
      <c r="BBK65" s="609"/>
      <c r="BBL65" s="609"/>
      <c r="BBM65" s="609"/>
      <c r="BBN65" s="609"/>
      <c r="BBO65" s="609"/>
      <c r="BBP65" s="609"/>
      <c r="BBQ65" s="609"/>
      <c r="BBR65" s="609"/>
      <c r="BBS65" s="609"/>
      <c r="BBT65" s="609"/>
      <c r="BBU65" s="609"/>
      <c r="BBV65" s="609"/>
      <c r="BBW65" s="609"/>
      <c r="BBX65" s="609"/>
      <c r="BBY65" s="609"/>
      <c r="BBZ65" s="609"/>
      <c r="BCA65" s="609"/>
      <c r="BCB65" s="609"/>
      <c r="BCC65" s="609"/>
      <c r="BCD65" s="609"/>
      <c r="BCE65" s="609"/>
      <c r="BCF65" s="609"/>
      <c r="BCG65" s="609"/>
      <c r="BCH65" s="609"/>
      <c r="BCI65" s="609"/>
      <c r="BCJ65" s="609"/>
      <c r="BCK65" s="609"/>
      <c r="BCL65" s="609"/>
      <c r="BCM65" s="609"/>
      <c r="BCN65" s="609"/>
      <c r="BCO65" s="609"/>
      <c r="BCP65" s="609"/>
      <c r="BCQ65" s="609"/>
      <c r="BCR65" s="609"/>
      <c r="BCS65" s="609"/>
      <c r="BCT65" s="609"/>
      <c r="BCU65" s="609"/>
      <c r="BCV65" s="609"/>
      <c r="BCW65" s="609"/>
      <c r="BCX65" s="609"/>
      <c r="BCY65" s="609"/>
      <c r="BCZ65" s="609"/>
      <c r="BDA65" s="609"/>
      <c r="BDB65" s="609"/>
      <c r="BDC65" s="609"/>
      <c r="BDD65" s="609"/>
      <c r="BDE65" s="609"/>
      <c r="BDF65" s="609"/>
      <c r="BDG65" s="609"/>
      <c r="BDH65" s="609"/>
      <c r="BDI65" s="609"/>
      <c r="BDJ65" s="609"/>
      <c r="BDK65" s="609"/>
      <c r="BDL65" s="609"/>
      <c r="BDM65" s="609"/>
      <c r="BDN65" s="609"/>
      <c r="BDO65" s="609"/>
      <c r="BDP65" s="609"/>
      <c r="BDQ65" s="609"/>
      <c r="BDR65" s="609"/>
      <c r="BDS65" s="609"/>
      <c r="BDT65" s="609"/>
      <c r="BDU65" s="609"/>
      <c r="BDV65" s="609"/>
      <c r="BDW65" s="609"/>
      <c r="BDX65" s="609"/>
      <c r="BDY65" s="609"/>
      <c r="BDZ65" s="609"/>
      <c r="BEA65" s="609"/>
      <c r="BEB65" s="609"/>
      <c r="BEC65" s="609"/>
      <c r="BED65" s="609"/>
      <c r="BEE65" s="609"/>
      <c r="BEF65" s="609"/>
      <c r="BEG65" s="609"/>
      <c r="BEH65" s="609"/>
      <c r="BEI65" s="609"/>
      <c r="BEJ65" s="609"/>
      <c r="BEK65" s="609"/>
      <c r="BEL65" s="609"/>
      <c r="BEM65" s="609"/>
      <c r="BEN65" s="609"/>
      <c r="BEO65" s="609"/>
      <c r="BEP65" s="609"/>
      <c r="BEQ65" s="609"/>
      <c r="BER65" s="609"/>
      <c r="BES65" s="609"/>
      <c r="BET65" s="609"/>
      <c r="BEU65" s="609"/>
      <c r="BEV65" s="609"/>
      <c r="BEW65" s="609"/>
      <c r="BEX65" s="609"/>
      <c r="BEY65" s="609"/>
      <c r="BEZ65" s="609"/>
      <c r="BFA65" s="609"/>
      <c r="BFB65" s="609"/>
      <c r="BFC65" s="609"/>
      <c r="BFD65" s="609"/>
      <c r="BFE65" s="609"/>
      <c r="BFF65" s="609"/>
      <c r="BFG65" s="609"/>
      <c r="BFH65" s="609"/>
      <c r="BFI65" s="609"/>
      <c r="BFJ65" s="609"/>
      <c r="BFK65" s="609"/>
      <c r="BFL65" s="609"/>
      <c r="BFM65" s="609"/>
      <c r="BFN65" s="609"/>
      <c r="BFO65" s="609"/>
      <c r="BFP65" s="609"/>
      <c r="BFQ65" s="609"/>
      <c r="BFR65" s="609"/>
      <c r="BFS65" s="609"/>
      <c r="BFT65" s="609"/>
      <c r="BFU65" s="609"/>
      <c r="BFV65" s="609"/>
      <c r="BFW65" s="609"/>
      <c r="BFX65" s="609"/>
      <c r="BFY65" s="609"/>
      <c r="BFZ65" s="609"/>
      <c r="BGA65" s="609"/>
      <c r="BGB65" s="609"/>
      <c r="BGC65" s="609"/>
      <c r="BGD65" s="609"/>
      <c r="BGE65" s="609"/>
      <c r="BGF65" s="609"/>
      <c r="BGG65" s="609"/>
      <c r="BGH65" s="609"/>
      <c r="BGI65" s="609"/>
      <c r="BGJ65" s="609"/>
      <c r="BGK65" s="609"/>
      <c r="BGL65" s="609"/>
      <c r="BGM65" s="609"/>
      <c r="BGN65" s="609"/>
      <c r="BGO65" s="609"/>
      <c r="BGP65" s="609"/>
      <c r="BGQ65" s="609"/>
      <c r="BGR65" s="609"/>
      <c r="BGS65" s="609"/>
      <c r="BGT65" s="609"/>
      <c r="BGU65" s="609"/>
      <c r="BGV65" s="609"/>
      <c r="BGW65" s="609"/>
      <c r="BGX65" s="609"/>
      <c r="BGY65" s="609"/>
      <c r="BGZ65" s="609"/>
      <c r="BHA65" s="609"/>
      <c r="BHB65" s="609"/>
      <c r="BHC65" s="609"/>
      <c r="BHD65" s="609"/>
      <c r="BHE65" s="609"/>
      <c r="BHF65" s="609"/>
      <c r="BHG65" s="609"/>
      <c r="BHH65" s="609"/>
      <c r="BHI65" s="609"/>
      <c r="BHJ65" s="609"/>
      <c r="BHK65" s="609"/>
      <c r="BHL65" s="609"/>
      <c r="BHM65" s="609"/>
      <c r="BHN65" s="609"/>
      <c r="BHO65" s="609"/>
      <c r="BHP65" s="609"/>
      <c r="BHQ65" s="609"/>
      <c r="BHR65" s="609"/>
      <c r="BHS65" s="609"/>
      <c r="BHT65" s="609"/>
      <c r="BHU65" s="609"/>
      <c r="BHV65" s="609"/>
      <c r="BHW65" s="609"/>
      <c r="BHX65" s="609"/>
      <c r="BHY65" s="609"/>
      <c r="BHZ65" s="609"/>
      <c r="BIA65" s="609"/>
      <c r="BIB65" s="609"/>
      <c r="BIC65" s="609"/>
      <c r="BID65" s="609"/>
      <c r="BIE65" s="609"/>
      <c r="BIF65" s="609"/>
      <c r="BIG65" s="609"/>
      <c r="BIH65" s="609"/>
      <c r="BII65" s="609"/>
      <c r="BIJ65" s="609"/>
      <c r="BIK65" s="609"/>
      <c r="BIL65" s="609"/>
      <c r="BIM65" s="609"/>
      <c r="BIN65" s="609"/>
      <c r="BIO65" s="609"/>
      <c r="BIP65" s="609"/>
      <c r="BIQ65" s="609"/>
      <c r="BIR65" s="609"/>
      <c r="BIS65" s="609"/>
      <c r="BIT65" s="609"/>
      <c r="BIU65" s="609"/>
      <c r="BIV65" s="609"/>
      <c r="BIW65" s="609"/>
      <c r="BIX65" s="609"/>
      <c r="BIY65" s="609"/>
      <c r="BIZ65" s="609"/>
      <c r="BJA65" s="609"/>
      <c r="BJB65" s="609"/>
      <c r="BJC65" s="609"/>
      <c r="BJD65" s="609"/>
      <c r="BJE65" s="609"/>
      <c r="BJF65" s="609"/>
      <c r="BJG65" s="609"/>
      <c r="BJH65" s="609"/>
      <c r="BJI65" s="609"/>
      <c r="BJJ65" s="609"/>
      <c r="BJK65" s="609"/>
      <c r="BJL65" s="609"/>
      <c r="BJM65" s="609"/>
      <c r="BJN65" s="609"/>
      <c r="BJO65" s="609"/>
      <c r="BJP65" s="609"/>
      <c r="BJQ65" s="609"/>
      <c r="BJR65" s="609"/>
      <c r="BJS65" s="609"/>
      <c r="BJT65" s="609"/>
      <c r="BJU65" s="609"/>
      <c r="BJV65" s="609"/>
      <c r="BJW65" s="609"/>
      <c r="BJX65" s="609"/>
      <c r="BJY65" s="609"/>
      <c r="BJZ65" s="609"/>
      <c r="BKA65" s="609"/>
      <c r="BKB65" s="609"/>
      <c r="BKC65" s="609"/>
      <c r="BKD65" s="609"/>
      <c r="BKE65" s="609"/>
      <c r="BKF65" s="609"/>
      <c r="BKG65" s="609"/>
      <c r="BKH65" s="609"/>
      <c r="BKI65" s="609"/>
      <c r="BKJ65" s="609"/>
      <c r="BKK65" s="609"/>
      <c r="BKL65" s="609"/>
      <c r="BKM65" s="609"/>
      <c r="BKN65" s="609"/>
      <c r="BKO65" s="609"/>
      <c r="BKP65" s="609"/>
      <c r="BKQ65" s="609"/>
      <c r="BKR65" s="609"/>
      <c r="BKS65" s="609"/>
      <c r="BKT65" s="609"/>
      <c r="BKU65" s="609"/>
      <c r="BKV65" s="609"/>
      <c r="BKW65" s="609"/>
      <c r="BKX65" s="609"/>
      <c r="BKY65" s="609"/>
      <c r="BKZ65" s="609"/>
      <c r="BLA65" s="609"/>
      <c r="BLB65" s="609"/>
      <c r="BLC65" s="609"/>
      <c r="BLD65" s="609"/>
      <c r="BLE65" s="609"/>
      <c r="BLF65" s="609"/>
      <c r="BLG65" s="609"/>
      <c r="BLH65" s="609"/>
      <c r="BLI65" s="609"/>
      <c r="BLJ65" s="609"/>
      <c r="BLK65" s="609"/>
      <c r="BLL65" s="609"/>
      <c r="BLM65" s="609"/>
      <c r="BLN65" s="609"/>
      <c r="BLO65" s="609"/>
      <c r="BLP65" s="609"/>
      <c r="BLQ65" s="609"/>
      <c r="BLR65" s="609"/>
      <c r="BLS65" s="609"/>
      <c r="BLT65" s="609"/>
      <c r="BLU65" s="609"/>
      <c r="BLV65" s="609"/>
      <c r="BLW65" s="609"/>
      <c r="BLX65" s="609"/>
      <c r="BLY65" s="609"/>
      <c r="BLZ65" s="609"/>
      <c r="BMA65" s="609"/>
      <c r="BMB65" s="609"/>
      <c r="BMC65" s="609"/>
      <c r="BMD65" s="609"/>
      <c r="BME65" s="609"/>
      <c r="BMF65" s="609"/>
      <c r="BMG65" s="609"/>
      <c r="BMH65" s="609"/>
      <c r="BMI65" s="609"/>
      <c r="BMJ65" s="609"/>
      <c r="BMK65" s="609"/>
      <c r="BML65" s="609"/>
      <c r="BMM65" s="609"/>
      <c r="BMN65" s="609"/>
      <c r="BMO65" s="609"/>
      <c r="BMP65" s="609"/>
      <c r="BMQ65" s="609"/>
      <c r="BMR65" s="609"/>
      <c r="BMS65" s="609"/>
      <c r="BMT65" s="609"/>
      <c r="BMU65" s="609"/>
      <c r="BMV65" s="609"/>
      <c r="BMW65" s="609"/>
      <c r="BMX65" s="609"/>
      <c r="BMY65" s="609"/>
      <c r="BMZ65" s="609"/>
      <c r="BNA65" s="609"/>
      <c r="BNB65" s="609"/>
      <c r="BNC65" s="609"/>
      <c r="BND65" s="609"/>
      <c r="BNE65" s="609"/>
      <c r="BNF65" s="609"/>
      <c r="BNG65" s="609"/>
      <c r="BNH65" s="609"/>
      <c r="BNI65" s="609"/>
      <c r="BNJ65" s="609"/>
      <c r="BNK65" s="609"/>
      <c r="BNL65" s="609"/>
      <c r="BNM65" s="609"/>
      <c r="BNN65" s="609"/>
      <c r="BNO65" s="609"/>
      <c r="BNP65" s="609"/>
      <c r="BNQ65" s="609"/>
      <c r="BNR65" s="609"/>
      <c r="BNS65" s="609"/>
      <c r="BNT65" s="609"/>
      <c r="BNU65" s="609"/>
      <c r="BNV65" s="609"/>
      <c r="BNW65" s="609"/>
      <c r="BNX65" s="609"/>
      <c r="BNY65" s="609"/>
      <c r="BNZ65" s="609"/>
      <c r="BOA65" s="609"/>
      <c r="BOB65" s="609"/>
      <c r="BOC65" s="609"/>
      <c r="BOD65" s="609"/>
      <c r="BOE65" s="609"/>
      <c r="BOF65" s="609"/>
      <c r="BOG65" s="609"/>
      <c r="BOH65" s="609"/>
      <c r="BOI65" s="609"/>
      <c r="BOJ65" s="609"/>
      <c r="BOK65" s="609"/>
      <c r="BOL65" s="609"/>
      <c r="BOM65" s="609"/>
      <c r="BON65" s="609"/>
      <c r="BOO65" s="609"/>
      <c r="BOP65" s="609"/>
      <c r="BOQ65" s="609"/>
      <c r="BOR65" s="609"/>
      <c r="BOS65" s="609"/>
      <c r="BOT65" s="609"/>
      <c r="BOU65" s="609"/>
      <c r="BOV65" s="609"/>
      <c r="BOW65" s="609"/>
      <c r="BOX65" s="609"/>
      <c r="BOY65" s="609"/>
      <c r="BOZ65" s="609"/>
      <c r="BPA65" s="609"/>
      <c r="BPB65" s="609"/>
      <c r="BPC65" s="609"/>
      <c r="BPD65" s="609"/>
      <c r="BPE65" s="609"/>
      <c r="BPF65" s="609"/>
      <c r="BPG65" s="609"/>
      <c r="BPH65" s="609"/>
      <c r="BPI65" s="609"/>
      <c r="BPJ65" s="609"/>
      <c r="BPK65" s="609"/>
      <c r="BPL65" s="609"/>
      <c r="BPM65" s="609"/>
      <c r="BPN65" s="609"/>
      <c r="BPO65" s="609"/>
      <c r="BPP65" s="609"/>
      <c r="BPQ65" s="609"/>
      <c r="BPR65" s="609"/>
      <c r="BPS65" s="609"/>
      <c r="BPT65" s="609"/>
      <c r="BPU65" s="609"/>
      <c r="BPV65" s="609"/>
      <c r="BPW65" s="609"/>
      <c r="BPX65" s="609"/>
      <c r="BPY65" s="609"/>
      <c r="BPZ65" s="609"/>
      <c r="BQA65" s="609"/>
      <c r="BQB65" s="609"/>
      <c r="BQC65" s="609"/>
      <c r="BQD65" s="609"/>
      <c r="BQE65" s="609"/>
      <c r="BQF65" s="609"/>
      <c r="BQG65" s="609"/>
      <c r="BQH65" s="609"/>
      <c r="BQI65" s="609"/>
      <c r="BQJ65" s="609"/>
      <c r="BQK65" s="609"/>
      <c r="BQL65" s="609"/>
      <c r="BQM65" s="609"/>
      <c r="BQN65" s="609"/>
      <c r="BQO65" s="609"/>
      <c r="BQP65" s="609"/>
      <c r="BQQ65" s="609"/>
      <c r="BQR65" s="609"/>
      <c r="BQS65" s="609"/>
      <c r="BQT65" s="609"/>
      <c r="BQU65" s="609"/>
      <c r="BQV65" s="609"/>
      <c r="BQW65" s="609"/>
      <c r="BQX65" s="609"/>
      <c r="BQY65" s="609"/>
      <c r="BQZ65" s="609"/>
      <c r="BRA65" s="609"/>
      <c r="BRB65" s="609"/>
      <c r="BRC65" s="609"/>
      <c r="BRD65" s="609"/>
      <c r="BRE65" s="609"/>
      <c r="BRF65" s="609"/>
      <c r="BRG65" s="609"/>
      <c r="BRH65" s="609"/>
      <c r="BRI65" s="609"/>
      <c r="BRJ65" s="609"/>
      <c r="BRK65" s="609"/>
      <c r="BRL65" s="609"/>
      <c r="BRM65" s="609"/>
      <c r="BRN65" s="609"/>
      <c r="BRO65" s="609"/>
      <c r="BRP65" s="609"/>
      <c r="BRQ65" s="609"/>
      <c r="BRR65" s="609"/>
      <c r="BRS65" s="609"/>
      <c r="BRT65" s="609"/>
      <c r="BRU65" s="609"/>
      <c r="BRV65" s="609"/>
      <c r="BRW65" s="609"/>
      <c r="BRX65" s="609"/>
      <c r="BRY65" s="609"/>
      <c r="BRZ65" s="609"/>
      <c r="BSA65" s="609"/>
      <c r="BSB65" s="609"/>
      <c r="BSC65" s="609"/>
      <c r="BSD65" s="609"/>
      <c r="BSE65" s="609"/>
      <c r="BSF65" s="609"/>
      <c r="BSG65" s="609"/>
      <c r="BSH65" s="609"/>
      <c r="BSI65" s="609"/>
      <c r="BSJ65" s="609"/>
      <c r="BSK65" s="609"/>
      <c r="BSL65" s="609"/>
      <c r="BSM65" s="609"/>
      <c r="BSN65" s="609"/>
      <c r="BSO65" s="609"/>
      <c r="BSP65" s="609"/>
      <c r="BSQ65" s="609"/>
      <c r="BSR65" s="609"/>
      <c r="BSS65" s="609"/>
      <c r="BST65" s="609"/>
      <c r="BSU65" s="609"/>
      <c r="BSV65" s="609"/>
      <c r="BSW65" s="609"/>
      <c r="BSX65" s="609"/>
      <c r="BSY65" s="609"/>
      <c r="BSZ65" s="609"/>
      <c r="BTA65" s="609"/>
      <c r="BTB65" s="609"/>
      <c r="BTC65" s="609"/>
      <c r="BTD65" s="609"/>
      <c r="BTE65" s="609"/>
      <c r="BTF65" s="609"/>
      <c r="BTG65" s="609"/>
      <c r="BTH65" s="609"/>
      <c r="BTI65" s="609"/>
      <c r="BTJ65" s="609"/>
      <c r="BTK65" s="609"/>
      <c r="BTL65" s="609"/>
      <c r="BTM65" s="609"/>
      <c r="BTN65" s="609"/>
      <c r="BTO65" s="609"/>
      <c r="BTP65" s="609"/>
      <c r="BTQ65" s="609"/>
      <c r="BTR65" s="609"/>
      <c r="BTS65" s="609"/>
      <c r="BTT65" s="609"/>
      <c r="BTU65" s="609"/>
      <c r="BTV65" s="609"/>
      <c r="BTW65" s="609"/>
      <c r="BTX65" s="609"/>
      <c r="BTY65" s="609"/>
      <c r="BTZ65" s="609"/>
      <c r="BUA65" s="609"/>
      <c r="BUB65" s="609"/>
      <c r="BUC65" s="609"/>
      <c r="BUD65" s="609"/>
      <c r="BUE65" s="609"/>
      <c r="BUF65" s="609"/>
      <c r="BUG65" s="609"/>
      <c r="BUH65" s="609"/>
      <c r="BUI65" s="609"/>
      <c r="BUJ65" s="609"/>
      <c r="BUK65" s="609"/>
      <c r="BUL65" s="609"/>
      <c r="BUM65" s="609"/>
      <c r="BUN65" s="609"/>
      <c r="BUO65" s="609"/>
      <c r="BUP65" s="609"/>
      <c r="BUQ65" s="609"/>
      <c r="BUR65" s="609"/>
      <c r="BUS65" s="609"/>
      <c r="BUT65" s="609"/>
      <c r="BUU65" s="609"/>
      <c r="BUV65" s="609"/>
      <c r="BUW65" s="609"/>
      <c r="BUX65" s="609"/>
      <c r="BUY65" s="609"/>
      <c r="BUZ65" s="609"/>
      <c r="BVA65" s="609"/>
      <c r="BVB65" s="609"/>
      <c r="BVC65" s="609"/>
      <c r="BVD65" s="609"/>
      <c r="BVE65" s="609"/>
      <c r="BVF65" s="609"/>
      <c r="BVG65" s="609"/>
      <c r="BVH65" s="609"/>
      <c r="BVI65" s="609"/>
      <c r="BVJ65" s="609"/>
      <c r="BVK65" s="609"/>
      <c r="BVL65" s="609"/>
      <c r="BVM65" s="609"/>
      <c r="BVN65" s="609"/>
      <c r="BVO65" s="609"/>
      <c r="BVP65" s="609"/>
      <c r="BVQ65" s="609"/>
      <c r="BVR65" s="609"/>
      <c r="BVS65" s="609"/>
      <c r="BVT65" s="609"/>
      <c r="BVU65" s="609"/>
      <c r="BVV65" s="609"/>
      <c r="BVW65" s="609"/>
      <c r="BVX65" s="609"/>
      <c r="BVY65" s="609"/>
      <c r="BVZ65" s="609"/>
      <c r="BWA65" s="609"/>
      <c r="BWB65" s="609"/>
      <c r="BWC65" s="609"/>
      <c r="BWD65" s="609"/>
      <c r="BWE65" s="609"/>
      <c r="BWF65" s="609"/>
      <c r="BWG65" s="609"/>
      <c r="BWH65" s="609"/>
      <c r="BWI65" s="609"/>
      <c r="BWJ65" s="609"/>
      <c r="BWK65" s="609"/>
      <c r="BWL65" s="609"/>
      <c r="BWM65" s="609"/>
      <c r="BWN65" s="609"/>
      <c r="BWO65" s="609"/>
      <c r="BWP65" s="609"/>
      <c r="BWQ65" s="609"/>
      <c r="BWR65" s="609"/>
      <c r="BWS65" s="609"/>
      <c r="BWT65" s="609"/>
      <c r="BWU65" s="609"/>
      <c r="BWV65" s="609"/>
      <c r="BWW65" s="609"/>
      <c r="BWX65" s="609"/>
      <c r="BWY65" s="609"/>
      <c r="BWZ65" s="609"/>
      <c r="BXA65" s="609"/>
      <c r="BXB65" s="609"/>
      <c r="BXC65" s="609"/>
      <c r="BXD65" s="609"/>
      <c r="BXE65" s="609"/>
      <c r="BXF65" s="609"/>
      <c r="BXG65" s="609"/>
      <c r="BXH65" s="609"/>
      <c r="BXI65" s="609"/>
      <c r="BXJ65" s="609"/>
      <c r="BXK65" s="609"/>
      <c r="BXL65" s="609"/>
      <c r="BXM65" s="609"/>
      <c r="BXN65" s="609"/>
      <c r="BXO65" s="609"/>
      <c r="BXP65" s="609"/>
      <c r="BXQ65" s="609"/>
      <c r="BXR65" s="609"/>
      <c r="BXS65" s="609"/>
      <c r="BXT65" s="609"/>
      <c r="BXU65" s="609"/>
      <c r="BXV65" s="609"/>
      <c r="BXW65" s="609"/>
      <c r="BXX65" s="609"/>
      <c r="BXY65" s="609"/>
      <c r="BXZ65" s="609"/>
      <c r="BYA65" s="609"/>
      <c r="BYB65" s="609"/>
      <c r="BYC65" s="609"/>
      <c r="BYD65" s="609"/>
      <c r="BYE65" s="609"/>
      <c r="BYF65" s="609"/>
      <c r="BYG65" s="609"/>
      <c r="BYH65" s="609"/>
      <c r="BYI65" s="609"/>
      <c r="BYJ65" s="609"/>
      <c r="BYK65" s="609"/>
      <c r="BYL65" s="609"/>
      <c r="BYM65" s="609"/>
      <c r="BYN65" s="609"/>
      <c r="BYO65" s="609"/>
      <c r="BYP65" s="609"/>
      <c r="BYQ65" s="609"/>
      <c r="BYR65" s="609"/>
      <c r="BYS65" s="609"/>
      <c r="BYT65" s="609"/>
      <c r="BYU65" s="609"/>
      <c r="BYV65" s="609"/>
      <c r="BYW65" s="609"/>
      <c r="BYX65" s="609"/>
      <c r="BYY65" s="609"/>
      <c r="BYZ65" s="609"/>
      <c r="BZA65" s="609"/>
      <c r="BZB65" s="609"/>
      <c r="BZC65" s="609"/>
      <c r="BZD65" s="609"/>
      <c r="BZE65" s="609"/>
      <c r="BZF65" s="609"/>
      <c r="BZG65" s="609"/>
      <c r="BZH65" s="609"/>
      <c r="BZI65" s="609"/>
      <c r="BZJ65" s="609"/>
      <c r="BZK65" s="609"/>
      <c r="BZL65" s="609"/>
      <c r="BZM65" s="609"/>
      <c r="BZN65" s="609"/>
      <c r="BZO65" s="609"/>
      <c r="BZP65" s="609"/>
      <c r="BZQ65" s="609"/>
      <c r="BZR65" s="609"/>
      <c r="BZS65" s="609"/>
      <c r="BZT65" s="609"/>
      <c r="BZU65" s="609"/>
      <c r="BZV65" s="609"/>
      <c r="BZW65" s="609"/>
      <c r="BZX65" s="609"/>
      <c r="BZY65" s="609"/>
      <c r="BZZ65" s="609"/>
      <c r="CAA65" s="609"/>
      <c r="CAB65" s="609"/>
      <c r="CAC65" s="609"/>
      <c r="CAD65" s="609"/>
      <c r="CAE65" s="609"/>
      <c r="CAF65" s="609"/>
      <c r="CAG65" s="609"/>
      <c r="CAH65" s="609"/>
      <c r="CAI65" s="609"/>
      <c r="CAJ65" s="609"/>
      <c r="CAK65" s="609"/>
      <c r="CAL65" s="609"/>
      <c r="CAM65" s="609"/>
      <c r="CAN65" s="609"/>
      <c r="CAO65" s="609"/>
      <c r="CAP65" s="609"/>
      <c r="CAQ65" s="609"/>
      <c r="CAR65" s="609"/>
      <c r="CAS65" s="609"/>
      <c r="CAT65" s="609"/>
      <c r="CAU65" s="609"/>
      <c r="CAV65" s="609"/>
      <c r="CAW65" s="609"/>
      <c r="CAX65" s="609"/>
      <c r="CAY65" s="609"/>
      <c r="CAZ65" s="609"/>
      <c r="CBA65" s="609"/>
      <c r="CBB65" s="609"/>
      <c r="CBC65" s="609"/>
      <c r="CBD65" s="609"/>
      <c r="CBE65" s="609"/>
      <c r="CBF65" s="609"/>
      <c r="CBG65" s="609"/>
      <c r="CBH65" s="609"/>
      <c r="CBI65" s="609"/>
      <c r="CBJ65" s="609"/>
      <c r="CBK65" s="609"/>
      <c r="CBL65" s="609"/>
      <c r="CBM65" s="609"/>
      <c r="CBN65" s="609"/>
      <c r="CBO65" s="609"/>
      <c r="CBP65" s="609"/>
      <c r="CBQ65" s="609"/>
      <c r="CBR65" s="609"/>
      <c r="CBS65" s="609"/>
      <c r="CBT65" s="609"/>
      <c r="CBU65" s="609"/>
      <c r="CBV65" s="609"/>
      <c r="CBW65" s="609"/>
      <c r="CBX65" s="609"/>
      <c r="CBY65" s="609"/>
      <c r="CBZ65" s="609"/>
      <c r="CCA65" s="609"/>
      <c r="CCB65" s="609"/>
      <c r="CCC65" s="609"/>
      <c r="CCD65" s="609"/>
      <c r="CCE65" s="609"/>
      <c r="CCF65" s="609"/>
      <c r="CCG65" s="609"/>
      <c r="CCH65" s="609"/>
      <c r="CCI65" s="609"/>
      <c r="CCJ65" s="609"/>
      <c r="CCK65" s="609"/>
      <c r="CCL65" s="609"/>
      <c r="CCM65" s="609"/>
      <c r="CCN65" s="609"/>
      <c r="CCO65" s="609"/>
      <c r="CCP65" s="609"/>
      <c r="CCQ65" s="609"/>
      <c r="CCR65" s="609"/>
      <c r="CCS65" s="609"/>
      <c r="CCT65" s="609"/>
      <c r="CCU65" s="609"/>
      <c r="CCV65" s="609"/>
      <c r="CCW65" s="609"/>
      <c r="CCX65" s="609"/>
      <c r="CCY65" s="609"/>
      <c r="CCZ65" s="609"/>
      <c r="CDA65" s="609"/>
      <c r="CDB65" s="609"/>
      <c r="CDC65" s="609"/>
      <c r="CDD65" s="609"/>
      <c r="CDE65" s="609"/>
      <c r="CDF65" s="609"/>
      <c r="CDG65" s="609"/>
      <c r="CDH65" s="609"/>
      <c r="CDI65" s="609"/>
      <c r="CDJ65" s="609"/>
      <c r="CDK65" s="609"/>
      <c r="CDL65" s="609"/>
      <c r="CDM65" s="609"/>
      <c r="CDN65" s="609"/>
      <c r="CDO65" s="609"/>
      <c r="CDP65" s="609"/>
      <c r="CDQ65" s="609"/>
      <c r="CDR65" s="609"/>
      <c r="CDS65" s="609"/>
      <c r="CDT65" s="609"/>
      <c r="CDU65" s="609"/>
      <c r="CDV65" s="609"/>
      <c r="CDW65" s="609"/>
      <c r="CDX65" s="609"/>
      <c r="CDY65" s="609"/>
      <c r="CDZ65" s="609"/>
      <c r="CEA65" s="609"/>
      <c r="CEB65" s="609"/>
      <c r="CEC65" s="609"/>
      <c r="CED65" s="609"/>
      <c r="CEE65" s="609"/>
      <c r="CEF65" s="609"/>
      <c r="CEG65" s="609"/>
      <c r="CEH65" s="609"/>
      <c r="CEI65" s="609"/>
      <c r="CEJ65" s="609"/>
      <c r="CEK65" s="609"/>
      <c r="CEL65" s="609"/>
      <c r="CEM65" s="609"/>
      <c r="CEN65" s="609"/>
      <c r="CEO65" s="609"/>
      <c r="CEP65" s="609"/>
      <c r="CEQ65" s="609"/>
      <c r="CER65" s="609"/>
      <c r="CES65" s="609"/>
      <c r="CET65" s="609"/>
      <c r="CEU65" s="609"/>
      <c r="CEV65" s="609"/>
      <c r="CEW65" s="609"/>
      <c r="CEX65" s="609"/>
      <c r="CEY65" s="609"/>
      <c r="CEZ65" s="609"/>
      <c r="CFA65" s="609"/>
      <c r="CFB65" s="609"/>
      <c r="CFC65" s="609"/>
      <c r="CFD65" s="609"/>
      <c r="CFE65" s="609"/>
      <c r="CFF65" s="609"/>
      <c r="CFG65" s="609"/>
      <c r="CFH65" s="609"/>
      <c r="CFI65" s="609"/>
      <c r="CFJ65" s="609"/>
      <c r="CFK65" s="609"/>
      <c r="CFL65" s="609"/>
      <c r="CFM65" s="609"/>
      <c r="CFN65" s="609"/>
      <c r="CFO65" s="609"/>
      <c r="CFP65" s="609"/>
      <c r="CFQ65" s="609"/>
      <c r="CFR65" s="609"/>
      <c r="CFS65" s="609"/>
      <c r="CFT65" s="609"/>
      <c r="CFU65" s="609"/>
      <c r="CFV65" s="609"/>
      <c r="CFW65" s="609"/>
      <c r="CFX65" s="609"/>
      <c r="CFY65" s="609"/>
      <c r="CFZ65" s="609"/>
      <c r="CGA65" s="609"/>
      <c r="CGB65" s="609"/>
      <c r="CGC65" s="609"/>
      <c r="CGD65" s="609"/>
      <c r="CGE65" s="609"/>
      <c r="CGF65" s="609"/>
      <c r="CGG65" s="609"/>
      <c r="CGH65" s="609"/>
      <c r="CGI65" s="609"/>
      <c r="CGJ65" s="609"/>
      <c r="CGK65" s="609"/>
      <c r="CGL65" s="609"/>
      <c r="CGM65" s="609"/>
      <c r="CGN65" s="609"/>
      <c r="CGO65" s="609"/>
      <c r="CGP65" s="609"/>
      <c r="CGQ65" s="609"/>
      <c r="CGR65" s="609"/>
      <c r="CGS65" s="609"/>
      <c r="CGT65" s="609"/>
      <c r="CGU65" s="609"/>
      <c r="CGV65" s="609"/>
      <c r="CGW65" s="609"/>
      <c r="CGX65" s="609"/>
      <c r="CGY65" s="609"/>
      <c r="CGZ65" s="609"/>
      <c r="CHA65" s="609"/>
      <c r="CHB65" s="609"/>
      <c r="CHC65" s="609"/>
      <c r="CHD65" s="609"/>
      <c r="CHE65" s="609"/>
      <c r="CHF65" s="609"/>
      <c r="CHG65" s="609"/>
      <c r="CHH65" s="609"/>
      <c r="CHI65" s="609"/>
      <c r="CHJ65" s="609"/>
      <c r="CHK65" s="609"/>
      <c r="CHL65" s="609"/>
      <c r="CHM65" s="609"/>
      <c r="CHN65" s="609"/>
      <c r="CHO65" s="609"/>
      <c r="CHP65" s="609"/>
      <c r="CHQ65" s="609"/>
      <c r="CHR65" s="609"/>
      <c r="CHS65" s="609"/>
      <c r="CHT65" s="609"/>
      <c r="CHU65" s="609"/>
      <c r="CHV65" s="609"/>
      <c r="CHW65" s="609"/>
      <c r="CHX65" s="609"/>
      <c r="CHY65" s="609"/>
      <c r="CHZ65" s="609"/>
      <c r="CIA65" s="609"/>
      <c r="CIB65" s="609"/>
      <c r="CIC65" s="609"/>
      <c r="CID65" s="609"/>
      <c r="CIE65" s="609"/>
      <c r="CIF65" s="609"/>
      <c r="CIG65" s="609"/>
      <c r="CIH65" s="609"/>
      <c r="CII65" s="609"/>
      <c r="CIJ65" s="609"/>
      <c r="CIK65" s="609"/>
      <c r="CIL65" s="609"/>
      <c r="CIM65" s="609"/>
      <c r="CIN65" s="609"/>
      <c r="CIO65" s="609"/>
      <c r="CIP65" s="609"/>
      <c r="CIQ65" s="609"/>
      <c r="CIR65" s="609"/>
      <c r="CIS65" s="609"/>
      <c r="CIT65" s="609"/>
      <c r="CIU65" s="609"/>
      <c r="CIV65" s="609"/>
      <c r="CIW65" s="609"/>
      <c r="CIX65" s="609"/>
      <c r="CIY65" s="609"/>
      <c r="CIZ65" s="609"/>
      <c r="CJA65" s="609"/>
      <c r="CJB65" s="609"/>
      <c r="CJC65" s="609"/>
      <c r="CJD65" s="609"/>
      <c r="CJE65" s="609"/>
      <c r="CJF65" s="609"/>
      <c r="CJG65" s="609"/>
      <c r="CJH65" s="609"/>
      <c r="CJI65" s="609"/>
      <c r="CJJ65" s="609"/>
      <c r="CJK65" s="609"/>
      <c r="CJL65" s="609"/>
      <c r="CJM65" s="609"/>
      <c r="CJN65" s="609"/>
      <c r="CJO65" s="609"/>
      <c r="CJP65" s="609"/>
      <c r="CJQ65" s="609"/>
      <c r="CJR65" s="609"/>
      <c r="CJS65" s="609"/>
      <c r="CJT65" s="609"/>
      <c r="CJU65" s="609"/>
      <c r="CJV65" s="609"/>
      <c r="CJW65" s="609"/>
      <c r="CJX65" s="609"/>
      <c r="CJY65" s="609"/>
      <c r="CJZ65" s="609"/>
      <c r="CKA65" s="609"/>
      <c r="CKB65" s="609"/>
      <c r="CKC65" s="609"/>
      <c r="CKD65" s="609"/>
      <c r="CKE65" s="609"/>
      <c r="CKF65" s="609"/>
      <c r="CKG65" s="609"/>
      <c r="CKH65" s="609"/>
      <c r="CKI65" s="609"/>
      <c r="CKJ65" s="609"/>
      <c r="CKK65" s="609"/>
      <c r="CKL65" s="609"/>
      <c r="CKM65" s="609"/>
      <c r="CKN65" s="609"/>
      <c r="CKO65" s="609"/>
      <c r="CKP65" s="609"/>
      <c r="CKQ65" s="609"/>
      <c r="CKR65" s="609"/>
      <c r="CKS65" s="609"/>
      <c r="CKT65" s="609"/>
      <c r="CKU65" s="609"/>
      <c r="CKV65" s="609"/>
      <c r="CKW65" s="609"/>
      <c r="CKX65" s="609"/>
      <c r="CKY65" s="609"/>
      <c r="CKZ65" s="609"/>
      <c r="CLA65" s="609"/>
      <c r="CLB65" s="609"/>
      <c r="CLC65" s="609"/>
      <c r="CLD65" s="609"/>
      <c r="CLE65" s="609"/>
      <c r="CLF65" s="609"/>
      <c r="CLG65" s="609"/>
      <c r="CLH65" s="609"/>
      <c r="CLI65" s="609"/>
      <c r="CLJ65" s="609"/>
      <c r="CLK65" s="609"/>
      <c r="CLL65" s="609"/>
      <c r="CLM65" s="609"/>
      <c r="CLN65" s="609"/>
      <c r="CLO65" s="609"/>
      <c r="CLP65" s="609"/>
      <c r="CLQ65" s="609"/>
      <c r="CLR65" s="609"/>
      <c r="CLS65" s="609"/>
      <c r="CLT65" s="609"/>
      <c r="CLU65" s="609"/>
      <c r="CLV65" s="609"/>
      <c r="CLW65" s="609"/>
      <c r="CLX65" s="609"/>
      <c r="CLY65" s="609"/>
      <c r="CLZ65" s="609"/>
      <c r="CMA65" s="609"/>
      <c r="CMB65" s="609"/>
      <c r="CMC65" s="609"/>
      <c r="CMD65" s="609"/>
      <c r="CME65" s="609"/>
      <c r="CMF65" s="609"/>
      <c r="CMG65" s="609"/>
      <c r="CMH65" s="609"/>
      <c r="CMI65" s="609"/>
      <c r="CMJ65" s="609"/>
      <c r="CMK65" s="609"/>
      <c r="CML65" s="609"/>
      <c r="CMM65" s="609"/>
      <c r="CMN65" s="609"/>
      <c r="CMO65" s="609"/>
      <c r="CMP65" s="609"/>
      <c r="CMQ65" s="609"/>
      <c r="CMR65" s="609"/>
      <c r="CMS65" s="609"/>
      <c r="CMT65" s="609"/>
      <c r="CMU65" s="609"/>
      <c r="CMV65" s="609"/>
      <c r="CMW65" s="609"/>
      <c r="CMX65" s="609"/>
      <c r="CMY65" s="609"/>
      <c r="CMZ65" s="609"/>
      <c r="CNA65" s="609"/>
      <c r="CNB65" s="609"/>
      <c r="CNC65" s="609"/>
      <c r="CND65" s="609"/>
      <c r="CNE65" s="609"/>
      <c r="CNF65" s="609"/>
      <c r="CNG65" s="609"/>
      <c r="CNH65" s="609"/>
      <c r="CNI65" s="609"/>
      <c r="CNJ65" s="609"/>
      <c r="CNK65" s="609"/>
      <c r="CNL65" s="609"/>
      <c r="CNM65" s="609"/>
      <c r="CNN65" s="609"/>
      <c r="CNO65" s="609"/>
      <c r="CNP65" s="609"/>
      <c r="CNQ65" s="609"/>
      <c r="CNR65" s="609"/>
      <c r="CNS65" s="609"/>
      <c r="CNT65" s="609"/>
      <c r="CNU65" s="609"/>
      <c r="CNV65" s="609"/>
      <c r="CNW65" s="609"/>
      <c r="CNX65" s="609"/>
      <c r="CNY65" s="609"/>
      <c r="CNZ65" s="609"/>
      <c r="COA65" s="609"/>
      <c r="COB65" s="609"/>
      <c r="COC65" s="609"/>
      <c r="COD65" s="609"/>
      <c r="COE65" s="609"/>
      <c r="COF65" s="609"/>
      <c r="COG65" s="609"/>
      <c r="COH65" s="609"/>
      <c r="COI65" s="609"/>
      <c r="COJ65" s="609"/>
      <c r="COK65" s="609"/>
      <c r="COL65" s="609"/>
      <c r="COM65" s="609"/>
      <c r="CON65" s="609"/>
      <c r="COO65" s="609"/>
      <c r="COP65" s="609"/>
      <c r="COQ65" s="609"/>
      <c r="COR65" s="609"/>
      <c r="COS65" s="609"/>
      <c r="COT65" s="609"/>
      <c r="COU65" s="609"/>
      <c r="COV65" s="609"/>
      <c r="COW65" s="609"/>
      <c r="COX65" s="609"/>
      <c r="COY65" s="609"/>
      <c r="COZ65" s="609"/>
      <c r="CPA65" s="609"/>
      <c r="CPB65" s="609"/>
      <c r="CPC65" s="609"/>
      <c r="CPD65" s="609"/>
      <c r="CPE65" s="609"/>
      <c r="CPF65" s="609"/>
      <c r="CPG65" s="609"/>
      <c r="CPH65" s="609"/>
      <c r="CPI65" s="609"/>
      <c r="CPJ65" s="609"/>
      <c r="CPK65" s="609"/>
      <c r="CPL65" s="609"/>
      <c r="CPM65" s="609"/>
      <c r="CPN65" s="609"/>
      <c r="CPO65" s="609"/>
      <c r="CPP65" s="609"/>
      <c r="CPQ65" s="609"/>
      <c r="CPR65" s="609"/>
      <c r="CPS65" s="609"/>
      <c r="CPT65" s="609"/>
      <c r="CPU65" s="609"/>
      <c r="CPV65" s="609"/>
      <c r="CPW65" s="609"/>
      <c r="CPX65" s="609"/>
      <c r="CPY65" s="609"/>
      <c r="CPZ65" s="609"/>
      <c r="CQA65" s="609"/>
      <c r="CQB65" s="609"/>
      <c r="CQC65" s="609"/>
      <c r="CQD65" s="609"/>
      <c r="CQE65" s="609"/>
      <c r="CQF65" s="609"/>
      <c r="CQG65" s="609"/>
      <c r="CQH65" s="609"/>
      <c r="CQI65" s="609"/>
      <c r="CQJ65" s="609"/>
      <c r="CQK65" s="609"/>
      <c r="CQL65" s="609"/>
      <c r="CQM65" s="609"/>
      <c r="CQN65" s="609"/>
      <c r="CQO65" s="609"/>
      <c r="CQP65" s="609"/>
      <c r="CQQ65" s="609"/>
      <c r="CQR65" s="609"/>
      <c r="CQS65" s="609"/>
      <c r="CQT65" s="609"/>
      <c r="CQU65" s="609"/>
      <c r="CQV65" s="609"/>
      <c r="CQW65" s="609"/>
      <c r="CQX65" s="609"/>
      <c r="CQY65" s="609"/>
      <c r="CQZ65" s="609"/>
      <c r="CRA65" s="609"/>
      <c r="CRB65" s="609"/>
      <c r="CRC65" s="609"/>
      <c r="CRD65" s="609"/>
      <c r="CRE65" s="609"/>
      <c r="CRF65" s="609"/>
      <c r="CRG65" s="609"/>
      <c r="CRH65" s="609"/>
      <c r="CRI65" s="609"/>
      <c r="CRJ65" s="609"/>
      <c r="CRK65" s="609"/>
      <c r="CRL65" s="609"/>
      <c r="CRM65" s="609"/>
      <c r="CRN65" s="609"/>
      <c r="CRO65" s="609"/>
      <c r="CRP65" s="609"/>
      <c r="CRQ65" s="609"/>
      <c r="CRR65" s="609"/>
      <c r="CRS65" s="609"/>
      <c r="CRT65" s="609"/>
      <c r="CRU65" s="609"/>
      <c r="CRV65" s="609"/>
      <c r="CRW65" s="609"/>
      <c r="CRX65" s="609"/>
      <c r="CRY65" s="609"/>
      <c r="CRZ65" s="609"/>
      <c r="CSA65" s="609"/>
      <c r="CSB65" s="609"/>
      <c r="CSC65" s="609"/>
      <c r="CSD65" s="609"/>
      <c r="CSE65" s="609"/>
      <c r="CSF65" s="609"/>
      <c r="CSG65" s="609"/>
      <c r="CSH65" s="609"/>
      <c r="CSI65" s="609"/>
      <c r="CSJ65" s="609"/>
      <c r="CSK65" s="609"/>
      <c r="CSL65" s="609"/>
      <c r="CSM65" s="609"/>
      <c r="CSN65" s="609"/>
      <c r="CSO65" s="609"/>
      <c r="CSP65" s="609"/>
      <c r="CSQ65" s="609"/>
      <c r="CSR65" s="609"/>
      <c r="CSS65" s="609"/>
      <c r="CST65" s="609"/>
      <c r="CSU65" s="609"/>
      <c r="CSV65" s="609"/>
      <c r="CSW65" s="609"/>
      <c r="CSX65" s="609"/>
      <c r="CSY65" s="609"/>
      <c r="CSZ65" s="609"/>
      <c r="CTA65" s="609"/>
      <c r="CTB65" s="609"/>
      <c r="CTC65" s="609"/>
      <c r="CTD65" s="609"/>
      <c r="CTE65" s="609"/>
      <c r="CTF65" s="609"/>
      <c r="CTG65" s="609"/>
      <c r="CTH65" s="609"/>
      <c r="CTI65" s="609"/>
      <c r="CTJ65" s="609"/>
      <c r="CTK65" s="609"/>
      <c r="CTL65" s="609"/>
      <c r="CTM65" s="609"/>
      <c r="CTN65" s="609"/>
      <c r="CTO65" s="609"/>
      <c r="CTP65" s="609"/>
      <c r="CTQ65" s="609"/>
      <c r="CTR65" s="609"/>
      <c r="CTS65" s="609"/>
      <c r="CTT65" s="609"/>
      <c r="CTU65" s="609"/>
      <c r="CTV65" s="609"/>
      <c r="CTW65" s="609"/>
      <c r="CTX65" s="609"/>
      <c r="CTY65" s="609"/>
      <c r="CTZ65" s="609"/>
      <c r="CUA65" s="609"/>
      <c r="CUB65" s="609"/>
      <c r="CUC65" s="609"/>
      <c r="CUD65" s="609"/>
      <c r="CUE65" s="609"/>
      <c r="CUF65" s="609"/>
      <c r="CUG65" s="609"/>
      <c r="CUH65" s="609"/>
      <c r="CUI65" s="609"/>
      <c r="CUJ65" s="609"/>
      <c r="CUK65" s="609"/>
      <c r="CUL65" s="609"/>
      <c r="CUM65" s="609"/>
      <c r="CUN65" s="609"/>
      <c r="CUO65" s="609"/>
      <c r="CUP65" s="609"/>
      <c r="CUQ65" s="609"/>
      <c r="CUR65" s="609"/>
      <c r="CUS65" s="609"/>
      <c r="CUT65" s="609"/>
      <c r="CUU65" s="609"/>
      <c r="CUV65" s="609"/>
      <c r="CUW65" s="609"/>
      <c r="CUX65" s="609"/>
      <c r="CUY65" s="609"/>
      <c r="CUZ65" s="609"/>
      <c r="CVA65" s="609"/>
      <c r="CVB65" s="609"/>
      <c r="CVC65" s="609"/>
      <c r="CVD65" s="609"/>
      <c r="CVE65" s="609"/>
      <c r="CVF65" s="609"/>
      <c r="CVG65" s="609"/>
      <c r="CVH65" s="609"/>
      <c r="CVI65" s="609"/>
      <c r="CVJ65" s="609"/>
      <c r="CVK65" s="609"/>
      <c r="CVL65" s="609"/>
      <c r="CVM65" s="609"/>
      <c r="CVN65" s="609"/>
      <c r="CVO65" s="609"/>
      <c r="CVP65" s="609"/>
      <c r="CVQ65" s="609"/>
      <c r="CVR65" s="609"/>
      <c r="CVS65" s="609"/>
      <c r="CVT65" s="609"/>
      <c r="CVU65" s="609"/>
      <c r="CVV65" s="609"/>
      <c r="CVW65" s="609"/>
      <c r="CVX65" s="609"/>
      <c r="CVY65" s="609"/>
      <c r="CVZ65" s="609"/>
      <c r="CWA65" s="609"/>
      <c r="CWB65" s="609"/>
      <c r="CWC65" s="609"/>
      <c r="CWD65" s="609"/>
      <c r="CWE65" s="609"/>
      <c r="CWF65" s="609"/>
      <c r="CWG65" s="609"/>
      <c r="CWH65" s="609"/>
      <c r="CWI65" s="609"/>
      <c r="CWJ65" s="609"/>
      <c r="CWK65" s="609"/>
      <c r="CWL65" s="609"/>
      <c r="CWM65" s="609"/>
      <c r="CWN65" s="609"/>
      <c r="CWO65" s="609"/>
      <c r="CWP65" s="609"/>
      <c r="CWQ65" s="609"/>
      <c r="CWR65" s="609"/>
      <c r="CWS65" s="609"/>
      <c r="CWT65" s="609"/>
      <c r="CWU65" s="609"/>
      <c r="CWV65" s="609"/>
      <c r="CWW65" s="609"/>
      <c r="CWX65" s="609"/>
      <c r="CWY65" s="609"/>
      <c r="CWZ65" s="609"/>
      <c r="CXA65" s="609"/>
      <c r="CXB65" s="609"/>
      <c r="CXC65" s="609"/>
      <c r="CXD65" s="609"/>
      <c r="CXE65" s="609"/>
      <c r="CXF65" s="609"/>
      <c r="CXG65" s="609"/>
      <c r="CXH65" s="609"/>
      <c r="CXI65" s="609"/>
      <c r="CXJ65" s="609"/>
      <c r="CXK65" s="609"/>
      <c r="CXL65" s="609"/>
      <c r="CXM65" s="609"/>
      <c r="CXN65" s="609"/>
      <c r="CXO65" s="609"/>
      <c r="CXP65" s="609"/>
      <c r="CXQ65" s="609"/>
      <c r="CXR65" s="609"/>
      <c r="CXS65" s="609"/>
      <c r="CXT65" s="609"/>
      <c r="CXU65" s="609"/>
      <c r="CXV65" s="609"/>
      <c r="CXW65" s="609"/>
      <c r="CXX65" s="609"/>
      <c r="CXY65" s="609"/>
      <c r="CXZ65" s="609"/>
      <c r="CYA65" s="609"/>
      <c r="CYB65" s="609"/>
      <c r="CYC65" s="609"/>
      <c r="CYD65" s="609"/>
      <c r="CYE65" s="609"/>
      <c r="CYF65" s="609"/>
      <c r="CYG65" s="609"/>
      <c r="CYH65" s="609"/>
      <c r="CYI65" s="609"/>
      <c r="CYJ65" s="609"/>
      <c r="CYK65" s="609"/>
      <c r="CYL65" s="609"/>
      <c r="CYM65" s="609"/>
      <c r="CYN65" s="609"/>
      <c r="CYO65" s="609"/>
      <c r="CYP65" s="609"/>
      <c r="CYQ65" s="609"/>
      <c r="CYR65" s="609"/>
      <c r="CYS65" s="609"/>
      <c r="CYT65" s="609"/>
      <c r="CYU65" s="609"/>
      <c r="CYV65" s="609"/>
      <c r="CYW65" s="609"/>
      <c r="CYX65" s="609"/>
      <c r="CYY65" s="609"/>
      <c r="CYZ65" s="609"/>
      <c r="CZA65" s="609"/>
      <c r="CZB65" s="609"/>
      <c r="CZC65" s="609"/>
      <c r="CZD65" s="609"/>
      <c r="CZE65" s="609"/>
      <c r="CZF65" s="609"/>
      <c r="CZG65" s="609"/>
      <c r="CZH65" s="609"/>
      <c r="CZI65" s="609"/>
      <c r="CZJ65" s="609"/>
      <c r="CZK65" s="609"/>
      <c r="CZL65" s="609"/>
      <c r="CZM65" s="609"/>
      <c r="CZN65" s="609"/>
      <c r="CZO65" s="609"/>
      <c r="CZP65" s="609"/>
      <c r="CZQ65" s="609"/>
      <c r="CZR65" s="609"/>
      <c r="CZS65" s="609"/>
      <c r="CZT65" s="609"/>
      <c r="CZU65" s="609"/>
      <c r="CZV65" s="609"/>
      <c r="CZW65" s="609"/>
      <c r="CZX65" s="609"/>
      <c r="CZY65" s="609"/>
      <c r="CZZ65" s="609"/>
      <c r="DAA65" s="609"/>
      <c r="DAB65" s="609"/>
      <c r="DAC65" s="609"/>
      <c r="DAD65" s="609"/>
      <c r="DAE65" s="609"/>
      <c r="DAF65" s="609"/>
      <c r="DAG65" s="609"/>
      <c r="DAH65" s="609"/>
      <c r="DAI65" s="609"/>
      <c r="DAJ65" s="609"/>
      <c r="DAK65" s="609"/>
      <c r="DAL65" s="609"/>
      <c r="DAM65" s="609"/>
      <c r="DAN65" s="609"/>
      <c r="DAO65" s="609"/>
      <c r="DAP65" s="609"/>
      <c r="DAQ65" s="609"/>
      <c r="DAR65" s="609"/>
      <c r="DAS65" s="609"/>
      <c r="DAT65" s="609"/>
      <c r="DAU65" s="609"/>
      <c r="DAV65" s="609"/>
      <c r="DAW65" s="609"/>
      <c r="DAX65" s="609"/>
      <c r="DAY65" s="609"/>
      <c r="DAZ65" s="609"/>
      <c r="DBA65" s="609"/>
      <c r="DBB65" s="609"/>
      <c r="DBC65" s="609"/>
      <c r="DBD65" s="609"/>
      <c r="DBE65" s="609"/>
      <c r="DBF65" s="609"/>
      <c r="DBG65" s="609"/>
      <c r="DBH65" s="609"/>
      <c r="DBI65" s="609"/>
      <c r="DBJ65" s="609"/>
      <c r="DBK65" s="609"/>
      <c r="DBL65" s="609"/>
      <c r="DBM65" s="609"/>
      <c r="DBN65" s="609"/>
      <c r="DBO65" s="609"/>
      <c r="DBP65" s="609"/>
      <c r="DBQ65" s="609"/>
      <c r="DBR65" s="609"/>
      <c r="DBS65" s="609"/>
      <c r="DBT65" s="609"/>
      <c r="DBU65" s="609"/>
      <c r="DBV65" s="609"/>
      <c r="DBW65" s="609"/>
      <c r="DBX65" s="609"/>
      <c r="DBY65" s="609"/>
      <c r="DBZ65" s="609"/>
      <c r="DCA65" s="609"/>
      <c r="DCB65" s="609"/>
      <c r="DCC65" s="609"/>
      <c r="DCD65" s="609"/>
      <c r="DCE65" s="609"/>
      <c r="DCF65" s="609"/>
      <c r="DCG65" s="609"/>
      <c r="DCH65" s="609"/>
      <c r="DCI65" s="609"/>
      <c r="DCJ65" s="609"/>
      <c r="DCK65" s="609"/>
      <c r="DCL65" s="609"/>
      <c r="DCM65" s="609"/>
      <c r="DCN65" s="609"/>
      <c r="DCO65" s="609"/>
      <c r="DCP65" s="609"/>
      <c r="DCQ65" s="609"/>
      <c r="DCR65" s="609"/>
      <c r="DCS65" s="609"/>
      <c r="DCT65" s="609"/>
      <c r="DCU65" s="609"/>
      <c r="DCV65" s="609"/>
      <c r="DCW65" s="609"/>
      <c r="DCX65" s="609"/>
      <c r="DCY65" s="609"/>
      <c r="DCZ65" s="609"/>
      <c r="DDA65" s="609"/>
      <c r="DDB65" s="609"/>
      <c r="DDC65" s="609"/>
      <c r="DDD65" s="609"/>
      <c r="DDE65" s="609"/>
      <c r="DDF65" s="609"/>
      <c r="DDG65" s="609"/>
      <c r="DDH65" s="609"/>
      <c r="DDI65" s="609"/>
      <c r="DDJ65" s="609"/>
      <c r="DDK65" s="609"/>
      <c r="DDL65" s="609"/>
      <c r="DDM65" s="609"/>
      <c r="DDN65" s="609"/>
      <c r="DDO65" s="609"/>
      <c r="DDP65" s="609"/>
      <c r="DDQ65" s="609"/>
      <c r="DDR65" s="609"/>
      <c r="DDS65" s="609"/>
      <c r="DDT65" s="609"/>
      <c r="DDU65" s="609"/>
      <c r="DDV65" s="609"/>
      <c r="DDW65" s="609"/>
      <c r="DDX65" s="609"/>
      <c r="DDY65" s="609"/>
      <c r="DDZ65" s="609"/>
      <c r="DEA65" s="609"/>
      <c r="DEB65" s="609"/>
      <c r="DEC65" s="609"/>
      <c r="DED65" s="609"/>
      <c r="DEE65" s="609"/>
      <c r="DEF65" s="609"/>
      <c r="DEG65" s="609"/>
      <c r="DEH65" s="609"/>
      <c r="DEI65" s="609"/>
      <c r="DEJ65" s="609"/>
      <c r="DEK65" s="609"/>
      <c r="DEL65" s="609"/>
      <c r="DEM65" s="609"/>
      <c r="DEN65" s="609"/>
      <c r="DEO65" s="609"/>
      <c r="DEP65" s="609"/>
      <c r="DEQ65" s="609"/>
      <c r="DER65" s="609"/>
      <c r="DES65" s="609"/>
      <c r="DET65" s="609"/>
      <c r="DEU65" s="609"/>
      <c r="DEV65" s="609"/>
      <c r="DEW65" s="609"/>
      <c r="DEX65" s="609"/>
      <c r="DEY65" s="609"/>
      <c r="DEZ65" s="609"/>
      <c r="DFA65" s="609"/>
      <c r="DFB65" s="609"/>
      <c r="DFC65" s="609"/>
      <c r="DFD65" s="609"/>
      <c r="DFE65" s="609"/>
      <c r="DFF65" s="609"/>
      <c r="DFG65" s="609"/>
      <c r="DFH65" s="609"/>
      <c r="DFI65" s="609"/>
      <c r="DFJ65" s="609"/>
      <c r="DFK65" s="609"/>
      <c r="DFL65" s="609"/>
      <c r="DFM65" s="609"/>
      <c r="DFN65" s="609"/>
      <c r="DFO65" s="609"/>
      <c r="DFP65" s="609"/>
      <c r="DFQ65" s="609"/>
      <c r="DFR65" s="609"/>
      <c r="DFS65" s="609"/>
      <c r="DFT65" s="609"/>
      <c r="DFU65" s="609"/>
      <c r="DFV65" s="609"/>
      <c r="DFW65" s="609"/>
      <c r="DFX65" s="609"/>
      <c r="DFY65" s="609"/>
      <c r="DFZ65" s="609"/>
      <c r="DGA65" s="609"/>
      <c r="DGB65" s="609"/>
      <c r="DGC65" s="609"/>
      <c r="DGD65" s="609"/>
      <c r="DGE65" s="609"/>
      <c r="DGF65" s="609"/>
      <c r="DGG65" s="609"/>
      <c r="DGH65" s="609"/>
      <c r="DGI65" s="609"/>
      <c r="DGJ65" s="609"/>
      <c r="DGK65" s="609"/>
      <c r="DGL65" s="609"/>
      <c r="DGM65" s="609"/>
      <c r="DGN65" s="609"/>
      <c r="DGO65" s="609"/>
      <c r="DGP65" s="609"/>
      <c r="DGQ65" s="609"/>
      <c r="DGR65" s="609"/>
      <c r="DGS65" s="609"/>
      <c r="DGT65" s="609"/>
      <c r="DGU65" s="609"/>
      <c r="DGV65" s="609"/>
      <c r="DGW65" s="609"/>
      <c r="DGX65" s="609"/>
      <c r="DGY65" s="609"/>
      <c r="DGZ65" s="609"/>
      <c r="DHA65" s="609"/>
      <c r="DHB65" s="609"/>
      <c r="DHC65" s="609"/>
      <c r="DHD65" s="609"/>
      <c r="DHE65" s="609"/>
      <c r="DHF65" s="609"/>
      <c r="DHG65" s="609"/>
      <c r="DHH65" s="609"/>
      <c r="DHI65" s="609"/>
      <c r="DHJ65" s="609"/>
      <c r="DHK65" s="609"/>
      <c r="DHL65" s="609"/>
      <c r="DHM65" s="609"/>
      <c r="DHN65" s="609"/>
      <c r="DHO65" s="609"/>
      <c r="DHP65" s="609"/>
      <c r="DHQ65" s="609"/>
      <c r="DHR65" s="609"/>
      <c r="DHS65" s="609"/>
      <c r="DHT65" s="609"/>
      <c r="DHU65" s="609"/>
      <c r="DHV65" s="609"/>
      <c r="DHW65" s="609"/>
      <c r="DHX65" s="609"/>
      <c r="DHY65" s="609"/>
      <c r="DHZ65" s="609"/>
      <c r="DIA65" s="609"/>
      <c r="DIB65" s="609"/>
      <c r="DIC65" s="609"/>
      <c r="DID65" s="609"/>
      <c r="DIE65" s="609"/>
      <c r="DIF65" s="609"/>
      <c r="DIG65" s="609"/>
      <c r="DIH65" s="609"/>
      <c r="DII65" s="609"/>
      <c r="DIJ65" s="609"/>
      <c r="DIK65" s="609"/>
      <c r="DIL65" s="609"/>
      <c r="DIM65" s="609"/>
      <c r="DIN65" s="609"/>
      <c r="DIO65" s="609"/>
      <c r="DIP65" s="609"/>
      <c r="DIQ65" s="609"/>
      <c r="DIR65" s="609"/>
      <c r="DIS65" s="609"/>
      <c r="DIT65" s="609"/>
      <c r="DIU65" s="609"/>
      <c r="DIV65" s="609"/>
      <c r="DIW65" s="609"/>
      <c r="DIX65" s="609"/>
      <c r="DIY65" s="609"/>
      <c r="DIZ65" s="609"/>
      <c r="DJA65" s="609"/>
      <c r="DJB65" s="609"/>
      <c r="DJC65" s="609"/>
      <c r="DJD65" s="609"/>
      <c r="DJE65" s="609"/>
      <c r="DJF65" s="609"/>
      <c r="DJG65" s="609"/>
      <c r="DJH65" s="609"/>
      <c r="DJI65" s="609"/>
      <c r="DJJ65" s="609"/>
      <c r="DJK65" s="609"/>
      <c r="DJL65" s="609"/>
      <c r="DJM65" s="609"/>
      <c r="DJN65" s="609"/>
      <c r="DJO65" s="609"/>
      <c r="DJP65" s="609"/>
      <c r="DJQ65" s="609"/>
      <c r="DJR65" s="609"/>
      <c r="DJS65" s="609"/>
      <c r="DJT65" s="609"/>
      <c r="DJU65" s="609"/>
      <c r="DJV65" s="609"/>
      <c r="DJW65" s="609"/>
      <c r="DJX65" s="609"/>
      <c r="DJY65" s="609"/>
      <c r="DJZ65" s="609"/>
      <c r="DKA65" s="609"/>
      <c r="DKB65" s="609"/>
      <c r="DKC65" s="609"/>
      <c r="DKD65" s="609"/>
      <c r="DKE65" s="609"/>
      <c r="DKF65" s="609"/>
      <c r="DKG65" s="609"/>
      <c r="DKH65" s="609"/>
      <c r="DKI65" s="609"/>
      <c r="DKJ65" s="609"/>
      <c r="DKK65" s="609"/>
      <c r="DKL65" s="609"/>
      <c r="DKM65" s="609"/>
      <c r="DKN65" s="609"/>
      <c r="DKO65" s="609"/>
      <c r="DKP65" s="609"/>
      <c r="DKQ65" s="609"/>
      <c r="DKR65" s="609"/>
      <c r="DKS65" s="609"/>
      <c r="DKT65" s="609"/>
      <c r="DKU65" s="609"/>
      <c r="DKV65" s="609"/>
      <c r="DKW65" s="609"/>
      <c r="DKX65" s="609"/>
      <c r="DKY65" s="609"/>
      <c r="DKZ65" s="609"/>
      <c r="DLA65" s="609"/>
      <c r="DLB65" s="609"/>
      <c r="DLC65" s="609"/>
      <c r="DLD65" s="609"/>
      <c r="DLE65" s="609"/>
      <c r="DLF65" s="609"/>
      <c r="DLG65" s="609"/>
      <c r="DLH65" s="609"/>
      <c r="DLI65" s="609"/>
      <c r="DLJ65" s="609"/>
      <c r="DLK65" s="609"/>
      <c r="DLL65" s="609"/>
      <c r="DLM65" s="609"/>
      <c r="DLN65" s="609"/>
      <c r="DLO65" s="609"/>
      <c r="DLP65" s="609"/>
      <c r="DLQ65" s="609"/>
      <c r="DLR65" s="609"/>
      <c r="DLS65" s="609"/>
      <c r="DLT65" s="609"/>
      <c r="DLU65" s="609"/>
      <c r="DLV65" s="609"/>
      <c r="DLW65" s="609"/>
      <c r="DLX65" s="609"/>
      <c r="DLY65" s="609"/>
      <c r="DLZ65" s="609"/>
      <c r="DMA65" s="609"/>
      <c r="DMB65" s="609"/>
      <c r="DMC65" s="609"/>
      <c r="DMD65" s="609"/>
      <c r="DME65" s="609"/>
      <c r="DMF65" s="609"/>
      <c r="DMG65" s="609"/>
      <c r="DMH65" s="609"/>
      <c r="DMI65" s="609"/>
      <c r="DMJ65" s="609"/>
      <c r="DMK65" s="609"/>
      <c r="DML65" s="609"/>
      <c r="DMM65" s="609"/>
      <c r="DMN65" s="609"/>
      <c r="DMO65" s="609"/>
      <c r="DMP65" s="609"/>
      <c r="DMQ65" s="609"/>
      <c r="DMR65" s="609"/>
      <c r="DMS65" s="609"/>
      <c r="DMT65" s="609"/>
      <c r="DMU65" s="609"/>
      <c r="DMV65" s="609"/>
      <c r="DMW65" s="609"/>
      <c r="DMX65" s="609"/>
      <c r="DMY65" s="609"/>
      <c r="DMZ65" s="609"/>
      <c r="DNA65" s="609"/>
      <c r="DNB65" s="609"/>
      <c r="DNC65" s="609"/>
      <c r="DND65" s="609"/>
      <c r="DNE65" s="609"/>
      <c r="DNF65" s="609"/>
      <c r="DNG65" s="609"/>
      <c r="DNH65" s="609"/>
      <c r="DNI65" s="609"/>
      <c r="DNJ65" s="609"/>
      <c r="DNK65" s="609"/>
      <c r="DNL65" s="609"/>
      <c r="DNM65" s="609"/>
      <c r="DNN65" s="609"/>
      <c r="DNO65" s="609"/>
      <c r="DNP65" s="609"/>
      <c r="DNQ65" s="609"/>
      <c r="DNR65" s="609"/>
      <c r="DNS65" s="609"/>
      <c r="DNT65" s="609"/>
      <c r="DNU65" s="609"/>
      <c r="DNV65" s="609"/>
      <c r="DNW65" s="609"/>
      <c r="DNX65" s="609"/>
      <c r="DNY65" s="609"/>
      <c r="DNZ65" s="609"/>
      <c r="DOA65" s="609"/>
      <c r="DOB65" s="609"/>
      <c r="DOC65" s="609"/>
      <c r="DOD65" s="609"/>
      <c r="DOE65" s="609"/>
      <c r="DOF65" s="609"/>
      <c r="DOG65" s="609"/>
      <c r="DOH65" s="609"/>
      <c r="DOI65" s="609"/>
      <c r="DOJ65" s="609"/>
      <c r="DOK65" s="609"/>
      <c r="DOL65" s="609"/>
      <c r="DOM65" s="609"/>
      <c r="DON65" s="609"/>
      <c r="DOO65" s="609"/>
      <c r="DOP65" s="609"/>
      <c r="DOQ65" s="609"/>
      <c r="DOR65" s="609"/>
      <c r="DOS65" s="609"/>
      <c r="DOT65" s="609"/>
      <c r="DOU65" s="609"/>
      <c r="DOV65" s="609"/>
      <c r="DOW65" s="609"/>
      <c r="DOX65" s="609"/>
      <c r="DOY65" s="609"/>
      <c r="DOZ65" s="609"/>
      <c r="DPA65" s="609"/>
      <c r="DPB65" s="609"/>
      <c r="DPC65" s="609"/>
      <c r="DPD65" s="609"/>
      <c r="DPE65" s="609"/>
      <c r="DPF65" s="609"/>
      <c r="DPG65" s="609"/>
      <c r="DPH65" s="609"/>
      <c r="DPI65" s="609"/>
      <c r="DPJ65" s="609"/>
      <c r="DPK65" s="609"/>
      <c r="DPL65" s="609"/>
      <c r="DPM65" s="609"/>
      <c r="DPN65" s="609"/>
      <c r="DPO65" s="609"/>
      <c r="DPP65" s="609"/>
      <c r="DPQ65" s="609"/>
      <c r="DPR65" s="609"/>
      <c r="DPS65" s="609"/>
      <c r="DPT65" s="609"/>
      <c r="DPU65" s="609"/>
      <c r="DPV65" s="609"/>
      <c r="DPW65" s="609"/>
      <c r="DPX65" s="609"/>
      <c r="DPY65" s="609"/>
      <c r="DPZ65" s="609"/>
      <c r="DQA65" s="609"/>
      <c r="DQB65" s="609"/>
      <c r="DQC65" s="609"/>
      <c r="DQD65" s="609"/>
      <c r="DQE65" s="609"/>
      <c r="DQF65" s="609"/>
      <c r="DQG65" s="609"/>
      <c r="DQH65" s="609"/>
      <c r="DQI65" s="609"/>
      <c r="DQJ65" s="609"/>
      <c r="DQK65" s="609"/>
      <c r="DQL65" s="609"/>
      <c r="DQM65" s="609"/>
      <c r="DQN65" s="609"/>
      <c r="DQO65" s="609"/>
      <c r="DQP65" s="609"/>
      <c r="DQQ65" s="609"/>
      <c r="DQR65" s="609"/>
      <c r="DQS65" s="609"/>
      <c r="DQT65" s="609"/>
      <c r="DQU65" s="609"/>
      <c r="DQV65" s="609"/>
      <c r="DQW65" s="609"/>
      <c r="DQX65" s="609"/>
      <c r="DQY65" s="609"/>
      <c r="DQZ65" s="609"/>
      <c r="DRA65" s="609"/>
      <c r="DRB65" s="609"/>
      <c r="DRC65" s="609"/>
      <c r="DRD65" s="609"/>
      <c r="DRE65" s="609"/>
      <c r="DRF65" s="609"/>
      <c r="DRG65" s="609"/>
      <c r="DRH65" s="609"/>
      <c r="DRI65" s="609"/>
      <c r="DRJ65" s="609"/>
      <c r="DRK65" s="609"/>
      <c r="DRL65" s="609"/>
      <c r="DRM65" s="609"/>
      <c r="DRN65" s="609"/>
      <c r="DRO65" s="609"/>
      <c r="DRP65" s="609"/>
      <c r="DRQ65" s="609"/>
      <c r="DRR65" s="609"/>
      <c r="DRS65" s="609"/>
      <c r="DRT65" s="609"/>
      <c r="DRU65" s="609"/>
      <c r="DRV65" s="609"/>
      <c r="DRW65" s="609"/>
      <c r="DRX65" s="609"/>
      <c r="DRY65" s="609"/>
      <c r="DRZ65" s="609"/>
      <c r="DSA65" s="609"/>
      <c r="DSB65" s="609"/>
      <c r="DSC65" s="609"/>
      <c r="DSD65" s="609"/>
      <c r="DSE65" s="609"/>
      <c r="DSF65" s="609"/>
      <c r="DSG65" s="609"/>
      <c r="DSH65" s="609"/>
      <c r="DSI65" s="609"/>
      <c r="DSJ65" s="609"/>
      <c r="DSK65" s="609"/>
      <c r="DSL65" s="609"/>
      <c r="DSM65" s="609"/>
      <c r="DSN65" s="609"/>
      <c r="DSO65" s="609"/>
      <c r="DSP65" s="609"/>
      <c r="DSQ65" s="609"/>
      <c r="DSR65" s="609"/>
      <c r="DSS65" s="609"/>
      <c r="DST65" s="609"/>
      <c r="DSU65" s="609"/>
      <c r="DSV65" s="609"/>
      <c r="DSW65" s="609"/>
      <c r="DSX65" s="609"/>
      <c r="DSY65" s="609"/>
      <c r="DSZ65" s="609"/>
      <c r="DTA65" s="609"/>
      <c r="DTB65" s="609"/>
      <c r="DTC65" s="609"/>
      <c r="DTD65" s="609"/>
      <c r="DTE65" s="609"/>
      <c r="DTF65" s="609"/>
      <c r="DTG65" s="609"/>
      <c r="DTH65" s="609"/>
      <c r="DTI65" s="609"/>
      <c r="DTJ65" s="609"/>
      <c r="DTK65" s="609"/>
      <c r="DTL65" s="609"/>
      <c r="DTM65" s="609"/>
      <c r="DTN65" s="609"/>
      <c r="DTO65" s="609"/>
      <c r="DTP65" s="609"/>
      <c r="DTQ65" s="609"/>
      <c r="DTR65" s="609"/>
      <c r="DTS65" s="609"/>
      <c r="DTT65" s="609"/>
      <c r="DTU65" s="609"/>
      <c r="DTV65" s="609"/>
      <c r="DTW65" s="609"/>
      <c r="DTX65" s="609"/>
      <c r="DTY65" s="609"/>
      <c r="DTZ65" s="609"/>
      <c r="DUA65" s="609"/>
      <c r="DUB65" s="609"/>
      <c r="DUC65" s="609"/>
      <c r="DUD65" s="609"/>
      <c r="DUE65" s="609"/>
      <c r="DUF65" s="609"/>
      <c r="DUG65" s="609"/>
      <c r="DUH65" s="609"/>
      <c r="DUI65" s="609"/>
      <c r="DUJ65" s="609"/>
      <c r="DUK65" s="609"/>
      <c r="DUL65" s="609"/>
      <c r="DUM65" s="609"/>
      <c r="DUN65" s="609"/>
      <c r="DUO65" s="609"/>
      <c r="DUP65" s="609"/>
      <c r="DUQ65" s="609"/>
      <c r="DUR65" s="609"/>
      <c r="DUS65" s="609"/>
      <c r="DUT65" s="609"/>
      <c r="DUU65" s="609"/>
      <c r="DUV65" s="609"/>
      <c r="DUW65" s="609"/>
      <c r="DUX65" s="609"/>
      <c r="DUY65" s="609"/>
      <c r="DUZ65" s="609"/>
      <c r="DVA65" s="609"/>
      <c r="DVB65" s="609"/>
      <c r="DVC65" s="609"/>
      <c r="DVD65" s="609"/>
      <c r="DVE65" s="609"/>
      <c r="DVF65" s="609"/>
      <c r="DVG65" s="609"/>
      <c r="DVH65" s="609"/>
      <c r="DVI65" s="609"/>
      <c r="DVJ65" s="609"/>
      <c r="DVK65" s="609"/>
      <c r="DVL65" s="609"/>
      <c r="DVM65" s="609"/>
      <c r="DVN65" s="609"/>
      <c r="DVO65" s="609"/>
      <c r="DVP65" s="609"/>
      <c r="DVQ65" s="609"/>
      <c r="DVR65" s="609"/>
      <c r="DVS65" s="609"/>
      <c r="DVT65" s="609"/>
      <c r="DVU65" s="609"/>
      <c r="DVV65" s="609"/>
      <c r="DVW65" s="609"/>
      <c r="DVX65" s="609"/>
      <c r="DVY65" s="609"/>
      <c r="DVZ65" s="609"/>
      <c r="DWA65" s="609"/>
      <c r="DWB65" s="609"/>
      <c r="DWC65" s="609"/>
      <c r="DWD65" s="609"/>
      <c r="DWE65" s="609"/>
      <c r="DWF65" s="609"/>
      <c r="DWG65" s="609"/>
      <c r="DWH65" s="609"/>
      <c r="DWI65" s="609"/>
      <c r="DWJ65" s="609"/>
      <c r="DWK65" s="609"/>
      <c r="DWL65" s="609"/>
      <c r="DWM65" s="609"/>
      <c r="DWN65" s="609"/>
      <c r="DWO65" s="609"/>
      <c r="DWP65" s="609"/>
      <c r="DWQ65" s="609"/>
      <c r="DWR65" s="609"/>
      <c r="DWS65" s="609"/>
      <c r="DWT65" s="609"/>
      <c r="DWU65" s="609"/>
      <c r="DWV65" s="609"/>
      <c r="DWW65" s="609"/>
      <c r="DWX65" s="609"/>
      <c r="DWY65" s="609"/>
      <c r="DWZ65" s="609"/>
      <c r="DXA65" s="609"/>
      <c r="DXB65" s="609"/>
      <c r="DXC65" s="609"/>
      <c r="DXD65" s="609"/>
      <c r="DXE65" s="609"/>
      <c r="DXF65" s="609"/>
      <c r="DXG65" s="609"/>
      <c r="DXH65" s="609"/>
      <c r="DXI65" s="609"/>
      <c r="DXJ65" s="609"/>
      <c r="DXK65" s="609"/>
      <c r="DXL65" s="609"/>
      <c r="DXM65" s="609"/>
      <c r="DXN65" s="609"/>
      <c r="DXO65" s="609"/>
      <c r="DXP65" s="609"/>
      <c r="DXQ65" s="609"/>
      <c r="DXR65" s="609"/>
      <c r="DXS65" s="609"/>
      <c r="DXT65" s="609"/>
      <c r="DXU65" s="609"/>
      <c r="DXV65" s="609"/>
      <c r="DXW65" s="609"/>
      <c r="DXX65" s="609"/>
      <c r="DXY65" s="609"/>
      <c r="DXZ65" s="609"/>
      <c r="DYA65" s="609"/>
      <c r="DYB65" s="609"/>
      <c r="DYC65" s="609"/>
      <c r="DYD65" s="609"/>
      <c r="DYE65" s="609"/>
      <c r="DYF65" s="609"/>
      <c r="DYG65" s="609"/>
      <c r="DYH65" s="609"/>
      <c r="DYI65" s="609"/>
      <c r="DYJ65" s="609"/>
      <c r="DYK65" s="609"/>
      <c r="DYL65" s="609"/>
      <c r="DYM65" s="609"/>
      <c r="DYN65" s="609"/>
      <c r="DYO65" s="609"/>
      <c r="DYP65" s="609"/>
      <c r="DYQ65" s="609"/>
      <c r="DYR65" s="609"/>
      <c r="DYS65" s="609"/>
      <c r="DYT65" s="609"/>
      <c r="DYU65" s="609"/>
      <c r="DYV65" s="609"/>
      <c r="DYW65" s="609"/>
      <c r="DYX65" s="609"/>
      <c r="DYY65" s="609"/>
      <c r="DYZ65" s="609"/>
      <c r="DZA65" s="609"/>
      <c r="DZB65" s="609"/>
      <c r="DZC65" s="609"/>
      <c r="DZD65" s="609"/>
      <c r="DZE65" s="609"/>
      <c r="DZF65" s="609"/>
      <c r="DZG65" s="609"/>
      <c r="DZH65" s="609"/>
      <c r="DZI65" s="609"/>
      <c r="DZJ65" s="609"/>
      <c r="DZK65" s="609"/>
      <c r="DZL65" s="609"/>
      <c r="DZM65" s="609"/>
      <c r="DZN65" s="609"/>
      <c r="DZO65" s="609"/>
      <c r="DZP65" s="609"/>
      <c r="DZQ65" s="609"/>
      <c r="DZR65" s="609"/>
      <c r="DZS65" s="609"/>
      <c r="DZT65" s="609"/>
      <c r="DZU65" s="609"/>
      <c r="DZV65" s="609"/>
      <c r="DZW65" s="609"/>
      <c r="DZX65" s="609"/>
      <c r="DZY65" s="609"/>
      <c r="DZZ65" s="609"/>
      <c r="EAA65" s="609"/>
      <c r="EAB65" s="609"/>
      <c r="EAC65" s="609"/>
      <c r="EAD65" s="609"/>
      <c r="EAE65" s="609"/>
      <c r="EAF65" s="609"/>
      <c r="EAG65" s="609"/>
      <c r="EAH65" s="609"/>
      <c r="EAI65" s="609"/>
      <c r="EAJ65" s="609"/>
      <c r="EAK65" s="609"/>
      <c r="EAL65" s="609"/>
      <c r="EAM65" s="609"/>
      <c r="EAN65" s="609"/>
      <c r="EAO65" s="609"/>
      <c r="EAP65" s="609"/>
      <c r="EAQ65" s="609"/>
      <c r="EAR65" s="609"/>
      <c r="EAS65" s="609"/>
      <c r="EAT65" s="609"/>
      <c r="EAU65" s="609"/>
      <c r="EAV65" s="609"/>
      <c r="EAW65" s="609"/>
      <c r="EAX65" s="609"/>
      <c r="EAY65" s="609"/>
      <c r="EAZ65" s="609"/>
      <c r="EBA65" s="609"/>
      <c r="EBB65" s="609"/>
      <c r="EBC65" s="609"/>
      <c r="EBD65" s="609"/>
      <c r="EBE65" s="609"/>
      <c r="EBF65" s="609"/>
      <c r="EBG65" s="609"/>
      <c r="EBH65" s="609"/>
      <c r="EBI65" s="609"/>
      <c r="EBJ65" s="609"/>
      <c r="EBK65" s="609"/>
      <c r="EBL65" s="609"/>
      <c r="EBM65" s="609"/>
      <c r="EBN65" s="609"/>
      <c r="EBO65" s="609"/>
      <c r="EBP65" s="609"/>
      <c r="EBQ65" s="609"/>
      <c r="EBR65" s="609"/>
      <c r="EBS65" s="609"/>
      <c r="EBT65" s="609"/>
      <c r="EBU65" s="609"/>
      <c r="EBV65" s="609"/>
      <c r="EBW65" s="609"/>
      <c r="EBX65" s="609"/>
      <c r="EBY65" s="609"/>
      <c r="EBZ65" s="609"/>
      <c r="ECA65" s="609"/>
      <c r="ECB65" s="609"/>
      <c r="ECC65" s="609"/>
      <c r="ECD65" s="609"/>
      <c r="ECE65" s="609"/>
      <c r="ECF65" s="609"/>
      <c r="ECG65" s="609"/>
      <c r="ECH65" s="609"/>
      <c r="ECI65" s="609"/>
      <c r="ECJ65" s="609"/>
      <c r="ECK65" s="609"/>
      <c r="ECL65" s="609"/>
      <c r="ECM65" s="609"/>
      <c r="ECN65" s="609"/>
      <c r="ECO65" s="609"/>
      <c r="ECP65" s="609"/>
      <c r="ECQ65" s="609"/>
      <c r="ECR65" s="609"/>
      <c r="ECS65" s="609"/>
      <c r="ECT65" s="609"/>
      <c r="ECU65" s="609"/>
      <c r="ECV65" s="609"/>
      <c r="ECW65" s="609"/>
      <c r="ECX65" s="609"/>
      <c r="ECY65" s="609"/>
      <c r="ECZ65" s="609"/>
      <c r="EDA65" s="609"/>
      <c r="EDB65" s="609"/>
      <c r="EDC65" s="609"/>
      <c r="EDD65" s="609"/>
      <c r="EDE65" s="609"/>
      <c r="EDF65" s="609"/>
      <c r="EDG65" s="609"/>
      <c r="EDH65" s="609"/>
      <c r="EDI65" s="609"/>
      <c r="EDJ65" s="609"/>
      <c r="EDK65" s="609"/>
      <c r="EDL65" s="609"/>
      <c r="EDM65" s="609"/>
      <c r="EDN65" s="609"/>
      <c r="EDO65" s="609"/>
      <c r="EDP65" s="609"/>
      <c r="EDQ65" s="609"/>
      <c r="EDR65" s="609"/>
      <c r="EDS65" s="609"/>
      <c r="EDT65" s="609"/>
      <c r="EDU65" s="609"/>
      <c r="EDV65" s="609"/>
      <c r="EDW65" s="609"/>
      <c r="EDX65" s="609"/>
      <c r="EDY65" s="609"/>
      <c r="EDZ65" s="609"/>
      <c r="EEA65" s="609"/>
      <c r="EEB65" s="609"/>
      <c r="EEC65" s="609"/>
      <c r="EED65" s="609"/>
      <c r="EEE65" s="609"/>
      <c r="EEF65" s="609"/>
      <c r="EEG65" s="609"/>
      <c r="EEH65" s="609"/>
      <c r="EEI65" s="609"/>
      <c r="EEJ65" s="609"/>
      <c r="EEK65" s="609"/>
      <c r="EEL65" s="609"/>
      <c r="EEM65" s="609"/>
      <c r="EEN65" s="609"/>
      <c r="EEO65" s="609"/>
      <c r="EEP65" s="609"/>
      <c r="EEQ65" s="609"/>
      <c r="EER65" s="609"/>
      <c r="EES65" s="609"/>
      <c r="EET65" s="609"/>
      <c r="EEU65" s="609"/>
      <c r="EEV65" s="609"/>
      <c r="EEW65" s="609"/>
      <c r="EEX65" s="609"/>
      <c r="EEY65" s="609"/>
      <c r="EEZ65" s="609"/>
      <c r="EFA65" s="609"/>
      <c r="EFB65" s="609"/>
      <c r="EFC65" s="609"/>
      <c r="EFD65" s="609"/>
      <c r="EFE65" s="609"/>
      <c r="EFF65" s="609"/>
      <c r="EFG65" s="609"/>
      <c r="EFH65" s="609"/>
      <c r="EFI65" s="609"/>
      <c r="EFJ65" s="609"/>
      <c r="EFK65" s="609"/>
      <c r="EFL65" s="609"/>
      <c r="EFM65" s="609"/>
      <c r="EFN65" s="609"/>
      <c r="EFO65" s="609"/>
      <c r="EFP65" s="609"/>
      <c r="EFQ65" s="609"/>
      <c r="EFR65" s="609"/>
      <c r="EFS65" s="609"/>
      <c r="EFT65" s="609"/>
      <c r="EFU65" s="609"/>
      <c r="EFV65" s="609"/>
      <c r="EFW65" s="609"/>
      <c r="EFX65" s="609"/>
      <c r="EFY65" s="609"/>
      <c r="EFZ65" s="609"/>
      <c r="EGA65" s="609"/>
      <c r="EGB65" s="609"/>
      <c r="EGC65" s="609"/>
      <c r="EGD65" s="609"/>
      <c r="EGE65" s="609"/>
      <c r="EGF65" s="609"/>
      <c r="EGG65" s="609"/>
      <c r="EGH65" s="609"/>
      <c r="EGI65" s="609"/>
      <c r="EGJ65" s="609"/>
      <c r="EGK65" s="609"/>
      <c r="EGL65" s="609"/>
      <c r="EGM65" s="609"/>
      <c r="EGN65" s="609"/>
      <c r="EGO65" s="609"/>
      <c r="EGP65" s="609"/>
      <c r="EGQ65" s="609"/>
      <c r="EGR65" s="609"/>
      <c r="EGS65" s="609"/>
      <c r="EGT65" s="609"/>
      <c r="EGU65" s="609"/>
      <c r="EGV65" s="609"/>
      <c r="EGW65" s="609"/>
      <c r="EGX65" s="609"/>
      <c r="EGY65" s="609"/>
      <c r="EGZ65" s="609"/>
      <c r="EHA65" s="609"/>
      <c r="EHB65" s="609"/>
      <c r="EHC65" s="609"/>
      <c r="EHD65" s="609"/>
      <c r="EHE65" s="609"/>
      <c r="EHF65" s="609"/>
      <c r="EHG65" s="609"/>
      <c r="EHH65" s="609"/>
      <c r="EHI65" s="609"/>
      <c r="EHJ65" s="609"/>
      <c r="EHK65" s="609"/>
      <c r="EHL65" s="609"/>
      <c r="EHM65" s="609"/>
      <c r="EHN65" s="609"/>
      <c r="EHO65" s="609"/>
      <c r="EHP65" s="609"/>
      <c r="EHQ65" s="609"/>
      <c r="EHR65" s="609"/>
      <c r="EHS65" s="609"/>
      <c r="EHT65" s="609"/>
      <c r="EHU65" s="609"/>
      <c r="EHV65" s="609"/>
      <c r="EHW65" s="609"/>
      <c r="EHX65" s="609"/>
      <c r="EHY65" s="609"/>
      <c r="EHZ65" s="609"/>
      <c r="EIA65" s="609"/>
      <c r="EIB65" s="609"/>
      <c r="EIC65" s="609"/>
      <c r="EID65" s="609"/>
      <c r="EIE65" s="609"/>
      <c r="EIF65" s="609"/>
      <c r="EIG65" s="609"/>
      <c r="EIH65" s="609"/>
      <c r="EII65" s="609"/>
      <c r="EIJ65" s="609"/>
      <c r="EIK65" s="609"/>
      <c r="EIL65" s="609"/>
      <c r="EIM65" s="609"/>
      <c r="EIN65" s="609"/>
      <c r="EIO65" s="609"/>
      <c r="EIP65" s="609"/>
      <c r="EIQ65" s="609"/>
      <c r="EIR65" s="609"/>
      <c r="EIS65" s="609"/>
      <c r="EIT65" s="609"/>
      <c r="EIU65" s="609"/>
      <c r="EIV65" s="609"/>
      <c r="EIW65" s="609"/>
      <c r="EIX65" s="609"/>
      <c r="EIY65" s="609"/>
      <c r="EIZ65" s="609"/>
      <c r="EJA65" s="609"/>
      <c r="EJB65" s="609"/>
      <c r="EJC65" s="609"/>
      <c r="EJD65" s="609"/>
      <c r="EJE65" s="609"/>
      <c r="EJF65" s="609"/>
      <c r="EJG65" s="609"/>
      <c r="EJH65" s="609"/>
      <c r="EJI65" s="609"/>
      <c r="EJJ65" s="609"/>
      <c r="EJK65" s="609"/>
      <c r="EJL65" s="609"/>
      <c r="EJM65" s="609"/>
      <c r="EJN65" s="609"/>
      <c r="EJO65" s="609"/>
      <c r="EJP65" s="609"/>
      <c r="EJQ65" s="609"/>
      <c r="EJR65" s="609"/>
      <c r="EJS65" s="609"/>
      <c r="EJT65" s="609"/>
      <c r="EJU65" s="609"/>
      <c r="EJV65" s="609"/>
      <c r="EJW65" s="609"/>
      <c r="EJX65" s="609"/>
      <c r="EJY65" s="609"/>
      <c r="EJZ65" s="609"/>
      <c r="EKA65" s="609"/>
      <c r="EKB65" s="609"/>
      <c r="EKC65" s="609"/>
      <c r="EKD65" s="609"/>
      <c r="EKE65" s="609"/>
      <c r="EKF65" s="609"/>
      <c r="EKG65" s="609"/>
      <c r="EKH65" s="609"/>
      <c r="EKI65" s="609"/>
      <c r="EKJ65" s="609"/>
      <c r="EKK65" s="609"/>
      <c r="EKL65" s="609"/>
      <c r="EKM65" s="609"/>
      <c r="EKN65" s="609"/>
      <c r="EKO65" s="609"/>
      <c r="EKP65" s="609"/>
      <c r="EKQ65" s="609"/>
      <c r="EKR65" s="609"/>
      <c r="EKS65" s="609"/>
      <c r="EKT65" s="609"/>
      <c r="EKU65" s="609"/>
      <c r="EKV65" s="609"/>
      <c r="EKW65" s="609"/>
      <c r="EKX65" s="609"/>
      <c r="EKY65" s="609"/>
      <c r="EKZ65" s="609"/>
      <c r="ELA65" s="609"/>
      <c r="ELB65" s="609"/>
      <c r="ELC65" s="609"/>
      <c r="ELD65" s="609"/>
      <c r="ELE65" s="609"/>
      <c r="ELF65" s="609"/>
      <c r="ELG65" s="609"/>
      <c r="ELH65" s="609"/>
      <c r="ELI65" s="609"/>
      <c r="ELJ65" s="609"/>
      <c r="ELK65" s="609"/>
      <c r="ELL65" s="609"/>
      <c r="ELM65" s="609"/>
      <c r="ELN65" s="609"/>
      <c r="ELO65" s="609"/>
      <c r="ELP65" s="609"/>
      <c r="ELQ65" s="609"/>
      <c r="ELR65" s="609"/>
      <c r="ELS65" s="609"/>
      <c r="ELT65" s="609"/>
      <c r="ELU65" s="609"/>
      <c r="ELV65" s="609"/>
      <c r="ELW65" s="609"/>
      <c r="ELX65" s="609"/>
      <c r="ELY65" s="609"/>
      <c r="ELZ65" s="609"/>
      <c r="EMA65" s="609"/>
      <c r="EMB65" s="609"/>
      <c r="EMC65" s="609"/>
      <c r="EMD65" s="609"/>
      <c r="EME65" s="609"/>
      <c r="EMF65" s="609"/>
      <c r="EMG65" s="609"/>
      <c r="EMH65" s="609"/>
      <c r="EMI65" s="609"/>
      <c r="EMJ65" s="609"/>
      <c r="EMK65" s="609"/>
      <c r="EML65" s="609"/>
      <c r="EMM65" s="609"/>
      <c r="EMN65" s="609"/>
      <c r="EMO65" s="609"/>
      <c r="EMP65" s="609"/>
      <c r="EMQ65" s="609"/>
      <c r="EMR65" s="609"/>
      <c r="EMS65" s="609"/>
      <c r="EMT65" s="609"/>
      <c r="EMU65" s="609"/>
      <c r="EMV65" s="609"/>
      <c r="EMW65" s="609"/>
      <c r="EMX65" s="609"/>
      <c r="EMY65" s="609"/>
      <c r="EMZ65" s="609"/>
      <c r="ENA65" s="609"/>
      <c r="ENB65" s="609"/>
      <c r="ENC65" s="609"/>
      <c r="END65" s="609"/>
      <c r="ENE65" s="609"/>
      <c r="ENF65" s="609"/>
      <c r="ENG65" s="609"/>
      <c r="ENH65" s="609"/>
      <c r="ENI65" s="609"/>
      <c r="ENJ65" s="609"/>
      <c r="ENK65" s="609"/>
      <c r="ENL65" s="609"/>
      <c r="ENM65" s="609"/>
      <c r="ENN65" s="609"/>
      <c r="ENO65" s="609"/>
      <c r="ENP65" s="609"/>
      <c r="ENQ65" s="609"/>
      <c r="ENR65" s="609"/>
      <c r="ENS65" s="609"/>
      <c r="ENT65" s="609"/>
      <c r="ENU65" s="609"/>
      <c r="ENV65" s="609"/>
      <c r="ENW65" s="609"/>
      <c r="ENX65" s="609"/>
      <c r="ENY65" s="609"/>
      <c r="ENZ65" s="609"/>
      <c r="EOA65" s="609"/>
      <c r="EOB65" s="609"/>
      <c r="EOC65" s="609"/>
      <c r="EOD65" s="609"/>
      <c r="EOE65" s="609"/>
      <c r="EOF65" s="609"/>
      <c r="EOG65" s="609"/>
      <c r="EOH65" s="609"/>
      <c r="EOI65" s="609"/>
      <c r="EOJ65" s="609"/>
      <c r="EOK65" s="609"/>
      <c r="EOL65" s="609"/>
      <c r="EOM65" s="609"/>
      <c r="EON65" s="609"/>
      <c r="EOO65" s="609"/>
      <c r="EOP65" s="609"/>
      <c r="EOQ65" s="609"/>
      <c r="EOR65" s="609"/>
      <c r="EOS65" s="609"/>
      <c r="EOT65" s="609"/>
      <c r="EOU65" s="609"/>
      <c r="EOV65" s="609"/>
      <c r="EOW65" s="609"/>
      <c r="EOX65" s="609"/>
      <c r="EOY65" s="609"/>
      <c r="EOZ65" s="609"/>
      <c r="EPA65" s="609"/>
      <c r="EPB65" s="609"/>
      <c r="EPC65" s="609"/>
      <c r="EPD65" s="609"/>
      <c r="EPE65" s="609"/>
      <c r="EPF65" s="609"/>
      <c r="EPG65" s="609"/>
      <c r="EPH65" s="609"/>
      <c r="EPI65" s="609"/>
      <c r="EPJ65" s="609"/>
      <c r="EPK65" s="609"/>
      <c r="EPL65" s="609"/>
      <c r="EPM65" s="609"/>
      <c r="EPN65" s="609"/>
      <c r="EPO65" s="609"/>
      <c r="EPP65" s="609"/>
      <c r="EPQ65" s="609"/>
      <c r="EPR65" s="609"/>
      <c r="EPS65" s="609"/>
      <c r="EPT65" s="609"/>
      <c r="EPU65" s="609"/>
      <c r="EPV65" s="609"/>
      <c r="EPW65" s="609"/>
      <c r="EPX65" s="609"/>
      <c r="EPY65" s="609"/>
      <c r="EPZ65" s="609"/>
      <c r="EQA65" s="609"/>
      <c r="EQB65" s="609"/>
      <c r="EQC65" s="609"/>
      <c r="EQD65" s="609"/>
      <c r="EQE65" s="609"/>
      <c r="EQF65" s="609"/>
      <c r="EQG65" s="609"/>
      <c r="EQH65" s="609"/>
      <c r="EQI65" s="609"/>
      <c r="EQJ65" s="609"/>
      <c r="EQK65" s="609"/>
      <c r="EQL65" s="609"/>
      <c r="EQM65" s="609"/>
      <c r="EQN65" s="609"/>
      <c r="EQO65" s="609"/>
      <c r="EQP65" s="609"/>
      <c r="EQQ65" s="609"/>
      <c r="EQR65" s="609"/>
      <c r="EQS65" s="609"/>
      <c r="EQT65" s="609"/>
      <c r="EQU65" s="609"/>
      <c r="EQV65" s="609"/>
      <c r="EQW65" s="609"/>
      <c r="EQX65" s="609"/>
      <c r="EQY65" s="609"/>
      <c r="EQZ65" s="609"/>
      <c r="ERA65" s="609"/>
      <c r="ERB65" s="609"/>
      <c r="ERC65" s="609"/>
      <c r="ERD65" s="609"/>
      <c r="ERE65" s="609"/>
      <c r="ERF65" s="609"/>
      <c r="ERG65" s="609"/>
      <c r="ERH65" s="609"/>
      <c r="ERI65" s="609"/>
      <c r="ERJ65" s="609"/>
      <c r="ERK65" s="609"/>
      <c r="ERL65" s="609"/>
      <c r="ERM65" s="609"/>
      <c r="ERN65" s="609"/>
      <c r="ERO65" s="609"/>
      <c r="ERP65" s="609"/>
      <c r="ERQ65" s="609"/>
      <c r="ERR65" s="609"/>
      <c r="ERS65" s="609"/>
      <c r="ERT65" s="609"/>
      <c r="ERU65" s="609"/>
      <c r="ERV65" s="609"/>
      <c r="ERW65" s="609"/>
      <c r="ERX65" s="609"/>
      <c r="ERY65" s="609"/>
      <c r="ERZ65" s="609"/>
      <c r="ESA65" s="609"/>
      <c r="ESB65" s="609"/>
      <c r="ESC65" s="609"/>
      <c r="ESD65" s="609"/>
      <c r="ESE65" s="609"/>
      <c r="ESF65" s="609"/>
      <c r="ESG65" s="609"/>
      <c r="ESH65" s="609"/>
      <c r="ESI65" s="609"/>
      <c r="ESJ65" s="609"/>
      <c r="ESK65" s="609"/>
      <c r="ESL65" s="609"/>
      <c r="ESM65" s="609"/>
      <c r="ESN65" s="609"/>
      <c r="ESO65" s="609"/>
      <c r="ESP65" s="609"/>
      <c r="ESQ65" s="609"/>
      <c r="ESR65" s="609"/>
      <c r="ESS65" s="609"/>
      <c r="EST65" s="609"/>
      <c r="ESU65" s="609"/>
      <c r="ESV65" s="609"/>
      <c r="ESW65" s="609"/>
      <c r="ESX65" s="609"/>
      <c r="ESY65" s="609"/>
      <c r="ESZ65" s="609"/>
      <c r="ETA65" s="609"/>
      <c r="ETB65" s="609"/>
      <c r="ETC65" s="609"/>
      <c r="ETD65" s="609"/>
      <c r="ETE65" s="609"/>
      <c r="ETF65" s="609"/>
      <c r="ETG65" s="609"/>
      <c r="ETH65" s="609"/>
      <c r="ETI65" s="609"/>
      <c r="ETJ65" s="609"/>
      <c r="ETK65" s="609"/>
      <c r="ETL65" s="609"/>
      <c r="ETM65" s="609"/>
      <c r="ETN65" s="609"/>
      <c r="ETO65" s="609"/>
      <c r="ETP65" s="609"/>
      <c r="ETQ65" s="609"/>
      <c r="ETR65" s="609"/>
      <c r="ETS65" s="609"/>
      <c r="ETT65" s="609"/>
      <c r="ETU65" s="609"/>
      <c r="ETV65" s="609"/>
      <c r="ETW65" s="609"/>
      <c r="ETX65" s="609"/>
      <c r="ETY65" s="609"/>
      <c r="ETZ65" s="609"/>
      <c r="EUA65" s="609"/>
      <c r="EUB65" s="609"/>
      <c r="EUC65" s="609"/>
      <c r="EUD65" s="609"/>
      <c r="EUE65" s="609"/>
      <c r="EUF65" s="609"/>
      <c r="EUG65" s="609"/>
      <c r="EUH65" s="609"/>
      <c r="EUI65" s="609"/>
      <c r="EUJ65" s="609"/>
      <c r="EUK65" s="609"/>
      <c r="EUL65" s="609"/>
      <c r="EUM65" s="609"/>
      <c r="EUN65" s="609"/>
      <c r="EUO65" s="609"/>
      <c r="EUP65" s="609"/>
      <c r="EUQ65" s="609"/>
      <c r="EUR65" s="609"/>
      <c r="EUS65" s="609"/>
      <c r="EUT65" s="609"/>
      <c r="EUU65" s="609"/>
      <c r="EUV65" s="609"/>
      <c r="EUW65" s="609"/>
      <c r="EUX65" s="609"/>
      <c r="EUY65" s="609"/>
      <c r="EUZ65" s="609"/>
      <c r="EVA65" s="609"/>
      <c r="EVB65" s="609"/>
      <c r="EVC65" s="609"/>
      <c r="EVD65" s="609"/>
      <c r="EVE65" s="609"/>
      <c r="EVF65" s="609"/>
      <c r="EVG65" s="609"/>
      <c r="EVH65" s="609"/>
      <c r="EVI65" s="609"/>
      <c r="EVJ65" s="609"/>
      <c r="EVK65" s="609"/>
      <c r="EVL65" s="609"/>
      <c r="EVM65" s="609"/>
      <c r="EVN65" s="609"/>
      <c r="EVO65" s="609"/>
      <c r="EVP65" s="609"/>
      <c r="EVQ65" s="609"/>
      <c r="EVR65" s="609"/>
      <c r="EVS65" s="609"/>
      <c r="EVT65" s="609"/>
      <c r="EVU65" s="609"/>
      <c r="EVV65" s="609"/>
      <c r="EVW65" s="609"/>
      <c r="EVX65" s="609"/>
      <c r="EVY65" s="609"/>
      <c r="EVZ65" s="609"/>
      <c r="EWA65" s="609"/>
      <c r="EWB65" s="609"/>
      <c r="EWC65" s="609"/>
      <c r="EWD65" s="609"/>
      <c r="EWE65" s="609"/>
      <c r="EWF65" s="609"/>
      <c r="EWG65" s="609"/>
      <c r="EWH65" s="609"/>
      <c r="EWI65" s="609"/>
      <c r="EWJ65" s="609"/>
      <c r="EWK65" s="609"/>
      <c r="EWL65" s="609"/>
      <c r="EWM65" s="609"/>
      <c r="EWN65" s="609"/>
      <c r="EWO65" s="609"/>
      <c r="EWP65" s="609"/>
      <c r="EWQ65" s="609"/>
      <c r="EWR65" s="609"/>
      <c r="EWS65" s="609"/>
      <c r="EWT65" s="609"/>
      <c r="EWU65" s="609"/>
      <c r="EWV65" s="609"/>
      <c r="EWW65" s="609"/>
      <c r="EWX65" s="609"/>
      <c r="EWY65" s="609"/>
      <c r="EWZ65" s="609"/>
      <c r="EXA65" s="609"/>
      <c r="EXB65" s="609"/>
      <c r="EXC65" s="609"/>
      <c r="EXD65" s="609"/>
      <c r="EXE65" s="609"/>
      <c r="EXF65" s="609"/>
      <c r="EXG65" s="609"/>
      <c r="EXH65" s="609"/>
      <c r="EXI65" s="609"/>
      <c r="EXJ65" s="609"/>
      <c r="EXK65" s="609"/>
      <c r="EXL65" s="609"/>
      <c r="EXM65" s="609"/>
      <c r="EXN65" s="609"/>
      <c r="EXO65" s="609"/>
      <c r="EXP65" s="609"/>
      <c r="EXQ65" s="609"/>
      <c r="EXR65" s="609"/>
      <c r="EXS65" s="609"/>
      <c r="EXT65" s="609"/>
      <c r="EXU65" s="609"/>
      <c r="EXV65" s="609"/>
      <c r="EXW65" s="609"/>
      <c r="EXX65" s="609"/>
      <c r="EXY65" s="609"/>
      <c r="EXZ65" s="609"/>
      <c r="EYA65" s="609"/>
      <c r="EYB65" s="609"/>
      <c r="EYC65" s="609"/>
      <c r="EYD65" s="609"/>
      <c r="EYE65" s="609"/>
      <c r="EYF65" s="609"/>
      <c r="EYG65" s="609"/>
      <c r="EYH65" s="609"/>
      <c r="EYI65" s="609"/>
      <c r="EYJ65" s="609"/>
      <c r="EYK65" s="609"/>
      <c r="EYL65" s="609"/>
      <c r="EYM65" s="609"/>
      <c r="EYN65" s="609"/>
      <c r="EYO65" s="609"/>
      <c r="EYP65" s="609"/>
      <c r="EYQ65" s="609"/>
      <c r="EYR65" s="609"/>
      <c r="EYS65" s="609"/>
      <c r="EYT65" s="609"/>
      <c r="EYU65" s="609"/>
      <c r="EYV65" s="609"/>
      <c r="EYW65" s="609"/>
      <c r="EYX65" s="609"/>
      <c r="EYY65" s="609"/>
      <c r="EYZ65" s="609"/>
      <c r="EZA65" s="609"/>
      <c r="EZB65" s="609"/>
      <c r="EZC65" s="609"/>
      <c r="EZD65" s="609"/>
      <c r="EZE65" s="609"/>
      <c r="EZF65" s="609"/>
      <c r="EZG65" s="609"/>
      <c r="EZH65" s="609"/>
      <c r="EZI65" s="609"/>
      <c r="EZJ65" s="609"/>
      <c r="EZK65" s="609"/>
      <c r="EZL65" s="609"/>
      <c r="EZM65" s="609"/>
      <c r="EZN65" s="609"/>
      <c r="EZO65" s="609"/>
      <c r="EZP65" s="609"/>
      <c r="EZQ65" s="609"/>
      <c r="EZR65" s="609"/>
      <c r="EZS65" s="609"/>
      <c r="EZT65" s="609"/>
      <c r="EZU65" s="609"/>
      <c r="EZV65" s="609"/>
      <c r="EZW65" s="609"/>
      <c r="EZX65" s="609"/>
      <c r="EZY65" s="609"/>
      <c r="EZZ65" s="609"/>
      <c r="FAA65" s="609"/>
      <c r="FAB65" s="609"/>
      <c r="FAC65" s="609"/>
      <c r="FAD65" s="609"/>
      <c r="FAE65" s="609"/>
      <c r="FAF65" s="609"/>
      <c r="FAG65" s="609"/>
      <c r="FAH65" s="609"/>
      <c r="FAI65" s="609"/>
      <c r="FAJ65" s="609"/>
      <c r="FAK65" s="609"/>
      <c r="FAL65" s="609"/>
      <c r="FAM65" s="609"/>
      <c r="FAN65" s="609"/>
      <c r="FAO65" s="609"/>
      <c r="FAP65" s="609"/>
      <c r="FAQ65" s="609"/>
      <c r="FAR65" s="609"/>
      <c r="FAS65" s="609"/>
      <c r="FAT65" s="609"/>
      <c r="FAU65" s="609"/>
      <c r="FAV65" s="609"/>
      <c r="FAW65" s="609"/>
      <c r="FAX65" s="609"/>
      <c r="FAY65" s="609"/>
      <c r="FAZ65" s="609"/>
      <c r="FBA65" s="609"/>
      <c r="FBB65" s="609"/>
      <c r="FBC65" s="609"/>
      <c r="FBD65" s="609"/>
      <c r="FBE65" s="609"/>
      <c r="FBF65" s="609"/>
      <c r="FBG65" s="609"/>
      <c r="FBH65" s="609"/>
      <c r="FBI65" s="609"/>
      <c r="FBJ65" s="609"/>
      <c r="FBK65" s="609"/>
      <c r="FBL65" s="609"/>
      <c r="FBM65" s="609"/>
      <c r="FBN65" s="609"/>
      <c r="FBO65" s="609"/>
      <c r="FBP65" s="609"/>
      <c r="FBQ65" s="609"/>
      <c r="FBR65" s="609"/>
      <c r="FBS65" s="609"/>
      <c r="FBT65" s="609"/>
      <c r="FBU65" s="609"/>
      <c r="FBV65" s="609"/>
      <c r="FBW65" s="609"/>
      <c r="FBX65" s="609"/>
      <c r="FBY65" s="609"/>
      <c r="FBZ65" s="609"/>
      <c r="FCA65" s="609"/>
      <c r="FCB65" s="609"/>
      <c r="FCC65" s="609"/>
      <c r="FCD65" s="609"/>
      <c r="FCE65" s="609"/>
      <c r="FCF65" s="609"/>
      <c r="FCG65" s="609"/>
      <c r="FCH65" s="609"/>
      <c r="FCI65" s="609"/>
      <c r="FCJ65" s="609"/>
      <c r="FCK65" s="609"/>
      <c r="FCL65" s="609"/>
      <c r="FCM65" s="609"/>
      <c r="FCN65" s="609"/>
      <c r="FCO65" s="609"/>
      <c r="FCP65" s="609"/>
      <c r="FCQ65" s="609"/>
      <c r="FCR65" s="609"/>
      <c r="FCS65" s="609"/>
      <c r="FCT65" s="609"/>
      <c r="FCU65" s="609"/>
      <c r="FCV65" s="609"/>
      <c r="FCW65" s="609"/>
      <c r="FCX65" s="609"/>
      <c r="FCY65" s="609"/>
      <c r="FCZ65" s="609"/>
      <c r="FDA65" s="609"/>
      <c r="FDB65" s="609"/>
      <c r="FDC65" s="609"/>
      <c r="FDD65" s="609"/>
      <c r="FDE65" s="609"/>
      <c r="FDF65" s="609"/>
      <c r="FDG65" s="609"/>
      <c r="FDH65" s="609"/>
      <c r="FDI65" s="609"/>
      <c r="FDJ65" s="609"/>
      <c r="FDK65" s="609"/>
      <c r="FDL65" s="609"/>
      <c r="FDM65" s="609"/>
      <c r="FDN65" s="609"/>
      <c r="FDO65" s="609"/>
      <c r="FDP65" s="609"/>
      <c r="FDQ65" s="609"/>
      <c r="FDR65" s="609"/>
      <c r="FDS65" s="609"/>
      <c r="FDT65" s="609"/>
      <c r="FDU65" s="609"/>
      <c r="FDV65" s="609"/>
      <c r="FDW65" s="609"/>
      <c r="FDX65" s="609"/>
      <c r="FDY65" s="609"/>
      <c r="FDZ65" s="609"/>
      <c r="FEA65" s="609"/>
      <c r="FEB65" s="609"/>
      <c r="FEC65" s="609"/>
      <c r="FED65" s="609"/>
      <c r="FEE65" s="609"/>
      <c r="FEF65" s="609"/>
      <c r="FEG65" s="609"/>
      <c r="FEH65" s="609"/>
      <c r="FEI65" s="609"/>
      <c r="FEJ65" s="609"/>
      <c r="FEK65" s="609"/>
      <c r="FEL65" s="609"/>
      <c r="FEM65" s="609"/>
      <c r="FEN65" s="609"/>
      <c r="FEO65" s="609"/>
      <c r="FEP65" s="609"/>
      <c r="FEQ65" s="609"/>
      <c r="FER65" s="609"/>
      <c r="FES65" s="609"/>
      <c r="FET65" s="609"/>
      <c r="FEU65" s="609"/>
      <c r="FEV65" s="609"/>
      <c r="FEW65" s="609"/>
      <c r="FEX65" s="609"/>
      <c r="FEY65" s="609"/>
      <c r="FEZ65" s="609"/>
      <c r="FFA65" s="609"/>
      <c r="FFB65" s="609"/>
      <c r="FFC65" s="609"/>
      <c r="FFD65" s="609"/>
      <c r="FFE65" s="609"/>
      <c r="FFF65" s="609"/>
      <c r="FFG65" s="609"/>
      <c r="FFH65" s="609"/>
      <c r="FFI65" s="609"/>
      <c r="FFJ65" s="609"/>
      <c r="FFK65" s="609"/>
      <c r="FFL65" s="609"/>
      <c r="FFM65" s="609"/>
      <c r="FFN65" s="609"/>
      <c r="FFO65" s="609"/>
      <c r="FFP65" s="609"/>
      <c r="FFQ65" s="609"/>
      <c r="FFR65" s="609"/>
      <c r="FFS65" s="609"/>
      <c r="FFT65" s="609"/>
      <c r="FFU65" s="609"/>
      <c r="FFV65" s="609"/>
      <c r="FFW65" s="609"/>
      <c r="FFX65" s="609"/>
      <c r="FFY65" s="609"/>
      <c r="FFZ65" s="609"/>
      <c r="FGA65" s="609"/>
      <c r="FGB65" s="609"/>
      <c r="FGC65" s="609"/>
      <c r="FGD65" s="609"/>
      <c r="FGE65" s="609"/>
      <c r="FGF65" s="609"/>
      <c r="FGG65" s="609"/>
      <c r="FGH65" s="609"/>
      <c r="FGI65" s="609"/>
      <c r="FGJ65" s="609"/>
      <c r="FGK65" s="609"/>
      <c r="FGL65" s="609"/>
      <c r="FGM65" s="609"/>
      <c r="FGN65" s="609"/>
      <c r="FGO65" s="609"/>
      <c r="FGP65" s="609"/>
      <c r="FGQ65" s="609"/>
      <c r="FGR65" s="609"/>
      <c r="FGS65" s="609"/>
      <c r="FGT65" s="609"/>
      <c r="FGU65" s="609"/>
      <c r="FGV65" s="609"/>
      <c r="FGW65" s="609"/>
      <c r="FGX65" s="609"/>
      <c r="FGY65" s="609"/>
      <c r="FGZ65" s="609"/>
      <c r="FHA65" s="609"/>
      <c r="FHB65" s="609"/>
      <c r="FHC65" s="609"/>
      <c r="FHD65" s="609"/>
      <c r="FHE65" s="609"/>
      <c r="FHF65" s="609"/>
      <c r="FHG65" s="609"/>
      <c r="FHH65" s="609"/>
      <c r="FHI65" s="609"/>
      <c r="FHJ65" s="609"/>
      <c r="FHK65" s="609"/>
      <c r="FHL65" s="609"/>
      <c r="FHM65" s="609"/>
      <c r="FHN65" s="609"/>
      <c r="FHO65" s="609"/>
      <c r="FHP65" s="609"/>
      <c r="FHQ65" s="609"/>
      <c r="FHR65" s="609"/>
      <c r="FHS65" s="609"/>
      <c r="FHT65" s="609"/>
      <c r="FHU65" s="609"/>
      <c r="FHV65" s="609"/>
      <c r="FHW65" s="609"/>
      <c r="FHX65" s="609"/>
      <c r="FHY65" s="609"/>
      <c r="FHZ65" s="609"/>
      <c r="FIA65" s="609"/>
      <c r="FIB65" s="609"/>
      <c r="FIC65" s="609"/>
      <c r="FID65" s="609"/>
      <c r="FIE65" s="609"/>
      <c r="FIF65" s="609"/>
      <c r="FIG65" s="609"/>
      <c r="FIH65" s="609"/>
      <c r="FII65" s="609"/>
      <c r="FIJ65" s="609"/>
      <c r="FIK65" s="609"/>
      <c r="FIL65" s="609"/>
      <c r="FIM65" s="609"/>
      <c r="FIN65" s="609"/>
      <c r="FIO65" s="609"/>
      <c r="FIP65" s="609"/>
      <c r="FIQ65" s="609"/>
      <c r="FIR65" s="609"/>
      <c r="FIS65" s="609"/>
      <c r="FIT65" s="609"/>
      <c r="FIU65" s="609"/>
      <c r="FIV65" s="609"/>
      <c r="FIW65" s="609"/>
      <c r="FIX65" s="609"/>
      <c r="FIY65" s="609"/>
      <c r="FIZ65" s="609"/>
      <c r="FJA65" s="609"/>
      <c r="FJB65" s="609"/>
      <c r="FJC65" s="609"/>
      <c r="FJD65" s="609"/>
      <c r="FJE65" s="609"/>
      <c r="FJF65" s="609"/>
      <c r="FJG65" s="609"/>
      <c r="FJH65" s="609"/>
      <c r="FJI65" s="609"/>
      <c r="FJJ65" s="609"/>
      <c r="FJK65" s="609"/>
      <c r="FJL65" s="609"/>
      <c r="FJM65" s="609"/>
      <c r="FJN65" s="609"/>
      <c r="FJO65" s="609"/>
      <c r="FJP65" s="609"/>
      <c r="FJQ65" s="609"/>
      <c r="FJR65" s="609"/>
      <c r="FJS65" s="609"/>
      <c r="FJT65" s="609"/>
      <c r="FJU65" s="609"/>
      <c r="FJV65" s="609"/>
      <c r="FJW65" s="609"/>
      <c r="FJX65" s="609"/>
      <c r="FJY65" s="609"/>
      <c r="FJZ65" s="609"/>
      <c r="FKA65" s="609"/>
      <c r="FKB65" s="609"/>
      <c r="FKC65" s="609"/>
      <c r="FKD65" s="609"/>
      <c r="FKE65" s="609"/>
      <c r="FKF65" s="609"/>
      <c r="FKG65" s="609"/>
      <c r="FKH65" s="609"/>
      <c r="FKI65" s="609"/>
      <c r="FKJ65" s="609"/>
      <c r="FKK65" s="609"/>
      <c r="FKL65" s="609"/>
      <c r="FKM65" s="609"/>
      <c r="FKN65" s="609"/>
      <c r="FKO65" s="609"/>
      <c r="FKP65" s="609"/>
      <c r="FKQ65" s="609"/>
      <c r="FKR65" s="609"/>
      <c r="FKS65" s="609"/>
      <c r="FKT65" s="609"/>
      <c r="FKU65" s="609"/>
      <c r="FKV65" s="609"/>
      <c r="FKW65" s="609"/>
      <c r="FKX65" s="609"/>
      <c r="FKY65" s="609"/>
      <c r="FKZ65" s="609"/>
      <c r="FLA65" s="609"/>
      <c r="FLB65" s="609"/>
      <c r="FLC65" s="609"/>
      <c r="FLD65" s="609"/>
      <c r="FLE65" s="609"/>
      <c r="FLF65" s="609"/>
      <c r="FLG65" s="609"/>
      <c r="FLH65" s="609"/>
      <c r="FLI65" s="609"/>
      <c r="FLJ65" s="609"/>
      <c r="FLK65" s="609"/>
      <c r="FLL65" s="609"/>
      <c r="FLM65" s="609"/>
      <c r="FLN65" s="609"/>
      <c r="FLO65" s="609"/>
      <c r="FLP65" s="609"/>
      <c r="FLQ65" s="609"/>
      <c r="FLR65" s="609"/>
      <c r="FLS65" s="609"/>
      <c r="FLT65" s="609"/>
      <c r="FLU65" s="609"/>
      <c r="FLV65" s="609"/>
      <c r="FLW65" s="609"/>
      <c r="FLX65" s="609"/>
      <c r="FLY65" s="609"/>
      <c r="FLZ65" s="609"/>
      <c r="FMA65" s="609"/>
      <c r="FMB65" s="609"/>
      <c r="FMC65" s="609"/>
      <c r="FMD65" s="609"/>
      <c r="FME65" s="609"/>
      <c r="FMF65" s="609"/>
      <c r="FMG65" s="609"/>
      <c r="FMH65" s="609"/>
      <c r="FMI65" s="609"/>
      <c r="FMJ65" s="609"/>
      <c r="FMK65" s="609"/>
      <c r="FML65" s="609"/>
      <c r="FMM65" s="609"/>
      <c r="FMN65" s="609"/>
      <c r="FMO65" s="609"/>
      <c r="FMP65" s="609"/>
      <c r="FMQ65" s="609"/>
      <c r="FMR65" s="609"/>
      <c r="FMS65" s="609"/>
      <c r="FMT65" s="609"/>
      <c r="FMU65" s="609"/>
      <c r="FMV65" s="609"/>
      <c r="FMW65" s="609"/>
      <c r="FMX65" s="609"/>
      <c r="FMY65" s="609"/>
      <c r="FMZ65" s="609"/>
      <c r="FNA65" s="609"/>
      <c r="FNB65" s="609"/>
      <c r="FNC65" s="609"/>
      <c r="FND65" s="609"/>
      <c r="FNE65" s="609"/>
      <c r="FNF65" s="609"/>
      <c r="FNG65" s="609"/>
      <c r="FNH65" s="609"/>
      <c r="FNI65" s="609"/>
      <c r="FNJ65" s="609"/>
      <c r="FNK65" s="609"/>
      <c r="FNL65" s="609"/>
      <c r="FNM65" s="609"/>
      <c r="FNN65" s="609"/>
      <c r="FNO65" s="609"/>
      <c r="FNP65" s="609"/>
      <c r="FNQ65" s="609"/>
      <c r="FNR65" s="609"/>
      <c r="FNS65" s="609"/>
      <c r="FNT65" s="609"/>
      <c r="FNU65" s="609"/>
      <c r="FNV65" s="609"/>
      <c r="FNW65" s="609"/>
      <c r="FNX65" s="609"/>
      <c r="FNY65" s="609"/>
      <c r="FNZ65" s="609"/>
      <c r="FOA65" s="609"/>
      <c r="FOB65" s="609"/>
      <c r="FOC65" s="609"/>
      <c r="FOD65" s="609"/>
      <c r="FOE65" s="609"/>
      <c r="FOF65" s="609"/>
      <c r="FOG65" s="609"/>
      <c r="FOH65" s="609"/>
      <c r="FOI65" s="609"/>
      <c r="FOJ65" s="609"/>
      <c r="FOK65" s="609"/>
      <c r="FOL65" s="609"/>
      <c r="FOM65" s="609"/>
      <c r="FON65" s="609"/>
      <c r="FOO65" s="609"/>
      <c r="FOP65" s="609"/>
      <c r="FOQ65" s="609"/>
      <c r="FOR65" s="609"/>
      <c r="FOS65" s="609"/>
      <c r="FOT65" s="609"/>
      <c r="FOU65" s="609"/>
      <c r="FOV65" s="609"/>
      <c r="FOW65" s="609"/>
      <c r="FOX65" s="609"/>
      <c r="FOY65" s="609"/>
      <c r="FOZ65" s="609"/>
      <c r="FPA65" s="609"/>
      <c r="FPB65" s="609"/>
      <c r="FPC65" s="609"/>
      <c r="FPD65" s="609"/>
      <c r="FPE65" s="609"/>
      <c r="FPF65" s="609"/>
      <c r="FPG65" s="609"/>
      <c r="FPH65" s="609"/>
      <c r="FPI65" s="609"/>
      <c r="FPJ65" s="609"/>
      <c r="FPK65" s="609"/>
      <c r="FPL65" s="609"/>
      <c r="FPM65" s="609"/>
      <c r="FPN65" s="609"/>
      <c r="FPO65" s="609"/>
      <c r="FPP65" s="609"/>
      <c r="FPQ65" s="609"/>
      <c r="FPR65" s="609"/>
      <c r="FPS65" s="609"/>
      <c r="FPT65" s="609"/>
      <c r="FPU65" s="609"/>
      <c r="FPV65" s="609"/>
      <c r="FPW65" s="609"/>
      <c r="FPX65" s="609"/>
      <c r="FPY65" s="609"/>
      <c r="FPZ65" s="609"/>
      <c r="FQA65" s="609"/>
      <c r="FQB65" s="609"/>
      <c r="FQC65" s="609"/>
      <c r="FQD65" s="609"/>
      <c r="FQE65" s="609"/>
      <c r="FQF65" s="609"/>
      <c r="FQG65" s="609"/>
      <c r="FQH65" s="609"/>
      <c r="FQI65" s="609"/>
      <c r="FQJ65" s="609"/>
      <c r="FQK65" s="609"/>
      <c r="FQL65" s="609"/>
      <c r="FQM65" s="609"/>
      <c r="FQN65" s="609"/>
      <c r="FQO65" s="609"/>
      <c r="FQP65" s="609"/>
      <c r="FQQ65" s="609"/>
      <c r="FQR65" s="609"/>
      <c r="FQS65" s="609"/>
      <c r="FQT65" s="609"/>
      <c r="FQU65" s="609"/>
      <c r="FQV65" s="609"/>
      <c r="FQW65" s="609"/>
      <c r="FQX65" s="609"/>
      <c r="FQY65" s="609"/>
      <c r="FQZ65" s="609"/>
      <c r="FRA65" s="609"/>
      <c r="FRB65" s="609"/>
      <c r="FRC65" s="609"/>
      <c r="FRD65" s="609"/>
      <c r="FRE65" s="609"/>
      <c r="FRF65" s="609"/>
      <c r="FRG65" s="609"/>
      <c r="FRH65" s="609"/>
      <c r="FRI65" s="609"/>
      <c r="FRJ65" s="609"/>
      <c r="FRK65" s="609"/>
      <c r="FRL65" s="609"/>
      <c r="FRM65" s="609"/>
      <c r="FRN65" s="609"/>
      <c r="FRO65" s="609"/>
      <c r="FRP65" s="609"/>
      <c r="FRQ65" s="609"/>
      <c r="FRR65" s="609"/>
      <c r="FRS65" s="609"/>
      <c r="FRT65" s="609"/>
      <c r="FRU65" s="609"/>
      <c r="FRV65" s="609"/>
      <c r="FRW65" s="609"/>
      <c r="FRX65" s="609"/>
      <c r="FRY65" s="609"/>
      <c r="FRZ65" s="609"/>
      <c r="FSA65" s="609"/>
      <c r="FSB65" s="609"/>
      <c r="FSC65" s="609"/>
      <c r="FSD65" s="609"/>
      <c r="FSE65" s="609"/>
      <c r="FSF65" s="609"/>
      <c r="FSG65" s="609"/>
      <c r="FSH65" s="609"/>
      <c r="FSI65" s="609"/>
      <c r="FSJ65" s="609"/>
      <c r="FSK65" s="609"/>
      <c r="FSL65" s="609"/>
      <c r="FSM65" s="609"/>
      <c r="FSN65" s="609"/>
      <c r="FSO65" s="609"/>
      <c r="FSP65" s="609"/>
      <c r="FSQ65" s="609"/>
      <c r="FSR65" s="609"/>
      <c r="FSS65" s="609"/>
      <c r="FST65" s="609"/>
      <c r="FSU65" s="609"/>
      <c r="FSV65" s="609"/>
      <c r="FSW65" s="609"/>
      <c r="FSX65" s="609"/>
      <c r="FSY65" s="609"/>
      <c r="FSZ65" s="609"/>
      <c r="FTA65" s="609"/>
      <c r="FTB65" s="609"/>
      <c r="FTC65" s="609"/>
      <c r="FTD65" s="609"/>
      <c r="FTE65" s="609"/>
      <c r="FTF65" s="609"/>
      <c r="FTG65" s="609"/>
      <c r="FTH65" s="609"/>
      <c r="FTI65" s="609"/>
      <c r="FTJ65" s="609"/>
      <c r="FTK65" s="609"/>
      <c r="FTL65" s="609"/>
      <c r="FTM65" s="609"/>
      <c r="FTN65" s="609"/>
      <c r="FTO65" s="609"/>
      <c r="FTP65" s="609"/>
      <c r="FTQ65" s="609"/>
      <c r="FTR65" s="609"/>
      <c r="FTS65" s="609"/>
      <c r="FTT65" s="609"/>
      <c r="FTU65" s="609"/>
      <c r="FTV65" s="609"/>
      <c r="FTW65" s="609"/>
      <c r="FTX65" s="609"/>
      <c r="FTY65" s="609"/>
      <c r="FTZ65" s="609"/>
      <c r="FUA65" s="609"/>
      <c r="FUB65" s="609"/>
      <c r="FUC65" s="609"/>
      <c r="FUD65" s="609"/>
      <c r="FUE65" s="609"/>
      <c r="FUF65" s="609"/>
      <c r="FUG65" s="609"/>
      <c r="FUH65" s="609"/>
      <c r="FUI65" s="609"/>
      <c r="FUJ65" s="609"/>
      <c r="FUK65" s="609"/>
      <c r="FUL65" s="609"/>
      <c r="FUM65" s="609"/>
      <c r="FUN65" s="609"/>
      <c r="FUO65" s="609"/>
      <c r="FUP65" s="609"/>
      <c r="FUQ65" s="609"/>
      <c r="FUR65" s="609"/>
      <c r="FUS65" s="609"/>
      <c r="FUT65" s="609"/>
      <c r="FUU65" s="609"/>
      <c r="FUV65" s="609"/>
      <c r="FUW65" s="609"/>
      <c r="FUX65" s="609"/>
      <c r="FUY65" s="609"/>
      <c r="FUZ65" s="609"/>
      <c r="FVA65" s="609"/>
      <c r="FVB65" s="609"/>
      <c r="FVC65" s="609"/>
      <c r="FVD65" s="609"/>
      <c r="FVE65" s="609"/>
      <c r="FVF65" s="609"/>
      <c r="FVG65" s="609"/>
      <c r="FVH65" s="609"/>
      <c r="FVI65" s="609"/>
      <c r="FVJ65" s="609"/>
      <c r="FVK65" s="609"/>
      <c r="FVL65" s="609"/>
      <c r="FVM65" s="609"/>
      <c r="FVN65" s="609"/>
      <c r="FVO65" s="609"/>
      <c r="FVP65" s="609"/>
      <c r="FVQ65" s="609"/>
      <c r="FVR65" s="609"/>
      <c r="FVS65" s="609"/>
      <c r="FVT65" s="609"/>
      <c r="FVU65" s="609"/>
      <c r="FVV65" s="609"/>
      <c r="FVW65" s="609"/>
      <c r="FVX65" s="609"/>
      <c r="FVY65" s="609"/>
      <c r="FVZ65" s="609"/>
      <c r="FWA65" s="609"/>
      <c r="FWB65" s="609"/>
      <c r="FWC65" s="609"/>
      <c r="FWD65" s="609"/>
      <c r="FWE65" s="609"/>
      <c r="FWF65" s="609"/>
      <c r="FWG65" s="609"/>
      <c r="FWH65" s="609"/>
      <c r="FWI65" s="609"/>
      <c r="FWJ65" s="609"/>
      <c r="FWK65" s="609"/>
      <c r="FWL65" s="609"/>
      <c r="FWM65" s="609"/>
      <c r="FWN65" s="609"/>
      <c r="FWO65" s="609"/>
      <c r="FWP65" s="609"/>
      <c r="FWQ65" s="609"/>
      <c r="FWR65" s="609"/>
      <c r="FWS65" s="609"/>
      <c r="FWT65" s="609"/>
      <c r="FWU65" s="609"/>
      <c r="FWV65" s="609"/>
      <c r="FWW65" s="609"/>
      <c r="FWX65" s="609"/>
      <c r="FWY65" s="609"/>
      <c r="FWZ65" s="609"/>
      <c r="FXA65" s="609"/>
      <c r="FXB65" s="609"/>
      <c r="FXC65" s="609"/>
      <c r="FXD65" s="609"/>
      <c r="FXE65" s="609"/>
      <c r="FXF65" s="609"/>
      <c r="FXG65" s="609"/>
      <c r="FXH65" s="609"/>
      <c r="FXI65" s="609"/>
      <c r="FXJ65" s="609"/>
      <c r="FXK65" s="609"/>
      <c r="FXL65" s="609"/>
      <c r="FXM65" s="609"/>
      <c r="FXN65" s="609"/>
      <c r="FXO65" s="609"/>
      <c r="FXP65" s="609"/>
      <c r="FXQ65" s="609"/>
      <c r="FXR65" s="609"/>
      <c r="FXS65" s="609"/>
      <c r="FXT65" s="609"/>
      <c r="FXU65" s="609"/>
      <c r="FXV65" s="609"/>
      <c r="FXW65" s="609"/>
      <c r="FXX65" s="609"/>
      <c r="FXY65" s="609"/>
      <c r="FXZ65" s="609"/>
      <c r="FYA65" s="609"/>
      <c r="FYB65" s="609"/>
      <c r="FYC65" s="609"/>
      <c r="FYD65" s="609"/>
      <c r="FYE65" s="609"/>
      <c r="FYF65" s="609"/>
      <c r="FYG65" s="609"/>
      <c r="FYH65" s="609"/>
      <c r="FYI65" s="609"/>
      <c r="FYJ65" s="609"/>
      <c r="FYK65" s="609"/>
      <c r="FYL65" s="609"/>
      <c r="FYM65" s="609"/>
      <c r="FYN65" s="609"/>
      <c r="FYO65" s="609"/>
      <c r="FYP65" s="609"/>
      <c r="FYQ65" s="609"/>
      <c r="FYR65" s="609"/>
      <c r="FYS65" s="609"/>
      <c r="FYT65" s="609"/>
      <c r="FYU65" s="609"/>
      <c r="FYV65" s="609"/>
      <c r="FYW65" s="609"/>
      <c r="FYX65" s="609"/>
      <c r="FYY65" s="609"/>
      <c r="FYZ65" s="609"/>
      <c r="FZA65" s="609"/>
      <c r="FZB65" s="609"/>
      <c r="FZC65" s="609"/>
      <c r="FZD65" s="609"/>
      <c r="FZE65" s="609"/>
      <c r="FZF65" s="609"/>
      <c r="FZG65" s="609"/>
      <c r="FZH65" s="609"/>
      <c r="FZI65" s="609"/>
      <c r="FZJ65" s="609"/>
      <c r="FZK65" s="609"/>
      <c r="FZL65" s="609"/>
      <c r="FZM65" s="609"/>
      <c r="FZN65" s="609"/>
      <c r="FZO65" s="609"/>
      <c r="FZP65" s="609"/>
      <c r="FZQ65" s="609"/>
      <c r="FZR65" s="609"/>
      <c r="FZS65" s="609"/>
      <c r="FZT65" s="609"/>
      <c r="FZU65" s="609"/>
      <c r="FZV65" s="609"/>
      <c r="FZW65" s="609"/>
      <c r="FZX65" s="609"/>
      <c r="FZY65" s="609"/>
      <c r="FZZ65" s="609"/>
      <c r="GAA65" s="609"/>
      <c r="GAB65" s="609"/>
      <c r="GAC65" s="609"/>
      <c r="GAD65" s="609"/>
      <c r="GAE65" s="609"/>
      <c r="GAF65" s="609"/>
      <c r="GAG65" s="609"/>
      <c r="GAH65" s="609"/>
      <c r="GAI65" s="609"/>
      <c r="GAJ65" s="609"/>
      <c r="GAK65" s="609"/>
      <c r="GAL65" s="609"/>
      <c r="GAM65" s="609"/>
      <c r="GAN65" s="609"/>
      <c r="GAO65" s="609"/>
      <c r="GAP65" s="609"/>
      <c r="GAQ65" s="609"/>
      <c r="GAR65" s="609"/>
      <c r="GAS65" s="609"/>
      <c r="GAT65" s="609"/>
      <c r="GAU65" s="609"/>
      <c r="GAV65" s="609"/>
      <c r="GAW65" s="609"/>
      <c r="GAX65" s="609"/>
      <c r="GAY65" s="609"/>
      <c r="GAZ65" s="609"/>
      <c r="GBA65" s="609"/>
      <c r="GBB65" s="609"/>
      <c r="GBC65" s="609"/>
      <c r="GBD65" s="609"/>
      <c r="GBE65" s="609"/>
      <c r="GBF65" s="609"/>
      <c r="GBG65" s="609"/>
      <c r="GBH65" s="609"/>
      <c r="GBI65" s="609"/>
      <c r="GBJ65" s="609"/>
      <c r="GBK65" s="609"/>
      <c r="GBL65" s="609"/>
      <c r="GBM65" s="609"/>
      <c r="GBN65" s="609"/>
      <c r="GBO65" s="609"/>
      <c r="GBP65" s="609"/>
      <c r="GBQ65" s="609"/>
      <c r="GBR65" s="609"/>
      <c r="GBS65" s="609"/>
      <c r="GBT65" s="609"/>
      <c r="GBU65" s="609"/>
      <c r="GBV65" s="609"/>
      <c r="GBW65" s="609"/>
      <c r="GBX65" s="609"/>
      <c r="GBY65" s="609"/>
      <c r="GBZ65" s="609"/>
      <c r="GCA65" s="609"/>
      <c r="GCB65" s="609"/>
      <c r="GCC65" s="609"/>
      <c r="GCD65" s="609"/>
      <c r="GCE65" s="609"/>
      <c r="GCF65" s="609"/>
      <c r="GCG65" s="609"/>
      <c r="GCH65" s="609"/>
      <c r="GCI65" s="609"/>
      <c r="GCJ65" s="609"/>
      <c r="GCK65" s="609"/>
      <c r="GCL65" s="609"/>
      <c r="GCM65" s="609"/>
      <c r="GCN65" s="609"/>
      <c r="GCO65" s="609"/>
      <c r="GCP65" s="609"/>
      <c r="GCQ65" s="609"/>
      <c r="GCR65" s="609"/>
      <c r="GCS65" s="609"/>
      <c r="GCT65" s="609"/>
      <c r="GCU65" s="609"/>
      <c r="GCV65" s="609"/>
      <c r="GCW65" s="609"/>
      <c r="GCX65" s="609"/>
      <c r="GCY65" s="609"/>
      <c r="GCZ65" s="609"/>
      <c r="GDA65" s="609"/>
      <c r="GDB65" s="609"/>
      <c r="GDC65" s="609"/>
      <c r="GDD65" s="609"/>
      <c r="GDE65" s="609"/>
      <c r="GDF65" s="609"/>
      <c r="GDG65" s="609"/>
      <c r="GDH65" s="609"/>
      <c r="GDI65" s="609"/>
      <c r="GDJ65" s="609"/>
      <c r="GDK65" s="609"/>
      <c r="GDL65" s="609"/>
      <c r="GDM65" s="609"/>
      <c r="GDN65" s="609"/>
      <c r="GDO65" s="609"/>
      <c r="GDP65" s="609"/>
      <c r="GDQ65" s="609"/>
      <c r="GDR65" s="609"/>
      <c r="GDS65" s="609"/>
      <c r="GDT65" s="609"/>
      <c r="GDU65" s="609"/>
      <c r="GDV65" s="609"/>
      <c r="GDW65" s="609"/>
      <c r="GDX65" s="609"/>
      <c r="GDY65" s="609"/>
      <c r="GDZ65" s="609"/>
      <c r="GEA65" s="609"/>
      <c r="GEB65" s="609"/>
      <c r="GEC65" s="609"/>
      <c r="GED65" s="609"/>
      <c r="GEE65" s="609"/>
      <c r="GEF65" s="609"/>
      <c r="GEG65" s="609"/>
      <c r="GEH65" s="609"/>
      <c r="GEI65" s="609"/>
      <c r="GEJ65" s="609"/>
      <c r="GEK65" s="609"/>
      <c r="GEL65" s="609"/>
      <c r="GEM65" s="609"/>
      <c r="GEN65" s="609"/>
      <c r="GEO65" s="609"/>
      <c r="GEP65" s="609"/>
      <c r="GEQ65" s="609"/>
      <c r="GER65" s="609"/>
      <c r="GES65" s="609"/>
      <c r="GET65" s="609"/>
      <c r="GEU65" s="609"/>
      <c r="GEV65" s="609"/>
      <c r="GEW65" s="609"/>
      <c r="GEX65" s="609"/>
      <c r="GEY65" s="609"/>
      <c r="GEZ65" s="609"/>
      <c r="GFA65" s="609"/>
      <c r="GFB65" s="609"/>
      <c r="GFC65" s="609"/>
      <c r="GFD65" s="609"/>
      <c r="GFE65" s="609"/>
      <c r="GFF65" s="609"/>
      <c r="GFG65" s="609"/>
      <c r="GFH65" s="609"/>
      <c r="GFI65" s="609"/>
      <c r="GFJ65" s="609"/>
      <c r="GFK65" s="609"/>
      <c r="GFL65" s="609"/>
      <c r="GFM65" s="609"/>
      <c r="GFN65" s="609"/>
      <c r="GFO65" s="609"/>
      <c r="GFP65" s="609"/>
      <c r="GFQ65" s="609"/>
      <c r="GFR65" s="609"/>
      <c r="GFS65" s="609"/>
      <c r="GFT65" s="609"/>
      <c r="GFU65" s="609"/>
      <c r="GFV65" s="609"/>
      <c r="GFW65" s="609"/>
      <c r="GFX65" s="609"/>
      <c r="GFY65" s="609"/>
      <c r="GFZ65" s="609"/>
      <c r="GGA65" s="609"/>
      <c r="GGB65" s="609"/>
      <c r="GGC65" s="609"/>
      <c r="GGD65" s="609"/>
      <c r="GGE65" s="609"/>
      <c r="GGF65" s="609"/>
      <c r="GGG65" s="609"/>
      <c r="GGH65" s="609"/>
      <c r="GGI65" s="609"/>
      <c r="GGJ65" s="609"/>
      <c r="GGK65" s="609"/>
      <c r="GGL65" s="609"/>
      <c r="GGM65" s="609"/>
      <c r="GGN65" s="609"/>
      <c r="GGO65" s="609"/>
      <c r="GGP65" s="609"/>
      <c r="GGQ65" s="609"/>
      <c r="GGR65" s="609"/>
      <c r="GGS65" s="609"/>
      <c r="GGT65" s="609"/>
      <c r="GGU65" s="609"/>
      <c r="GGV65" s="609"/>
      <c r="GGW65" s="609"/>
      <c r="GGX65" s="609"/>
      <c r="GGY65" s="609"/>
      <c r="GGZ65" s="609"/>
      <c r="GHA65" s="609"/>
      <c r="GHB65" s="609"/>
      <c r="GHC65" s="609"/>
      <c r="GHD65" s="609"/>
      <c r="GHE65" s="609"/>
      <c r="GHF65" s="609"/>
      <c r="GHG65" s="609"/>
      <c r="GHH65" s="609"/>
      <c r="GHI65" s="609"/>
      <c r="GHJ65" s="609"/>
      <c r="GHK65" s="609"/>
      <c r="GHL65" s="609"/>
      <c r="GHM65" s="609"/>
      <c r="GHN65" s="609"/>
      <c r="GHO65" s="609"/>
      <c r="GHP65" s="609"/>
      <c r="GHQ65" s="609"/>
      <c r="GHR65" s="609"/>
      <c r="GHS65" s="609"/>
      <c r="GHT65" s="609"/>
      <c r="GHU65" s="609"/>
      <c r="GHV65" s="609"/>
      <c r="GHW65" s="609"/>
      <c r="GHX65" s="609"/>
      <c r="GHY65" s="609"/>
      <c r="GHZ65" s="609"/>
      <c r="GIA65" s="609"/>
      <c r="GIB65" s="609"/>
      <c r="GIC65" s="609"/>
      <c r="GID65" s="609"/>
      <c r="GIE65" s="609"/>
      <c r="GIF65" s="609"/>
      <c r="GIG65" s="609"/>
      <c r="GIH65" s="609"/>
      <c r="GII65" s="609"/>
      <c r="GIJ65" s="609"/>
      <c r="GIK65" s="609"/>
      <c r="GIL65" s="609"/>
      <c r="GIM65" s="609"/>
      <c r="GIN65" s="609"/>
      <c r="GIO65" s="609"/>
      <c r="GIP65" s="609"/>
      <c r="GIQ65" s="609"/>
      <c r="GIR65" s="609"/>
      <c r="GIS65" s="609"/>
      <c r="GIT65" s="609"/>
      <c r="GIU65" s="609"/>
      <c r="GIV65" s="609"/>
      <c r="GIW65" s="609"/>
      <c r="GIX65" s="609"/>
      <c r="GIY65" s="609"/>
      <c r="GIZ65" s="609"/>
      <c r="GJA65" s="609"/>
      <c r="GJB65" s="609"/>
      <c r="GJC65" s="609"/>
      <c r="GJD65" s="609"/>
      <c r="GJE65" s="609"/>
      <c r="GJF65" s="609"/>
      <c r="GJG65" s="609"/>
      <c r="GJH65" s="609"/>
      <c r="GJI65" s="609"/>
      <c r="GJJ65" s="609"/>
      <c r="GJK65" s="609"/>
      <c r="GJL65" s="609"/>
      <c r="GJM65" s="609"/>
      <c r="GJN65" s="609"/>
      <c r="GJO65" s="609"/>
      <c r="GJP65" s="609"/>
      <c r="GJQ65" s="609"/>
      <c r="GJR65" s="609"/>
      <c r="GJS65" s="609"/>
      <c r="GJT65" s="609"/>
      <c r="GJU65" s="609"/>
      <c r="GJV65" s="609"/>
      <c r="GJW65" s="609"/>
      <c r="GJX65" s="609"/>
      <c r="GJY65" s="609"/>
      <c r="GJZ65" s="609"/>
      <c r="GKA65" s="609"/>
      <c r="GKB65" s="609"/>
      <c r="GKC65" s="609"/>
      <c r="GKD65" s="609"/>
      <c r="GKE65" s="609"/>
      <c r="GKF65" s="609"/>
      <c r="GKG65" s="609"/>
      <c r="GKH65" s="609"/>
      <c r="GKI65" s="609"/>
      <c r="GKJ65" s="609"/>
      <c r="GKK65" s="609"/>
      <c r="GKL65" s="609"/>
      <c r="GKM65" s="609"/>
      <c r="GKN65" s="609"/>
      <c r="GKO65" s="609"/>
      <c r="GKP65" s="609"/>
      <c r="GKQ65" s="609"/>
      <c r="GKR65" s="609"/>
      <c r="GKS65" s="609"/>
      <c r="GKT65" s="609"/>
      <c r="GKU65" s="609"/>
      <c r="GKV65" s="609"/>
      <c r="GKW65" s="609"/>
      <c r="GKX65" s="609"/>
      <c r="GKY65" s="609"/>
      <c r="GKZ65" s="609"/>
      <c r="GLA65" s="609"/>
      <c r="GLB65" s="609"/>
      <c r="GLC65" s="609"/>
      <c r="GLD65" s="609"/>
      <c r="GLE65" s="609"/>
      <c r="GLF65" s="609"/>
      <c r="GLG65" s="609"/>
      <c r="GLH65" s="609"/>
      <c r="GLI65" s="609"/>
      <c r="GLJ65" s="609"/>
      <c r="GLK65" s="609"/>
      <c r="GLL65" s="609"/>
      <c r="GLM65" s="609"/>
      <c r="GLN65" s="609"/>
      <c r="GLO65" s="609"/>
      <c r="GLP65" s="609"/>
      <c r="GLQ65" s="609"/>
      <c r="GLR65" s="609"/>
      <c r="GLS65" s="609"/>
      <c r="GLT65" s="609"/>
      <c r="GLU65" s="609"/>
      <c r="GLV65" s="609"/>
      <c r="GLW65" s="609"/>
      <c r="GLX65" s="609"/>
      <c r="GLY65" s="609"/>
      <c r="GLZ65" s="609"/>
      <c r="GMA65" s="609"/>
      <c r="GMB65" s="609"/>
      <c r="GMC65" s="609"/>
      <c r="GMD65" s="609"/>
      <c r="GME65" s="609"/>
      <c r="GMF65" s="609"/>
      <c r="GMG65" s="609"/>
      <c r="GMH65" s="609"/>
      <c r="GMI65" s="609"/>
      <c r="GMJ65" s="609"/>
      <c r="GMK65" s="609"/>
      <c r="GML65" s="609"/>
      <c r="GMM65" s="609"/>
      <c r="GMN65" s="609"/>
      <c r="GMO65" s="609"/>
      <c r="GMP65" s="609"/>
      <c r="GMQ65" s="609"/>
      <c r="GMR65" s="609"/>
      <c r="GMS65" s="609"/>
      <c r="GMT65" s="609"/>
      <c r="GMU65" s="609"/>
      <c r="GMV65" s="609"/>
      <c r="GMW65" s="609"/>
      <c r="GMX65" s="609"/>
      <c r="GMY65" s="609"/>
      <c r="GMZ65" s="609"/>
      <c r="GNA65" s="609"/>
      <c r="GNB65" s="609"/>
      <c r="GNC65" s="609"/>
      <c r="GND65" s="609"/>
      <c r="GNE65" s="609"/>
      <c r="GNF65" s="609"/>
      <c r="GNG65" s="609"/>
      <c r="GNH65" s="609"/>
      <c r="GNI65" s="609"/>
      <c r="GNJ65" s="609"/>
      <c r="GNK65" s="609"/>
      <c r="GNL65" s="609"/>
      <c r="GNM65" s="609"/>
      <c r="GNN65" s="609"/>
      <c r="GNO65" s="609"/>
      <c r="GNP65" s="609"/>
      <c r="GNQ65" s="609"/>
      <c r="GNR65" s="609"/>
      <c r="GNS65" s="609"/>
      <c r="GNT65" s="609"/>
      <c r="GNU65" s="609"/>
      <c r="GNV65" s="609"/>
      <c r="GNW65" s="609"/>
      <c r="GNX65" s="609"/>
      <c r="GNY65" s="609"/>
      <c r="GNZ65" s="609"/>
      <c r="GOA65" s="609"/>
      <c r="GOB65" s="609"/>
      <c r="GOC65" s="609"/>
      <c r="GOD65" s="609"/>
      <c r="GOE65" s="609"/>
      <c r="GOF65" s="609"/>
      <c r="GOG65" s="609"/>
      <c r="GOH65" s="609"/>
      <c r="GOI65" s="609"/>
      <c r="GOJ65" s="609"/>
      <c r="GOK65" s="609"/>
      <c r="GOL65" s="609"/>
      <c r="GOM65" s="609"/>
      <c r="GON65" s="609"/>
      <c r="GOO65" s="609"/>
      <c r="GOP65" s="609"/>
      <c r="GOQ65" s="609"/>
      <c r="GOR65" s="609"/>
      <c r="GOS65" s="609"/>
      <c r="GOT65" s="609"/>
      <c r="GOU65" s="609"/>
      <c r="GOV65" s="609"/>
      <c r="GOW65" s="609"/>
      <c r="GOX65" s="609"/>
      <c r="GOY65" s="609"/>
      <c r="GOZ65" s="609"/>
      <c r="GPA65" s="609"/>
      <c r="GPB65" s="609"/>
      <c r="GPC65" s="609"/>
      <c r="GPD65" s="609"/>
      <c r="GPE65" s="609"/>
      <c r="GPF65" s="609"/>
      <c r="GPG65" s="609"/>
      <c r="GPH65" s="609"/>
      <c r="GPI65" s="609"/>
      <c r="GPJ65" s="609"/>
      <c r="GPK65" s="609"/>
      <c r="GPL65" s="609"/>
      <c r="GPM65" s="609"/>
      <c r="GPN65" s="609"/>
      <c r="GPO65" s="609"/>
      <c r="GPP65" s="609"/>
      <c r="GPQ65" s="609"/>
      <c r="GPR65" s="609"/>
      <c r="GPS65" s="609"/>
      <c r="GPT65" s="609"/>
      <c r="GPU65" s="609"/>
      <c r="GPV65" s="609"/>
      <c r="GPW65" s="609"/>
      <c r="GPX65" s="609"/>
      <c r="GPY65" s="609"/>
      <c r="GPZ65" s="609"/>
      <c r="GQA65" s="609"/>
      <c r="GQB65" s="609"/>
      <c r="GQC65" s="609"/>
      <c r="GQD65" s="609"/>
      <c r="GQE65" s="609"/>
      <c r="GQF65" s="609"/>
      <c r="GQG65" s="609"/>
      <c r="GQH65" s="609"/>
      <c r="GQI65" s="609"/>
      <c r="GQJ65" s="609"/>
      <c r="GQK65" s="609"/>
      <c r="GQL65" s="609"/>
      <c r="GQM65" s="609"/>
      <c r="GQN65" s="609"/>
      <c r="GQO65" s="609"/>
      <c r="GQP65" s="609"/>
      <c r="GQQ65" s="609"/>
      <c r="GQR65" s="609"/>
      <c r="GQS65" s="609"/>
      <c r="GQT65" s="609"/>
      <c r="GQU65" s="609"/>
      <c r="GQV65" s="609"/>
      <c r="GQW65" s="609"/>
      <c r="GQX65" s="609"/>
      <c r="GQY65" s="609"/>
      <c r="GQZ65" s="609"/>
      <c r="GRA65" s="609"/>
      <c r="GRB65" s="609"/>
      <c r="GRC65" s="609"/>
      <c r="GRD65" s="609"/>
      <c r="GRE65" s="609"/>
      <c r="GRF65" s="609"/>
      <c r="GRG65" s="609"/>
      <c r="GRH65" s="609"/>
      <c r="GRI65" s="609"/>
      <c r="GRJ65" s="609"/>
      <c r="GRK65" s="609"/>
      <c r="GRL65" s="609"/>
      <c r="GRM65" s="609"/>
      <c r="GRN65" s="609"/>
      <c r="GRO65" s="609"/>
      <c r="GRP65" s="609"/>
      <c r="GRQ65" s="609"/>
      <c r="GRR65" s="609"/>
      <c r="GRS65" s="609"/>
      <c r="GRT65" s="609"/>
      <c r="GRU65" s="609"/>
      <c r="GRV65" s="609"/>
      <c r="GRW65" s="609"/>
      <c r="GRX65" s="609"/>
      <c r="GRY65" s="609"/>
      <c r="GRZ65" s="609"/>
      <c r="GSA65" s="609"/>
      <c r="GSB65" s="609"/>
      <c r="GSC65" s="609"/>
      <c r="GSD65" s="609"/>
      <c r="GSE65" s="609"/>
      <c r="GSF65" s="609"/>
      <c r="GSG65" s="609"/>
      <c r="GSH65" s="609"/>
      <c r="GSI65" s="609"/>
      <c r="GSJ65" s="609"/>
      <c r="GSK65" s="609"/>
      <c r="GSL65" s="609"/>
      <c r="GSM65" s="609"/>
      <c r="GSN65" s="609"/>
      <c r="GSO65" s="609"/>
      <c r="GSP65" s="609"/>
      <c r="GSQ65" s="609"/>
      <c r="GSR65" s="609"/>
      <c r="GSS65" s="609"/>
      <c r="GST65" s="609"/>
      <c r="GSU65" s="609"/>
      <c r="GSV65" s="609"/>
      <c r="GSW65" s="609"/>
      <c r="GSX65" s="609"/>
      <c r="GSY65" s="609"/>
      <c r="GSZ65" s="609"/>
      <c r="GTA65" s="609"/>
      <c r="GTB65" s="609"/>
      <c r="GTC65" s="609"/>
      <c r="GTD65" s="609"/>
      <c r="GTE65" s="609"/>
      <c r="GTF65" s="609"/>
      <c r="GTG65" s="609"/>
      <c r="GTH65" s="609"/>
      <c r="GTI65" s="609"/>
      <c r="GTJ65" s="609"/>
      <c r="GTK65" s="609"/>
      <c r="GTL65" s="609"/>
      <c r="GTM65" s="609"/>
      <c r="GTN65" s="609"/>
      <c r="GTO65" s="609"/>
      <c r="GTP65" s="609"/>
      <c r="GTQ65" s="609"/>
      <c r="GTR65" s="609"/>
      <c r="GTS65" s="609"/>
      <c r="GTT65" s="609"/>
      <c r="GTU65" s="609"/>
      <c r="GTV65" s="609"/>
      <c r="GTW65" s="609"/>
      <c r="GTX65" s="609"/>
      <c r="GTY65" s="609"/>
      <c r="GTZ65" s="609"/>
      <c r="GUA65" s="609"/>
      <c r="GUB65" s="609"/>
      <c r="GUC65" s="609"/>
      <c r="GUD65" s="609"/>
      <c r="GUE65" s="609"/>
      <c r="GUF65" s="609"/>
      <c r="GUG65" s="609"/>
      <c r="GUH65" s="609"/>
      <c r="GUI65" s="609"/>
      <c r="GUJ65" s="609"/>
      <c r="GUK65" s="609"/>
      <c r="GUL65" s="609"/>
      <c r="GUM65" s="609"/>
      <c r="GUN65" s="609"/>
      <c r="GUO65" s="609"/>
      <c r="GUP65" s="609"/>
      <c r="GUQ65" s="609"/>
      <c r="GUR65" s="609"/>
      <c r="GUS65" s="609"/>
      <c r="GUT65" s="609"/>
      <c r="GUU65" s="609"/>
      <c r="GUV65" s="609"/>
      <c r="GUW65" s="609"/>
      <c r="GUX65" s="609"/>
      <c r="GUY65" s="609"/>
      <c r="GUZ65" s="609"/>
      <c r="GVA65" s="609"/>
      <c r="GVB65" s="609"/>
      <c r="GVC65" s="609"/>
      <c r="GVD65" s="609"/>
      <c r="GVE65" s="609"/>
      <c r="GVF65" s="609"/>
      <c r="GVG65" s="609"/>
      <c r="GVH65" s="609"/>
      <c r="GVI65" s="609"/>
      <c r="GVJ65" s="609"/>
      <c r="GVK65" s="609"/>
      <c r="GVL65" s="609"/>
      <c r="GVM65" s="609"/>
      <c r="GVN65" s="609"/>
      <c r="GVO65" s="609"/>
      <c r="GVP65" s="609"/>
      <c r="GVQ65" s="609"/>
      <c r="GVR65" s="609"/>
      <c r="GVS65" s="609"/>
      <c r="GVT65" s="609"/>
      <c r="GVU65" s="609"/>
      <c r="GVV65" s="609"/>
      <c r="GVW65" s="609"/>
      <c r="GVX65" s="609"/>
      <c r="GVY65" s="609"/>
      <c r="GVZ65" s="609"/>
      <c r="GWA65" s="609"/>
      <c r="GWB65" s="609"/>
      <c r="GWC65" s="609"/>
      <c r="GWD65" s="609"/>
      <c r="GWE65" s="609"/>
      <c r="GWF65" s="609"/>
      <c r="GWG65" s="609"/>
      <c r="GWH65" s="609"/>
      <c r="GWI65" s="609"/>
      <c r="GWJ65" s="609"/>
      <c r="GWK65" s="609"/>
      <c r="GWL65" s="609"/>
      <c r="GWM65" s="609"/>
      <c r="GWN65" s="609"/>
      <c r="GWO65" s="609"/>
      <c r="GWP65" s="609"/>
      <c r="GWQ65" s="609"/>
      <c r="GWR65" s="609"/>
      <c r="GWS65" s="609"/>
      <c r="GWT65" s="609"/>
      <c r="GWU65" s="609"/>
      <c r="GWV65" s="609"/>
      <c r="GWW65" s="609"/>
      <c r="GWX65" s="609"/>
      <c r="GWY65" s="609"/>
      <c r="GWZ65" s="609"/>
      <c r="GXA65" s="609"/>
      <c r="GXB65" s="609"/>
      <c r="GXC65" s="609"/>
      <c r="GXD65" s="609"/>
      <c r="GXE65" s="609"/>
      <c r="GXF65" s="609"/>
      <c r="GXG65" s="609"/>
      <c r="GXH65" s="609"/>
      <c r="GXI65" s="609"/>
      <c r="GXJ65" s="609"/>
      <c r="GXK65" s="609"/>
      <c r="GXL65" s="609"/>
      <c r="GXM65" s="609"/>
      <c r="GXN65" s="609"/>
      <c r="GXO65" s="609"/>
      <c r="GXP65" s="609"/>
      <c r="GXQ65" s="609"/>
      <c r="GXR65" s="609"/>
      <c r="GXS65" s="609"/>
      <c r="GXT65" s="609"/>
      <c r="GXU65" s="609"/>
      <c r="GXV65" s="609"/>
      <c r="GXW65" s="609"/>
      <c r="GXX65" s="609"/>
      <c r="GXY65" s="609"/>
      <c r="GXZ65" s="609"/>
      <c r="GYA65" s="609"/>
      <c r="GYB65" s="609"/>
      <c r="GYC65" s="609"/>
      <c r="GYD65" s="609"/>
      <c r="GYE65" s="609"/>
      <c r="GYF65" s="609"/>
      <c r="GYG65" s="609"/>
      <c r="GYH65" s="609"/>
      <c r="GYI65" s="609"/>
      <c r="GYJ65" s="609"/>
      <c r="GYK65" s="609"/>
      <c r="GYL65" s="609"/>
      <c r="GYM65" s="609"/>
      <c r="GYN65" s="609"/>
      <c r="GYO65" s="609"/>
      <c r="GYP65" s="609"/>
      <c r="GYQ65" s="609"/>
      <c r="GYR65" s="609"/>
      <c r="GYS65" s="609"/>
      <c r="GYT65" s="609"/>
      <c r="GYU65" s="609"/>
      <c r="GYV65" s="609"/>
      <c r="GYW65" s="609"/>
      <c r="GYX65" s="609"/>
      <c r="GYY65" s="609"/>
      <c r="GYZ65" s="609"/>
      <c r="GZA65" s="609"/>
      <c r="GZB65" s="609"/>
      <c r="GZC65" s="609"/>
      <c r="GZD65" s="609"/>
      <c r="GZE65" s="609"/>
      <c r="GZF65" s="609"/>
      <c r="GZG65" s="609"/>
      <c r="GZH65" s="609"/>
      <c r="GZI65" s="609"/>
      <c r="GZJ65" s="609"/>
      <c r="GZK65" s="609"/>
      <c r="GZL65" s="609"/>
      <c r="GZM65" s="609"/>
      <c r="GZN65" s="609"/>
      <c r="GZO65" s="609"/>
      <c r="GZP65" s="609"/>
      <c r="GZQ65" s="609"/>
      <c r="GZR65" s="609"/>
      <c r="GZS65" s="609"/>
      <c r="GZT65" s="609"/>
      <c r="GZU65" s="609"/>
      <c r="GZV65" s="609"/>
      <c r="GZW65" s="609"/>
      <c r="GZX65" s="609"/>
      <c r="GZY65" s="609"/>
      <c r="GZZ65" s="609"/>
      <c r="HAA65" s="609"/>
      <c r="HAB65" s="609"/>
      <c r="HAC65" s="609"/>
      <c r="HAD65" s="609"/>
      <c r="HAE65" s="609"/>
      <c r="HAF65" s="609"/>
      <c r="HAG65" s="609"/>
      <c r="HAH65" s="609"/>
      <c r="HAI65" s="609"/>
      <c r="HAJ65" s="609"/>
      <c r="HAK65" s="609"/>
      <c r="HAL65" s="609"/>
      <c r="HAM65" s="609"/>
      <c r="HAN65" s="609"/>
      <c r="HAO65" s="609"/>
      <c r="HAP65" s="609"/>
      <c r="HAQ65" s="609"/>
      <c r="HAR65" s="609"/>
      <c r="HAS65" s="609"/>
      <c r="HAT65" s="609"/>
      <c r="HAU65" s="609"/>
      <c r="HAV65" s="609"/>
      <c r="HAW65" s="609"/>
      <c r="HAX65" s="609"/>
      <c r="HAY65" s="609"/>
      <c r="HAZ65" s="609"/>
      <c r="HBA65" s="609"/>
      <c r="HBB65" s="609"/>
      <c r="HBC65" s="609"/>
      <c r="HBD65" s="609"/>
      <c r="HBE65" s="609"/>
      <c r="HBF65" s="609"/>
      <c r="HBG65" s="609"/>
      <c r="HBH65" s="609"/>
      <c r="HBI65" s="609"/>
      <c r="HBJ65" s="609"/>
      <c r="HBK65" s="609"/>
      <c r="HBL65" s="609"/>
      <c r="HBM65" s="609"/>
      <c r="HBN65" s="609"/>
      <c r="HBO65" s="609"/>
      <c r="HBP65" s="609"/>
      <c r="HBQ65" s="609"/>
      <c r="HBR65" s="609"/>
      <c r="HBS65" s="609"/>
      <c r="HBT65" s="609"/>
      <c r="HBU65" s="609"/>
      <c r="HBV65" s="609"/>
      <c r="HBW65" s="609"/>
      <c r="HBX65" s="609"/>
      <c r="HBY65" s="609"/>
      <c r="HBZ65" s="609"/>
      <c r="HCA65" s="609"/>
      <c r="HCB65" s="609"/>
      <c r="HCC65" s="609"/>
      <c r="HCD65" s="609"/>
      <c r="HCE65" s="609"/>
      <c r="HCF65" s="609"/>
      <c r="HCG65" s="609"/>
      <c r="HCH65" s="609"/>
      <c r="HCI65" s="609"/>
      <c r="HCJ65" s="609"/>
      <c r="HCK65" s="609"/>
      <c r="HCL65" s="609"/>
      <c r="HCM65" s="609"/>
      <c r="HCN65" s="609"/>
      <c r="HCO65" s="609"/>
      <c r="HCP65" s="609"/>
      <c r="HCQ65" s="609"/>
      <c r="HCR65" s="609"/>
      <c r="HCS65" s="609"/>
      <c r="HCT65" s="609"/>
      <c r="HCU65" s="609"/>
      <c r="HCV65" s="609"/>
      <c r="HCW65" s="609"/>
      <c r="HCX65" s="609"/>
      <c r="HCY65" s="609"/>
      <c r="HCZ65" s="609"/>
      <c r="HDA65" s="609"/>
      <c r="HDB65" s="609"/>
      <c r="HDC65" s="609"/>
      <c r="HDD65" s="609"/>
      <c r="HDE65" s="609"/>
      <c r="HDF65" s="609"/>
      <c r="HDG65" s="609"/>
      <c r="HDH65" s="609"/>
      <c r="HDI65" s="609"/>
      <c r="HDJ65" s="609"/>
      <c r="HDK65" s="609"/>
      <c r="HDL65" s="609"/>
      <c r="HDM65" s="609"/>
      <c r="HDN65" s="609"/>
      <c r="HDO65" s="609"/>
      <c r="HDP65" s="609"/>
      <c r="HDQ65" s="609"/>
      <c r="HDR65" s="609"/>
      <c r="HDS65" s="609"/>
      <c r="HDT65" s="609"/>
      <c r="HDU65" s="609"/>
      <c r="HDV65" s="609"/>
      <c r="HDW65" s="609"/>
      <c r="HDX65" s="609"/>
      <c r="HDY65" s="609"/>
      <c r="HDZ65" s="609"/>
      <c r="HEA65" s="609"/>
      <c r="HEB65" s="609"/>
      <c r="HEC65" s="609"/>
      <c r="HED65" s="609"/>
      <c r="HEE65" s="609"/>
      <c r="HEF65" s="609"/>
      <c r="HEG65" s="609"/>
      <c r="HEH65" s="609"/>
      <c r="HEI65" s="609"/>
      <c r="HEJ65" s="609"/>
      <c r="HEK65" s="609"/>
      <c r="HEL65" s="609"/>
      <c r="HEM65" s="609"/>
      <c r="HEN65" s="609"/>
      <c r="HEO65" s="609"/>
      <c r="HEP65" s="609"/>
      <c r="HEQ65" s="609"/>
      <c r="HER65" s="609"/>
      <c r="HES65" s="609"/>
      <c r="HET65" s="609"/>
      <c r="HEU65" s="609"/>
      <c r="HEV65" s="609"/>
      <c r="HEW65" s="609"/>
      <c r="HEX65" s="609"/>
      <c r="HEY65" s="609"/>
      <c r="HEZ65" s="609"/>
      <c r="HFA65" s="609"/>
      <c r="HFB65" s="609"/>
      <c r="HFC65" s="609"/>
      <c r="HFD65" s="609"/>
      <c r="HFE65" s="609"/>
      <c r="HFF65" s="609"/>
      <c r="HFG65" s="609"/>
      <c r="HFH65" s="609"/>
      <c r="HFI65" s="609"/>
      <c r="HFJ65" s="609"/>
      <c r="HFK65" s="609"/>
      <c r="HFL65" s="609"/>
      <c r="HFM65" s="609"/>
      <c r="HFN65" s="609"/>
      <c r="HFO65" s="609"/>
      <c r="HFP65" s="609"/>
      <c r="HFQ65" s="609"/>
      <c r="HFR65" s="609"/>
      <c r="HFS65" s="609"/>
      <c r="HFT65" s="609"/>
      <c r="HFU65" s="609"/>
      <c r="HFV65" s="609"/>
      <c r="HFW65" s="609"/>
      <c r="HFX65" s="609"/>
      <c r="HFY65" s="609"/>
      <c r="HFZ65" s="609"/>
      <c r="HGA65" s="609"/>
      <c r="HGB65" s="609"/>
      <c r="HGC65" s="609"/>
      <c r="HGD65" s="609"/>
      <c r="HGE65" s="609"/>
      <c r="HGF65" s="609"/>
      <c r="HGG65" s="609"/>
      <c r="HGH65" s="609"/>
      <c r="HGI65" s="609"/>
      <c r="HGJ65" s="609"/>
      <c r="HGK65" s="609"/>
      <c r="HGL65" s="609"/>
      <c r="HGM65" s="609"/>
      <c r="HGN65" s="609"/>
      <c r="HGO65" s="609"/>
      <c r="HGP65" s="609"/>
      <c r="HGQ65" s="609"/>
      <c r="HGR65" s="609"/>
      <c r="HGS65" s="609"/>
      <c r="HGT65" s="609"/>
      <c r="HGU65" s="609"/>
      <c r="HGV65" s="609"/>
      <c r="HGW65" s="609"/>
      <c r="HGX65" s="609"/>
      <c r="HGY65" s="609"/>
      <c r="HGZ65" s="609"/>
      <c r="HHA65" s="609"/>
      <c r="HHB65" s="609"/>
      <c r="HHC65" s="609"/>
      <c r="HHD65" s="609"/>
      <c r="HHE65" s="609"/>
      <c r="HHF65" s="609"/>
      <c r="HHG65" s="609"/>
      <c r="HHH65" s="609"/>
      <c r="HHI65" s="609"/>
      <c r="HHJ65" s="609"/>
      <c r="HHK65" s="609"/>
      <c r="HHL65" s="609"/>
      <c r="HHM65" s="609"/>
      <c r="HHN65" s="609"/>
      <c r="HHO65" s="609"/>
      <c r="HHP65" s="609"/>
      <c r="HHQ65" s="609"/>
      <c r="HHR65" s="609"/>
      <c r="HHS65" s="609"/>
      <c r="HHT65" s="609"/>
      <c r="HHU65" s="609"/>
      <c r="HHV65" s="609"/>
      <c r="HHW65" s="609"/>
      <c r="HHX65" s="609"/>
      <c r="HHY65" s="609"/>
      <c r="HHZ65" s="609"/>
      <c r="HIA65" s="609"/>
      <c r="HIB65" s="609"/>
      <c r="HIC65" s="609"/>
      <c r="HID65" s="609"/>
      <c r="HIE65" s="609"/>
      <c r="HIF65" s="609"/>
      <c r="HIG65" s="609"/>
      <c r="HIH65" s="609"/>
      <c r="HII65" s="609"/>
      <c r="HIJ65" s="609"/>
      <c r="HIK65" s="609"/>
      <c r="HIL65" s="609"/>
      <c r="HIM65" s="609"/>
      <c r="HIN65" s="609"/>
      <c r="HIO65" s="609"/>
      <c r="HIP65" s="609"/>
      <c r="HIQ65" s="609"/>
      <c r="HIR65" s="609"/>
      <c r="HIS65" s="609"/>
      <c r="HIT65" s="609"/>
      <c r="HIU65" s="609"/>
      <c r="HIV65" s="609"/>
      <c r="HIW65" s="609"/>
      <c r="HIX65" s="609"/>
      <c r="HIY65" s="609"/>
      <c r="HIZ65" s="609"/>
      <c r="HJA65" s="609"/>
      <c r="HJB65" s="609"/>
      <c r="HJC65" s="609"/>
      <c r="HJD65" s="609"/>
      <c r="HJE65" s="609"/>
      <c r="HJF65" s="609"/>
      <c r="HJG65" s="609"/>
      <c r="HJH65" s="609"/>
      <c r="HJI65" s="609"/>
      <c r="HJJ65" s="609"/>
      <c r="HJK65" s="609"/>
      <c r="HJL65" s="609"/>
      <c r="HJM65" s="609"/>
      <c r="HJN65" s="609"/>
      <c r="HJO65" s="609"/>
      <c r="HJP65" s="609"/>
      <c r="HJQ65" s="609"/>
      <c r="HJR65" s="609"/>
      <c r="HJS65" s="609"/>
      <c r="HJT65" s="609"/>
      <c r="HJU65" s="609"/>
      <c r="HJV65" s="609"/>
      <c r="HJW65" s="609"/>
      <c r="HJX65" s="609"/>
      <c r="HJY65" s="609"/>
      <c r="HJZ65" s="609"/>
      <c r="HKA65" s="609"/>
      <c r="HKB65" s="609"/>
      <c r="HKC65" s="609"/>
      <c r="HKD65" s="609"/>
      <c r="HKE65" s="609"/>
      <c r="HKF65" s="609"/>
      <c r="HKG65" s="609"/>
      <c r="HKH65" s="609"/>
      <c r="HKI65" s="609"/>
      <c r="HKJ65" s="609"/>
      <c r="HKK65" s="609"/>
      <c r="HKL65" s="609"/>
      <c r="HKM65" s="609"/>
      <c r="HKN65" s="609"/>
      <c r="HKO65" s="609"/>
      <c r="HKP65" s="609"/>
      <c r="HKQ65" s="609"/>
      <c r="HKR65" s="609"/>
      <c r="HKS65" s="609"/>
      <c r="HKT65" s="609"/>
      <c r="HKU65" s="609"/>
      <c r="HKV65" s="609"/>
      <c r="HKW65" s="609"/>
      <c r="HKX65" s="609"/>
      <c r="HKY65" s="609"/>
      <c r="HKZ65" s="609"/>
      <c r="HLA65" s="609"/>
      <c r="HLB65" s="609"/>
      <c r="HLC65" s="609"/>
      <c r="HLD65" s="609"/>
      <c r="HLE65" s="609"/>
      <c r="HLF65" s="609"/>
      <c r="HLG65" s="609"/>
      <c r="HLH65" s="609"/>
      <c r="HLI65" s="609"/>
      <c r="HLJ65" s="609"/>
      <c r="HLK65" s="609"/>
      <c r="HLL65" s="609"/>
      <c r="HLM65" s="609"/>
      <c r="HLN65" s="609"/>
      <c r="HLO65" s="609"/>
      <c r="HLP65" s="609"/>
      <c r="HLQ65" s="609"/>
      <c r="HLR65" s="609"/>
      <c r="HLS65" s="609"/>
      <c r="HLT65" s="609"/>
      <c r="HLU65" s="609"/>
      <c r="HLV65" s="609"/>
      <c r="HLW65" s="609"/>
      <c r="HLX65" s="609"/>
      <c r="HLY65" s="609"/>
      <c r="HLZ65" s="609"/>
      <c r="HMA65" s="609"/>
      <c r="HMB65" s="609"/>
      <c r="HMC65" s="609"/>
      <c r="HMD65" s="609"/>
      <c r="HME65" s="609"/>
      <c r="HMF65" s="609"/>
      <c r="HMG65" s="609"/>
      <c r="HMH65" s="609"/>
      <c r="HMI65" s="609"/>
      <c r="HMJ65" s="609"/>
      <c r="HMK65" s="609"/>
      <c r="HML65" s="609"/>
      <c r="HMM65" s="609"/>
      <c r="HMN65" s="609"/>
      <c r="HMO65" s="609"/>
      <c r="HMP65" s="609"/>
      <c r="HMQ65" s="609"/>
      <c r="HMR65" s="609"/>
      <c r="HMS65" s="609"/>
      <c r="HMT65" s="609"/>
      <c r="HMU65" s="609"/>
      <c r="HMV65" s="609"/>
      <c r="HMW65" s="609"/>
      <c r="HMX65" s="609"/>
      <c r="HMY65" s="609"/>
      <c r="HMZ65" s="609"/>
      <c r="HNA65" s="609"/>
      <c r="HNB65" s="609"/>
      <c r="HNC65" s="609"/>
      <c r="HND65" s="609"/>
      <c r="HNE65" s="609"/>
      <c r="HNF65" s="609"/>
      <c r="HNG65" s="609"/>
      <c r="HNH65" s="609"/>
      <c r="HNI65" s="609"/>
      <c r="HNJ65" s="609"/>
      <c r="HNK65" s="609"/>
      <c r="HNL65" s="609"/>
      <c r="HNM65" s="609"/>
      <c r="HNN65" s="609"/>
      <c r="HNO65" s="609"/>
      <c r="HNP65" s="609"/>
      <c r="HNQ65" s="609"/>
      <c r="HNR65" s="609"/>
      <c r="HNS65" s="609"/>
      <c r="HNT65" s="609"/>
      <c r="HNU65" s="609"/>
      <c r="HNV65" s="609"/>
      <c r="HNW65" s="609"/>
      <c r="HNX65" s="609"/>
      <c r="HNY65" s="609"/>
      <c r="HNZ65" s="609"/>
      <c r="HOA65" s="609"/>
      <c r="HOB65" s="609"/>
      <c r="HOC65" s="609"/>
      <c r="HOD65" s="609"/>
      <c r="HOE65" s="609"/>
      <c r="HOF65" s="609"/>
      <c r="HOG65" s="609"/>
      <c r="HOH65" s="609"/>
      <c r="HOI65" s="609"/>
      <c r="HOJ65" s="609"/>
      <c r="HOK65" s="609"/>
      <c r="HOL65" s="609"/>
      <c r="HOM65" s="609"/>
      <c r="HON65" s="609"/>
      <c r="HOO65" s="609"/>
      <c r="HOP65" s="609"/>
      <c r="HOQ65" s="609"/>
      <c r="HOR65" s="609"/>
      <c r="HOS65" s="609"/>
      <c r="HOT65" s="609"/>
      <c r="HOU65" s="609"/>
      <c r="HOV65" s="609"/>
      <c r="HOW65" s="609"/>
      <c r="HOX65" s="609"/>
      <c r="HOY65" s="609"/>
      <c r="HOZ65" s="609"/>
      <c r="HPA65" s="609"/>
      <c r="HPB65" s="609"/>
      <c r="HPC65" s="609"/>
      <c r="HPD65" s="609"/>
      <c r="HPE65" s="609"/>
      <c r="HPF65" s="609"/>
      <c r="HPG65" s="609"/>
      <c r="HPH65" s="609"/>
      <c r="HPI65" s="609"/>
      <c r="HPJ65" s="609"/>
      <c r="HPK65" s="609"/>
      <c r="HPL65" s="609"/>
      <c r="HPM65" s="609"/>
      <c r="HPN65" s="609"/>
      <c r="HPO65" s="609"/>
      <c r="HPP65" s="609"/>
      <c r="HPQ65" s="609"/>
      <c r="HPR65" s="609"/>
      <c r="HPS65" s="609"/>
      <c r="HPT65" s="609"/>
      <c r="HPU65" s="609"/>
      <c r="HPV65" s="609"/>
      <c r="HPW65" s="609"/>
      <c r="HPX65" s="609"/>
      <c r="HPY65" s="609"/>
      <c r="HPZ65" s="609"/>
      <c r="HQA65" s="609"/>
      <c r="HQB65" s="609"/>
      <c r="HQC65" s="609"/>
      <c r="HQD65" s="609"/>
      <c r="HQE65" s="609"/>
      <c r="HQF65" s="609"/>
      <c r="HQG65" s="609"/>
      <c r="HQH65" s="609"/>
      <c r="HQI65" s="609"/>
      <c r="HQJ65" s="609"/>
      <c r="HQK65" s="609"/>
      <c r="HQL65" s="609"/>
      <c r="HQM65" s="609"/>
      <c r="HQN65" s="609"/>
      <c r="HQO65" s="609"/>
      <c r="HQP65" s="609"/>
      <c r="HQQ65" s="609"/>
      <c r="HQR65" s="609"/>
      <c r="HQS65" s="609"/>
      <c r="HQT65" s="609"/>
      <c r="HQU65" s="609"/>
      <c r="HQV65" s="609"/>
      <c r="HQW65" s="609"/>
      <c r="HQX65" s="609"/>
      <c r="HQY65" s="609"/>
      <c r="HQZ65" s="609"/>
      <c r="HRA65" s="609"/>
      <c r="HRB65" s="609"/>
      <c r="HRC65" s="609"/>
      <c r="HRD65" s="609"/>
      <c r="HRE65" s="609"/>
      <c r="HRF65" s="609"/>
      <c r="HRG65" s="609"/>
      <c r="HRH65" s="609"/>
      <c r="HRI65" s="609"/>
      <c r="HRJ65" s="609"/>
      <c r="HRK65" s="609"/>
      <c r="HRL65" s="609"/>
      <c r="HRM65" s="609"/>
      <c r="HRN65" s="609"/>
      <c r="HRO65" s="609"/>
      <c r="HRP65" s="609"/>
      <c r="HRQ65" s="609"/>
      <c r="HRR65" s="609"/>
      <c r="HRS65" s="609"/>
      <c r="HRT65" s="609"/>
      <c r="HRU65" s="609"/>
      <c r="HRV65" s="609"/>
      <c r="HRW65" s="609"/>
      <c r="HRX65" s="609"/>
      <c r="HRY65" s="609"/>
      <c r="HRZ65" s="609"/>
      <c r="HSA65" s="609"/>
      <c r="HSB65" s="609"/>
      <c r="HSC65" s="609"/>
      <c r="HSD65" s="609"/>
      <c r="HSE65" s="609"/>
      <c r="HSF65" s="609"/>
      <c r="HSG65" s="609"/>
      <c r="HSH65" s="609"/>
      <c r="HSI65" s="609"/>
      <c r="HSJ65" s="609"/>
      <c r="HSK65" s="609"/>
      <c r="HSL65" s="609"/>
      <c r="HSM65" s="609"/>
      <c r="HSN65" s="609"/>
      <c r="HSO65" s="609"/>
      <c r="HSP65" s="609"/>
      <c r="HSQ65" s="609"/>
      <c r="HSR65" s="609"/>
      <c r="HSS65" s="609"/>
      <c r="HST65" s="609"/>
      <c r="HSU65" s="609"/>
      <c r="HSV65" s="609"/>
      <c r="HSW65" s="609"/>
      <c r="HSX65" s="609"/>
      <c r="HSY65" s="609"/>
      <c r="HSZ65" s="609"/>
      <c r="HTA65" s="609"/>
      <c r="HTB65" s="609"/>
      <c r="HTC65" s="609"/>
      <c r="HTD65" s="609"/>
      <c r="HTE65" s="609"/>
      <c r="HTF65" s="609"/>
      <c r="HTG65" s="609"/>
      <c r="HTH65" s="609"/>
      <c r="HTI65" s="609"/>
      <c r="HTJ65" s="609"/>
      <c r="HTK65" s="609"/>
      <c r="HTL65" s="609"/>
      <c r="HTM65" s="609"/>
      <c r="HTN65" s="609"/>
      <c r="HTO65" s="609"/>
      <c r="HTP65" s="609"/>
      <c r="HTQ65" s="609"/>
      <c r="HTR65" s="609"/>
      <c r="HTS65" s="609"/>
      <c r="HTT65" s="609"/>
      <c r="HTU65" s="609"/>
      <c r="HTV65" s="609"/>
      <c r="HTW65" s="609"/>
      <c r="HTX65" s="609"/>
      <c r="HTY65" s="609"/>
      <c r="HTZ65" s="609"/>
      <c r="HUA65" s="609"/>
      <c r="HUB65" s="609"/>
      <c r="HUC65" s="609"/>
      <c r="HUD65" s="609"/>
      <c r="HUE65" s="609"/>
      <c r="HUF65" s="609"/>
      <c r="HUG65" s="609"/>
      <c r="HUH65" s="609"/>
      <c r="HUI65" s="609"/>
      <c r="HUJ65" s="609"/>
      <c r="HUK65" s="609"/>
      <c r="HUL65" s="609"/>
      <c r="HUM65" s="609"/>
      <c r="HUN65" s="609"/>
      <c r="HUO65" s="609"/>
      <c r="HUP65" s="609"/>
      <c r="HUQ65" s="609"/>
      <c r="HUR65" s="609"/>
      <c r="HUS65" s="609"/>
      <c r="HUT65" s="609"/>
      <c r="HUU65" s="609"/>
      <c r="HUV65" s="609"/>
      <c r="HUW65" s="609"/>
      <c r="HUX65" s="609"/>
      <c r="HUY65" s="609"/>
      <c r="HUZ65" s="609"/>
      <c r="HVA65" s="609"/>
      <c r="HVB65" s="609"/>
      <c r="HVC65" s="609"/>
      <c r="HVD65" s="609"/>
      <c r="HVE65" s="609"/>
      <c r="HVF65" s="609"/>
      <c r="HVG65" s="609"/>
      <c r="HVH65" s="609"/>
      <c r="HVI65" s="609"/>
      <c r="HVJ65" s="609"/>
      <c r="HVK65" s="609"/>
      <c r="HVL65" s="609"/>
      <c r="HVM65" s="609"/>
      <c r="HVN65" s="609"/>
      <c r="HVO65" s="609"/>
      <c r="HVP65" s="609"/>
      <c r="HVQ65" s="609"/>
      <c r="HVR65" s="609"/>
      <c r="HVS65" s="609"/>
      <c r="HVT65" s="609"/>
      <c r="HVU65" s="609"/>
      <c r="HVV65" s="609"/>
      <c r="HVW65" s="609"/>
      <c r="HVX65" s="609"/>
      <c r="HVY65" s="609"/>
      <c r="HVZ65" s="609"/>
      <c r="HWA65" s="609"/>
      <c r="HWB65" s="609"/>
      <c r="HWC65" s="609"/>
      <c r="HWD65" s="609"/>
      <c r="HWE65" s="609"/>
      <c r="HWF65" s="609"/>
      <c r="HWG65" s="609"/>
      <c r="HWH65" s="609"/>
      <c r="HWI65" s="609"/>
      <c r="HWJ65" s="609"/>
      <c r="HWK65" s="609"/>
      <c r="HWL65" s="609"/>
      <c r="HWM65" s="609"/>
      <c r="HWN65" s="609"/>
      <c r="HWO65" s="609"/>
      <c r="HWP65" s="609"/>
      <c r="HWQ65" s="609"/>
      <c r="HWR65" s="609"/>
      <c r="HWS65" s="609"/>
      <c r="HWT65" s="609"/>
      <c r="HWU65" s="609"/>
      <c r="HWV65" s="609"/>
      <c r="HWW65" s="609"/>
      <c r="HWX65" s="609"/>
      <c r="HWY65" s="609"/>
      <c r="HWZ65" s="609"/>
      <c r="HXA65" s="609"/>
      <c r="HXB65" s="609"/>
      <c r="HXC65" s="609"/>
      <c r="HXD65" s="609"/>
      <c r="HXE65" s="609"/>
      <c r="HXF65" s="609"/>
      <c r="HXG65" s="609"/>
      <c r="HXH65" s="609"/>
      <c r="HXI65" s="609"/>
      <c r="HXJ65" s="609"/>
      <c r="HXK65" s="609"/>
      <c r="HXL65" s="609"/>
      <c r="HXM65" s="609"/>
      <c r="HXN65" s="609"/>
      <c r="HXO65" s="609"/>
      <c r="HXP65" s="609"/>
      <c r="HXQ65" s="609"/>
      <c r="HXR65" s="609"/>
      <c r="HXS65" s="609"/>
      <c r="HXT65" s="609"/>
      <c r="HXU65" s="609"/>
      <c r="HXV65" s="609"/>
      <c r="HXW65" s="609"/>
      <c r="HXX65" s="609"/>
      <c r="HXY65" s="609"/>
      <c r="HXZ65" s="609"/>
      <c r="HYA65" s="609"/>
      <c r="HYB65" s="609"/>
      <c r="HYC65" s="609"/>
      <c r="HYD65" s="609"/>
      <c r="HYE65" s="609"/>
      <c r="HYF65" s="609"/>
      <c r="HYG65" s="609"/>
      <c r="HYH65" s="609"/>
      <c r="HYI65" s="609"/>
      <c r="HYJ65" s="609"/>
      <c r="HYK65" s="609"/>
      <c r="HYL65" s="609"/>
      <c r="HYM65" s="609"/>
      <c r="HYN65" s="609"/>
      <c r="HYO65" s="609"/>
      <c r="HYP65" s="609"/>
      <c r="HYQ65" s="609"/>
      <c r="HYR65" s="609"/>
      <c r="HYS65" s="609"/>
      <c r="HYT65" s="609"/>
      <c r="HYU65" s="609"/>
      <c r="HYV65" s="609"/>
      <c r="HYW65" s="609"/>
      <c r="HYX65" s="609"/>
      <c r="HYY65" s="609"/>
      <c r="HYZ65" s="609"/>
      <c r="HZA65" s="609"/>
      <c r="HZB65" s="609"/>
      <c r="HZC65" s="609"/>
      <c r="HZD65" s="609"/>
      <c r="HZE65" s="609"/>
      <c r="HZF65" s="609"/>
      <c r="HZG65" s="609"/>
      <c r="HZH65" s="609"/>
      <c r="HZI65" s="609"/>
      <c r="HZJ65" s="609"/>
      <c r="HZK65" s="609"/>
      <c r="HZL65" s="609"/>
      <c r="HZM65" s="609"/>
      <c r="HZN65" s="609"/>
      <c r="HZO65" s="609"/>
      <c r="HZP65" s="609"/>
      <c r="HZQ65" s="609"/>
      <c r="HZR65" s="609"/>
      <c r="HZS65" s="609"/>
      <c r="HZT65" s="609"/>
      <c r="HZU65" s="609"/>
      <c r="HZV65" s="609"/>
      <c r="HZW65" s="609"/>
      <c r="HZX65" s="609"/>
      <c r="HZY65" s="609"/>
      <c r="HZZ65" s="609"/>
      <c r="IAA65" s="609"/>
      <c r="IAB65" s="609"/>
      <c r="IAC65" s="609"/>
      <c r="IAD65" s="609"/>
      <c r="IAE65" s="609"/>
      <c r="IAF65" s="609"/>
      <c r="IAG65" s="609"/>
      <c r="IAH65" s="609"/>
      <c r="IAI65" s="609"/>
      <c r="IAJ65" s="609"/>
      <c r="IAK65" s="609"/>
      <c r="IAL65" s="609"/>
      <c r="IAM65" s="609"/>
      <c r="IAN65" s="609"/>
      <c r="IAO65" s="609"/>
      <c r="IAP65" s="609"/>
      <c r="IAQ65" s="609"/>
      <c r="IAR65" s="609"/>
      <c r="IAS65" s="609"/>
      <c r="IAT65" s="609"/>
      <c r="IAU65" s="609"/>
      <c r="IAV65" s="609"/>
      <c r="IAW65" s="609"/>
      <c r="IAX65" s="609"/>
      <c r="IAY65" s="609"/>
      <c r="IAZ65" s="609"/>
      <c r="IBA65" s="609"/>
      <c r="IBB65" s="609"/>
      <c r="IBC65" s="609"/>
      <c r="IBD65" s="609"/>
      <c r="IBE65" s="609"/>
      <c r="IBF65" s="609"/>
      <c r="IBG65" s="609"/>
      <c r="IBH65" s="609"/>
      <c r="IBI65" s="609"/>
      <c r="IBJ65" s="609"/>
      <c r="IBK65" s="609"/>
      <c r="IBL65" s="609"/>
      <c r="IBM65" s="609"/>
      <c r="IBN65" s="609"/>
      <c r="IBO65" s="609"/>
      <c r="IBP65" s="609"/>
      <c r="IBQ65" s="609"/>
      <c r="IBR65" s="609"/>
      <c r="IBS65" s="609"/>
      <c r="IBT65" s="609"/>
      <c r="IBU65" s="609"/>
      <c r="IBV65" s="609"/>
      <c r="IBW65" s="609"/>
      <c r="IBX65" s="609"/>
      <c r="IBY65" s="609"/>
      <c r="IBZ65" s="609"/>
      <c r="ICA65" s="609"/>
      <c r="ICB65" s="609"/>
      <c r="ICC65" s="609"/>
      <c r="ICD65" s="609"/>
      <c r="ICE65" s="609"/>
      <c r="ICF65" s="609"/>
      <c r="ICG65" s="609"/>
      <c r="ICH65" s="609"/>
      <c r="ICI65" s="609"/>
      <c r="ICJ65" s="609"/>
      <c r="ICK65" s="609"/>
      <c r="ICL65" s="609"/>
      <c r="ICM65" s="609"/>
      <c r="ICN65" s="609"/>
      <c r="ICO65" s="609"/>
      <c r="ICP65" s="609"/>
      <c r="ICQ65" s="609"/>
      <c r="ICR65" s="609"/>
      <c r="ICS65" s="609"/>
      <c r="ICT65" s="609"/>
      <c r="ICU65" s="609"/>
      <c r="ICV65" s="609"/>
      <c r="ICW65" s="609"/>
      <c r="ICX65" s="609"/>
      <c r="ICY65" s="609"/>
      <c r="ICZ65" s="609"/>
      <c r="IDA65" s="609"/>
      <c r="IDB65" s="609"/>
      <c r="IDC65" s="609"/>
      <c r="IDD65" s="609"/>
      <c r="IDE65" s="609"/>
      <c r="IDF65" s="609"/>
      <c r="IDG65" s="609"/>
      <c r="IDH65" s="609"/>
      <c r="IDI65" s="609"/>
      <c r="IDJ65" s="609"/>
      <c r="IDK65" s="609"/>
      <c r="IDL65" s="609"/>
      <c r="IDM65" s="609"/>
      <c r="IDN65" s="609"/>
      <c r="IDO65" s="609"/>
      <c r="IDP65" s="609"/>
      <c r="IDQ65" s="609"/>
      <c r="IDR65" s="609"/>
      <c r="IDS65" s="609"/>
      <c r="IDT65" s="609"/>
      <c r="IDU65" s="609"/>
      <c r="IDV65" s="609"/>
      <c r="IDW65" s="609"/>
      <c r="IDX65" s="609"/>
      <c r="IDY65" s="609"/>
      <c r="IDZ65" s="609"/>
      <c r="IEA65" s="609"/>
      <c r="IEB65" s="609"/>
      <c r="IEC65" s="609"/>
      <c r="IED65" s="609"/>
      <c r="IEE65" s="609"/>
      <c r="IEF65" s="609"/>
      <c r="IEG65" s="609"/>
      <c r="IEH65" s="609"/>
      <c r="IEI65" s="609"/>
      <c r="IEJ65" s="609"/>
      <c r="IEK65" s="609"/>
      <c r="IEL65" s="609"/>
      <c r="IEM65" s="609"/>
      <c r="IEN65" s="609"/>
      <c r="IEO65" s="609"/>
      <c r="IEP65" s="609"/>
      <c r="IEQ65" s="609"/>
      <c r="IER65" s="609"/>
      <c r="IES65" s="609"/>
      <c r="IET65" s="609"/>
      <c r="IEU65" s="609"/>
      <c r="IEV65" s="609"/>
      <c r="IEW65" s="609"/>
      <c r="IEX65" s="609"/>
      <c r="IEY65" s="609"/>
      <c r="IEZ65" s="609"/>
      <c r="IFA65" s="609"/>
      <c r="IFB65" s="609"/>
      <c r="IFC65" s="609"/>
      <c r="IFD65" s="609"/>
      <c r="IFE65" s="609"/>
      <c r="IFF65" s="609"/>
      <c r="IFG65" s="609"/>
      <c r="IFH65" s="609"/>
      <c r="IFI65" s="609"/>
      <c r="IFJ65" s="609"/>
      <c r="IFK65" s="609"/>
      <c r="IFL65" s="609"/>
      <c r="IFM65" s="609"/>
      <c r="IFN65" s="609"/>
      <c r="IFO65" s="609"/>
      <c r="IFP65" s="609"/>
      <c r="IFQ65" s="609"/>
      <c r="IFR65" s="609"/>
      <c r="IFS65" s="609"/>
      <c r="IFT65" s="609"/>
      <c r="IFU65" s="609"/>
      <c r="IFV65" s="609"/>
      <c r="IFW65" s="609"/>
      <c r="IFX65" s="609"/>
      <c r="IFY65" s="609"/>
      <c r="IFZ65" s="609"/>
      <c r="IGA65" s="609"/>
      <c r="IGB65" s="609"/>
      <c r="IGC65" s="609"/>
      <c r="IGD65" s="609"/>
      <c r="IGE65" s="609"/>
      <c r="IGF65" s="609"/>
      <c r="IGG65" s="609"/>
      <c r="IGH65" s="609"/>
      <c r="IGI65" s="609"/>
      <c r="IGJ65" s="609"/>
      <c r="IGK65" s="609"/>
      <c r="IGL65" s="609"/>
      <c r="IGM65" s="609"/>
      <c r="IGN65" s="609"/>
      <c r="IGO65" s="609"/>
      <c r="IGP65" s="609"/>
      <c r="IGQ65" s="609"/>
      <c r="IGR65" s="609"/>
      <c r="IGS65" s="609"/>
      <c r="IGT65" s="609"/>
      <c r="IGU65" s="609"/>
      <c r="IGV65" s="609"/>
      <c r="IGW65" s="609"/>
      <c r="IGX65" s="609"/>
      <c r="IGY65" s="609"/>
      <c r="IGZ65" s="609"/>
      <c r="IHA65" s="609"/>
      <c r="IHB65" s="609"/>
      <c r="IHC65" s="609"/>
      <c r="IHD65" s="609"/>
      <c r="IHE65" s="609"/>
      <c r="IHF65" s="609"/>
      <c r="IHG65" s="609"/>
      <c r="IHH65" s="609"/>
      <c r="IHI65" s="609"/>
      <c r="IHJ65" s="609"/>
      <c r="IHK65" s="609"/>
      <c r="IHL65" s="609"/>
      <c r="IHM65" s="609"/>
      <c r="IHN65" s="609"/>
      <c r="IHO65" s="609"/>
      <c r="IHP65" s="609"/>
      <c r="IHQ65" s="609"/>
      <c r="IHR65" s="609"/>
      <c r="IHS65" s="609"/>
      <c r="IHT65" s="609"/>
      <c r="IHU65" s="609"/>
      <c r="IHV65" s="609"/>
      <c r="IHW65" s="609"/>
      <c r="IHX65" s="609"/>
      <c r="IHY65" s="609"/>
      <c r="IHZ65" s="609"/>
      <c r="IIA65" s="609"/>
      <c r="IIB65" s="609"/>
      <c r="IIC65" s="609"/>
      <c r="IID65" s="609"/>
      <c r="IIE65" s="609"/>
      <c r="IIF65" s="609"/>
      <c r="IIG65" s="609"/>
      <c r="IIH65" s="609"/>
      <c r="III65" s="609"/>
      <c r="IIJ65" s="609"/>
      <c r="IIK65" s="609"/>
      <c r="IIL65" s="609"/>
      <c r="IIM65" s="609"/>
      <c r="IIN65" s="609"/>
      <c r="IIO65" s="609"/>
      <c r="IIP65" s="609"/>
      <c r="IIQ65" s="609"/>
      <c r="IIR65" s="609"/>
      <c r="IIS65" s="609"/>
      <c r="IIT65" s="609"/>
      <c r="IIU65" s="609"/>
      <c r="IIV65" s="609"/>
      <c r="IIW65" s="609"/>
      <c r="IIX65" s="609"/>
      <c r="IIY65" s="609"/>
      <c r="IIZ65" s="609"/>
      <c r="IJA65" s="609"/>
      <c r="IJB65" s="609"/>
      <c r="IJC65" s="609"/>
      <c r="IJD65" s="609"/>
      <c r="IJE65" s="609"/>
      <c r="IJF65" s="609"/>
      <c r="IJG65" s="609"/>
      <c r="IJH65" s="609"/>
      <c r="IJI65" s="609"/>
      <c r="IJJ65" s="609"/>
      <c r="IJK65" s="609"/>
      <c r="IJL65" s="609"/>
      <c r="IJM65" s="609"/>
      <c r="IJN65" s="609"/>
      <c r="IJO65" s="609"/>
      <c r="IJP65" s="609"/>
      <c r="IJQ65" s="609"/>
      <c r="IJR65" s="609"/>
      <c r="IJS65" s="609"/>
      <c r="IJT65" s="609"/>
      <c r="IJU65" s="609"/>
      <c r="IJV65" s="609"/>
      <c r="IJW65" s="609"/>
      <c r="IJX65" s="609"/>
      <c r="IJY65" s="609"/>
      <c r="IJZ65" s="609"/>
      <c r="IKA65" s="609"/>
      <c r="IKB65" s="609"/>
      <c r="IKC65" s="609"/>
      <c r="IKD65" s="609"/>
      <c r="IKE65" s="609"/>
      <c r="IKF65" s="609"/>
      <c r="IKG65" s="609"/>
      <c r="IKH65" s="609"/>
      <c r="IKI65" s="609"/>
      <c r="IKJ65" s="609"/>
      <c r="IKK65" s="609"/>
      <c r="IKL65" s="609"/>
      <c r="IKM65" s="609"/>
      <c r="IKN65" s="609"/>
      <c r="IKO65" s="609"/>
      <c r="IKP65" s="609"/>
      <c r="IKQ65" s="609"/>
      <c r="IKR65" s="609"/>
      <c r="IKS65" s="609"/>
      <c r="IKT65" s="609"/>
      <c r="IKU65" s="609"/>
      <c r="IKV65" s="609"/>
      <c r="IKW65" s="609"/>
      <c r="IKX65" s="609"/>
      <c r="IKY65" s="609"/>
      <c r="IKZ65" s="609"/>
      <c r="ILA65" s="609"/>
      <c r="ILB65" s="609"/>
      <c r="ILC65" s="609"/>
      <c r="ILD65" s="609"/>
      <c r="ILE65" s="609"/>
      <c r="ILF65" s="609"/>
      <c r="ILG65" s="609"/>
      <c r="ILH65" s="609"/>
      <c r="ILI65" s="609"/>
      <c r="ILJ65" s="609"/>
      <c r="ILK65" s="609"/>
      <c r="ILL65" s="609"/>
      <c r="ILM65" s="609"/>
      <c r="ILN65" s="609"/>
      <c r="ILO65" s="609"/>
      <c r="ILP65" s="609"/>
      <c r="ILQ65" s="609"/>
      <c r="ILR65" s="609"/>
      <c r="ILS65" s="609"/>
      <c r="ILT65" s="609"/>
      <c r="ILU65" s="609"/>
      <c r="ILV65" s="609"/>
      <c r="ILW65" s="609"/>
      <c r="ILX65" s="609"/>
      <c r="ILY65" s="609"/>
      <c r="ILZ65" s="609"/>
      <c r="IMA65" s="609"/>
      <c r="IMB65" s="609"/>
      <c r="IMC65" s="609"/>
      <c r="IMD65" s="609"/>
      <c r="IME65" s="609"/>
      <c r="IMF65" s="609"/>
      <c r="IMG65" s="609"/>
      <c r="IMH65" s="609"/>
      <c r="IMI65" s="609"/>
      <c r="IMJ65" s="609"/>
      <c r="IMK65" s="609"/>
      <c r="IML65" s="609"/>
      <c r="IMM65" s="609"/>
      <c r="IMN65" s="609"/>
      <c r="IMO65" s="609"/>
      <c r="IMP65" s="609"/>
      <c r="IMQ65" s="609"/>
      <c r="IMR65" s="609"/>
      <c r="IMS65" s="609"/>
      <c r="IMT65" s="609"/>
      <c r="IMU65" s="609"/>
      <c r="IMV65" s="609"/>
      <c r="IMW65" s="609"/>
      <c r="IMX65" s="609"/>
      <c r="IMY65" s="609"/>
      <c r="IMZ65" s="609"/>
      <c r="INA65" s="609"/>
      <c r="INB65" s="609"/>
      <c r="INC65" s="609"/>
      <c r="IND65" s="609"/>
      <c r="INE65" s="609"/>
      <c r="INF65" s="609"/>
      <c r="ING65" s="609"/>
      <c r="INH65" s="609"/>
      <c r="INI65" s="609"/>
      <c r="INJ65" s="609"/>
      <c r="INK65" s="609"/>
      <c r="INL65" s="609"/>
      <c r="INM65" s="609"/>
      <c r="INN65" s="609"/>
      <c r="INO65" s="609"/>
      <c r="INP65" s="609"/>
      <c r="INQ65" s="609"/>
      <c r="INR65" s="609"/>
      <c r="INS65" s="609"/>
      <c r="INT65" s="609"/>
      <c r="INU65" s="609"/>
      <c r="INV65" s="609"/>
      <c r="INW65" s="609"/>
      <c r="INX65" s="609"/>
      <c r="INY65" s="609"/>
      <c r="INZ65" s="609"/>
      <c r="IOA65" s="609"/>
      <c r="IOB65" s="609"/>
      <c r="IOC65" s="609"/>
      <c r="IOD65" s="609"/>
      <c r="IOE65" s="609"/>
      <c r="IOF65" s="609"/>
      <c r="IOG65" s="609"/>
      <c r="IOH65" s="609"/>
      <c r="IOI65" s="609"/>
      <c r="IOJ65" s="609"/>
      <c r="IOK65" s="609"/>
      <c r="IOL65" s="609"/>
      <c r="IOM65" s="609"/>
      <c r="ION65" s="609"/>
      <c r="IOO65" s="609"/>
      <c r="IOP65" s="609"/>
      <c r="IOQ65" s="609"/>
      <c r="IOR65" s="609"/>
      <c r="IOS65" s="609"/>
      <c r="IOT65" s="609"/>
      <c r="IOU65" s="609"/>
      <c r="IOV65" s="609"/>
      <c r="IOW65" s="609"/>
      <c r="IOX65" s="609"/>
      <c r="IOY65" s="609"/>
      <c r="IOZ65" s="609"/>
      <c r="IPA65" s="609"/>
      <c r="IPB65" s="609"/>
      <c r="IPC65" s="609"/>
      <c r="IPD65" s="609"/>
      <c r="IPE65" s="609"/>
      <c r="IPF65" s="609"/>
      <c r="IPG65" s="609"/>
      <c r="IPH65" s="609"/>
      <c r="IPI65" s="609"/>
      <c r="IPJ65" s="609"/>
      <c r="IPK65" s="609"/>
      <c r="IPL65" s="609"/>
      <c r="IPM65" s="609"/>
      <c r="IPN65" s="609"/>
      <c r="IPO65" s="609"/>
      <c r="IPP65" s="609"/>
      <c r="IPQ65" s="609"/>
      <c r="IPR65" s="609"/>
      <c r="IPS65" s="609"/>
      <c r="IPT65" s="609"/>
      <c r="IPU65" s="609"/>
      <c r="IPV65" s="609"/>
      <c r="IPW65" s="609"/>
      <c r="IPX65" s="609"/>
      <c r="IPY65" s="609"/>
      <c r="IPZ65" s="609"/>
      <c r="IQA65" s="609"/>
      <c r="IQB65" s="609"/>
      <c r="IQC65" s="609"/>
      <c r="IQD65" s="609"/>
      <c r="IQE65" s="609"/>
      <c r="IQF65" s="609"/>
      <c r="IQG65" s="609"/>
      <c r="IQH65" s="609"/>
      <c r="IQI65" s="609"/>
      <c r="IQJ65" s="609"/>
      <c r="IQK65" s="609"/>
      <c r="IQL65" s="609"/>
      <c r="IQM65" s="609"/>
      <c r="IQN65" s="609"/>
      <c r="IQO65" s="609"/>
      <c r="IQP65" s="609"/>
      <c r="IQQ65" s="609"/>
      <c r="IQR65" s="609"/>
      <c r="IQS65" s="609"/>
      <c r="IQT65" s="609"/>
      <c r="IQU65" s="609"/>
      <c r="IQV65" s="609"/>
      <c r="IQW65" s="609"/>
      <c r="IQX65" s="609"/>
      <c r="IQY65" s="609"/>
      <c r="IQZ65" s="609"/>
      <c r="IRA65" s="609"/>
      <c r="IRB65" s="609"/>
      <c r="IRC65" s="609"/>
      <c r="IRD65" s="609"/>
      <c r="IRE65" s="609"/>
      <c r="IRF65" s="609"/>
      <c r="IRG65" s="609"/>
      <c r="IRH65" s="609"/>
      <c r="IRI65" s="609"/>
      <c r="IRJ65" s="609"/>
      <c r="IRK65" s="609"/>
      <c r="IRL65" s="609"/>
      <c r="IRM65" s="609"/>
      <c r="IRN65" s="609"/>
      <c r="IRO65" s="609"/>
      <c r="IRP65" s="609"/>
      <c r="IRQ65" s="609"/>
      <c r="IRR65" s="609"/>
      <c r="IRS65" s="609"/>
      <c r="IRT65" s="609"/>
      <c r="IRU65" s="609"/>
      <c r="IRV65" s="609"/>
      <c r="IRW65" s="609"/>
      <c r="IRX65" s="609"/>
      <c r="IRY65" s="609"/>
      <c r="IRZ65" s="609"/>
      <c r="ISA65" s="609"/>
      <c r="ISB65" s="609"/>
      <c r="ISC65" s="609"/>
      <c r="ISD65" s="609"/>
      <c r="ISE65" s="609"/>
      <c r="ISF65" s="609"/>
      <c r="ISG65" s="609"/>
      <c r="ISH65" s="609"/>
      <c r="ISI65" s="609"/>
      <c r="ISJ65" s="609"/>
      <c r="ISK65" s="609"/>
      <c r="ISL65" s="609"/>
      <c r="ISM65" s="609"/>
      <c r="ISN65" s="609"/>
      <c r="ISO65" s="609"/>
      <c r="ISP65" s="609"/>
      <c r="ISQ65" s="609"/>
      <c r="ISR65" s="609"/>
      <c r="ISS65" s="609"/>
      <c r="IST65" s="609"/>
      <c r="ISU65" s="609"/>
      <c r="ISV65" s="609"/>
      <c r="ISW65" s="609"/>
      <c r="ISX65" s="609"/>
      <c r="ISY65" s="609"/>
      <c r="ISZ65" s="609"/>
      <c r="ITA65" s="609"/>
      <c r="ITB65" s="609"/>
      <c r="ITC65" s="609"/>
      <c r="ITD65" s="609"/>
      <c r="ITE65" s="609"/>
      <c r="ITF65" s="609"/>
      <c r="ITG65" s="609"/>
      <c r="ITH65" s="609"/>
      <c r="ITI65" s="609"/>
      <c r="ITJ65" s="609"/>
      <c r="ITK65" s="609"/>
      <c r="ITL65" s="609"/>
      <c r="ITM65" s="609"/>
      <c r="ITN65" s="609"/>
      <c r="ITO65" s="609"/>
      <c r="ITP65" s="609"/>
      <c r="ITQ65" s="609"/>
      <c r="ITR65" s="609"/>
      <c r="ITS65" s="609"/>
      <c r="ITT65" s="609"/>
      <c r="ITU65" s="609"/>
      <c r="ITV65" s="609"/>
      <c r="ITW65" s="609"/>
      <c r="ITX65" s="609"/>
      <c r="ITY65" s="609"/>
      <c r="ITZ65" s="609"/>
      <c r="IUA65" s="609"/>
      <c r="IUB65" s="609"/>
      <c r="IUC65" s="609"/>
      <c r="IUD65" s="609"/>
      <c r="IUE65" s="609"/>
      <c r="IUF65" s="609"/>
      <c r="IUG65" s="609"/>
      <c r="IUH65" s="609"/>
      <c r="IUI65" s="609"/>
      <c r="IUJ65" s="609"/>
      <c r="IUK65" s="609"/>
      <c r="IUL65" s="609"/>
      <c r="IUM65" s="609"/>
      <c r="IUN65" s="609"/>
      <c r="IUO65" s="609"/>
      <c r="IUP65" s="609"/>
      <c r="IUQ65" s="609"/>
      <c r="IUR65" s="609"/>
      <c r="IUS65" s="609"/>
      <c r="IUT65" s="609"/>
      <c r="IUU65" s="609"/>
      <c r="IUV65" s="609"/>
      <c r="IUW65" s="609"/>
      <c r="IUX65" s="609"/>
      <c r="IUY65" s="609"/>
      <c r="IUZ65" s="609"/>
      <c r="IVA65" s="609"/>
      <c r="IVB65" s="609"/>
      <c r="IVC65" s="609"/>
      <c r="IVD65" s="609"/>
      <c r="IVE65" s="609"/>
      <c r="IVF65" s="609"/>
      <c r="IVG65" s="609"/>
      <c r="IVH65" s="609"/>
      <c r="IVI65" s="609"/>
      <c r="IVJ65" s="609"/>
      <c r="IVK65" s="609"/>
      <c r="IVL65" s="609"/>
      <c r="IVM65" s="609"/>
      <c r="IVN65" s="609"/>
      <c r="IVO65" s="609"/>
      <c r="IVP65" s="609"/>
      <c r="IVQ65" s="609"/>
      <c r="IVR65" s="609"/>
      <c r="IVS65" s="609"/>
      <c r="IVT65" s="609"/>
      <c r="IVU65" s="609"/>
      <c r="IVV65" s="609"/>
      <c r="IVW65" s="609"/>
      <c r="IVX65" s="609"/>
      <c r="IVY65" s="609"/>
      <c r="IVZ65" s="609"/>
      <c r="IWA65" s="609"/>
      <c r="IWB65" s="609"/>
      <c r="IWC65" s="609"/>
      <c r="IWD65" s="609"/>
      <c r="IWE65" s="609"/>
      <c r="IWF65" s="609"/>
      <c r="IWG65" s="609"/>
      <c r="IWH65" s="609"/>
      <c r="IWI65" s="609"/>
      <c r="IWJ65" s="609"/>
      <c r="IWK65" s="609"/>
      <c r="IWL65" s="609"/>
      <c r="IWM65" s="609"/>
      <c r="IWN65" s="609"/>
      <c r="IWO65" s="609"/>
      <c r="IWP65" s="609"/>
      <c r="IWQ65" s="609"/>
      <c r="IWR65" s="609"/>
      <c r="IWS65" s="609"/>
      <c r="IWT65" s="609"/>
      <c r="IWU65" s="609"/>
      <c r="IWV65" s="609"/>
      <c r="IWW65" s="609"/>
      <c r="IWX65" s="609"/>
      <c r="IWY65" s="609"/>
      <c r="IWZ65" s="609"/>
      <c r="IXA65" s="609"/>
      <c r="IXB65" s="609"/>
      <c r="IXC65" s="609"/>
      <c r="IXD65" s="609"/>
      <c r="IXE65" s="609"/>
      <c r="IXF65" s="609"/>
      <c r="IXG65" s="609"/>
      <c r="IXH65" s="609"/>
      <c r="IXI65" s="609"/>
      <c r="IXJ65" s="609"/>
      <c r="IXK65" s="609"/>
      <c r="IXL65" s="609"/>
      <c r="IXM65" s="609"/>
      <c r="IXN65" s="609"/>
      <c r="IXO65" s="609"/>
      <c r="IXP65" s="609"/>
      <c r="IXQ65" s="609"/>
      <c r="IXR65" s="609"/>
      <c r="IXS65" s="609"/>
      <c r="IXT65" s="609"/>
      <c r="IXU65" s="609"/>
      <c r="IXV65" s="609"/>
      <c r="IXW65" s="609"/>
      <c r="IXX65" s="609"/>
      <c r="IXY65" s="609"/>
      <c r="IXZ65" s="609"/>
      <c r="IYA65" s="609"/>
      <c r="IYB65" s="609"/>
      <c r="IYC65" s="609"/>
      <c r="IYD65" s="609"/>
      <c r="IYE65" s="609"/>
      <c r="IYF65" s="609"/>
      <c r="IYG65" s="609"/>
      <c r="IYH65" s="609"/>
      <c r="IYI65" s="609"/>
      <c r="IYJ65" s="609"/>
      <c r="IYK65" s="609"/>
      <c r="IYL65" s="609"/>
      <c r="IYM65" s="609"/>
      <c r="IYN65" s="609"/>
      <c r="IYO65" s="609"/>
      <c r="IYP65" s="609"/>
      <c r="IYQ65" s="609"/>
      <c r="IYR65" s="609"/>
      <c r="IYS65" s="609"/>
      <c r="IYT65" s="609"/>
      <c r="IYU65" s="609"/>
      <c r="IYV65" s="609"/>
      <c r="IYW65" s="609"/>
      <c r="IYX65" s="609"/>
      <c r="IYY65" s="609"/>
      <c r="IYZ65" s="609"/>
      <c r="IZA65" s="609"/>
      <c r="IZB65" s="609"/>
      <c r="IZC65" s="609"/>
      <c r="IZD65" s="609"/>
      <c r="IZE65" s="609"/>
      <c r="IZF65" s="609"/>
      <c r="IZG65" s="609"/>
      <c r="IZH65" s="609"/>
      <c r="IZI65" s="609"/>
      <c r="IZJ65" s="609"/>
      <c r="IZK65" s="609"/>
      <c r="IZL65" s="609"/>
      <c r="IZM65" s="609"/>
      <c r="IZN65" s="609"/>
      <c r="IZO65" s="609"/>
      <c r="IZP65" s="609"/>
      <c r="IZQ65" s="609"/>
      <c r="IZR65" s="609"/>
      <c r="IZS65" s="609"/>
      <c r="IZT65" s="609"/>
      <c r="IZU65" s="609"/>
      <c r="IZV65" s="609"/>
      <c r="IZW65" s="609"/>
      <c r="IZX65" s="609"/>
      <c r="IZY65" s="609"/>
      <c r="IZZ65" s="609"/>
      <c r="JAA65" s="609"/>
      <c r="JAB65" s="609"/>
      <c r="JAC65" s="609"/>
      <c r="JAD65" s="609"/>
      <c r="JAE65" s="609"/>
      <c r="JAF65" s="609"/>
      <c r="JAG65" s="609"/>
      <c r="JAH65" s="609"/>
      <c r="JAI65" s="609"/>
      <c r="JAJ65" s="609"/>
      <c r="JAK65" s="609"/>
      <c r="JAL65" s="609"/>
      <c r="JAM65" s="609"/>
      <c r="JAN65" s="609"/>
      <c r="JAO65" s="609"/>
      <c r="JAP65" s="609"/>
      <c r="JAQ65" s="609"/>
      <c r="JAR65" s="609"/>
      <c r="JAS65" s="609"/>
      <c r="JAT65" s="609"/>
      <c r="JAU65" s="609"/>
      <c r="JAV65" s="609"/>
      <c r="JAW65" s="609"/>
      <c r="JAX65" s="609"/>
      <c r="JAY65" s="609"/>
      <c r="JAZ65" s="609"/>
      <c r="JBA65" s="609"/>
      <c r="JBB65" s="609"/>
      <c r="JBC65" s="609"/>
      <c r="JBD65" s="609"/>
      <c r="JBE65" s="609"/>
      <c r="JBF65" s="609"/>
      <c r="JBG65" s="609"/>
      <c r="JBH65" s="609"/>
      <c r="JBI65" s="609"/>
      <c r="JBJ65" s="609"/>
      <c r="JBK65" s="609"/>
      <c r="JBL65" s="609"/>
      <c r="JBM65" s="609"/>
      <c r="JBN65" s="609"/>
      <c r="JBO65" s="609"/>
      <c r="JBP65" s="609"/>
      <c r="JBQ65" s="609"/>
      <c r="JBR65" s="609"/>
      <c r="JBS65" s="609"/>
      <c r="JBT65" s="609"/>
      <c r="JBU65" s="609"/>
      <c r="JBV65" s="609"/>
      <c r="JBW65" s="609"/>
      <c r="JBX65" s="609"/>
      <c r="JBY65" s="609"/>
      <c r="JBZ65" s="609"/>
      <c r="JCA65" s="609"/>
      <c r="JCB65" s="609"/>
      <c r="JCC65" s="609"/>
      <c r="JCD65" s="609"/>
      <c r="JCE65" s="609"/>
      <c r="JCF65" s="609"/>
      <c r="JCG65" s="609"/>
      <c r="JCH65" s="609"/>
      <c r="JCI65" s="609"/>
      <c r="JCJ65" s="609"/>
      <c r="JCK65" s="609"/>
      <c r="JCL65" s="609"/>
      <c r="JCM65" s="609"/>
      <c r="JCN65" s="609"/>
      <c r="JCO65" s="609"/>
      <c r="JCP65" s="609"/>
      <c r="JCQ65" s="609"/>
      <c r="JCR65" s="609"/>
      <c r="JCS65" s="609"/>
      <c r="JCT65" s="609"/>
      <c r="JCU65" s="609"/>
      <c r="JCV65" s="609"/>
      <c r="JCW65" s="609"/>
      <c r="JCX65" s="609"/>
      <c r="JCY65" s="609"/>
      <c r="JCZ65" s="609"/>
      <c r="JDA65" s="609"/>
      <c r="JDB65" s="609"/>
      <c r="JDC65" s="609"/>
      <c r="JDD65" s="609"/>
      <c r="JDE65" s="609"/>
      <c r="JDF65" s="609"/>
      <c r="JDG65" s="609"/>
      <c r="JDH65" s="609"/>
      <c r="JDI65" s="609"/>
      <c r="JDJ65" s="609"/>
      <c r="JDK65" s="609"/>
      <c r="JDL65" s="609"/>
      <c r="JDM65" s="609"/>
      <c r="JDN65" s="609"/>
      <c r="JDO65" s="609"/>
      <c r="JDP65" s="609"/>
      <c r="JDQ65" s="609"/>
      <c r="JDR65" s="609"/>
      <c r="JDS65" s="609"/>
      <c r="JDT65" s="609"/>
      <c r="JDU65" s="609"/>
      <c r="JDV65" s="609"/>
      <c r="JDW65" s="609"/>
      <c r="JDX65" s="609"/>
      <c r="JDY65" s="609"/>
      <c r="JDZ65" s="609"/>
      <c r="JEA65" s="609"/>
      <c r="JEB65" s="609"/>
      <c r="JEC65" s="609"/>
      <c r="JED65" s="609"/>
      <c r="JEE65" s="609"/>
      <c r="JEF65" s="609"/>
      <c r="JEG65" s="609"/>
      <c r="JEH65" s="609"/>
      <c r="JEI65" s="609"/>
      <c r="JEJ65" s="609"/>
      <c r="JEK65" s="609"/>
      <c r="JEL65" s="609"/>
      <c r="JEM65" s="609"/>
      <c r="JEN65" s="609"/>
      <c r="JEO65" s="609"/>
      <c r="JEP65" s="609"/>
      <c r="JEQ65" s="609"/>
      <c r="JER65" s="609"/>
      <c r="JES65" s="609"/>
      <c r="JET65" s="609"/>
      <c r="JEU65" s="609"/>
      <c r="JEV65" s="609"/>
      <c r="JEW65" s="609"/>
      <c r="JEX65" s="609"/>
      <c r="JEY65" s="609"/>
      <c r="JEZ65" s="609"/>
      <c r="JFA65" s="609"/>
      <c r="JFB65" s="609"/>
      <c r="JFC65" s="609"/>
      <c r="JFD65" s="609"/>
      <c r="JFE65" s="609"/>
      <c r="JFF65" s="609"/>
      <c r="JFG65" s="609"/>
      <c r="JFH65" s="609"/>
      <c r="JFI65" s="609"/>
      <c r="JFJ65" s="609"/>
      <c r="JFK65" s="609"/>
      <c r="JFL65" s="609"/>
      <c r="JFM65" s="609"/>
      <c r="JFN65" s="609"/>
      <c r="JFO65" s="609"/>
      <c r="JFP65" s="609"/>
      <c r="JFQ65" s="609"/>
      <c r="JFR65" s="609"/>
      <c r="JFS65" s="609"/>
      <c r="JFT65" s="609"/>
      <c r="JFU65" s="609"/>
      <c r="JFV65" s="609"/>
      <c r="JFW65" s="609"/>
      <c r="JFX65" s="609"/>
      <c r="JFY65" s="609"/>
      <c r="JFZ65" s="609"/>
      <c r="JGA65" s="609"/>
      <c r="JGB65" s="609"/>
      <c r="JGC65" s="609"/>
      <c r="JGD65" s="609"/>
      <c r="JGE65" s="609"/>
      <c r="JGF65" s="609"/>
      <c r="JGG65" s="609"/>
      <c r="JGH65" s="609"/>
      <c r="JGI65" s="609"/>
      <c r="JGJ65" s="609"/>
      <c r="JGK65" s="609"/>
      <c r="JGL65" s="609"/>
      <c r="JGM65" s="609"/>
      <c r="JGN65" s="609"/>
      <c r="JGO65" s="609"/>
      <c r="JGP65" s="609"/>
      <c r="JGQ65" s="609"/>
      <c r="JGR65" s="609"/>
      <c r="JGS65" s="609"/>
      <c r="JGT65" s="609"/>
      <c r="JGU65" s="609"/>
      <c r="JGV65" s="609"/>
      <c r="JGW65" s="609"/>
      <c r="JGX65" s="609"/>
      <c r="JGY65" s="609"/>
      <c r="JGZ65" s="609"/>
      <c r="JHA65" s="609"/>
      <c r="JHB65" s="609"/>
      <c r="JHC65" s="609"/>
      <c r="JHD65" s="609"/>
      <c r="JHE65" s="609"/>
      <c r="JHF65" s="609"/>
      <c r="JHG65" s="609"/>
      <c r="JHH65" s="609"/>
      <c r="JHI65" s="609"/>
      <c r="JHJ65" s="609"/>
      <c r="JHK65" s="609"/>
      <c r="JHL65" s="609"/>
      <c r="JHM65" s="609"/>
      <c r="JHN65" s="609"/>
      <c r="JHO65" s="609"/>
      <c r="JHP65" s="609"/>
      <c r="JHQ65" s="609"/>
      <c r="JHR65" s="609"/>
      <c r="JHS65" s="609"/>
      <c r="JHT65" s="609"/>
      <c r="JHU65" s="609"/>
      <c r="JHV65" s="609"/>
      <c r="JHW65" s="609"/>
      <c r="JHX65" s="609"/>
      <c r="JHY65" s="609"/>
      <c r="JHZ65" s="609"/>
      <c r="JIA65" s="609"/>
      <c r="JIB65" s="609"/>
      <c r="JIC65" s="609"/>
      <c r="JID65" s="609"/>
      <c r="JIE65" s="609"/>
      <c r="JIF65" s="609"/>
      <c r="JIG65" s="609"/>
      <c r="JIH65" s="609"/>
      <c r="JII65" s="609"/>
      <c r="JIJ65" s="609"/>
      <c r="JIK65" s="609"/>
      <c r="JIL65" s="609"/>
      <c r="JIM65" s="609"/>
      <c r="JIN65" s="609"/>
      <c r="JIO65" s="609"/>
      <c r="JIP65" s="609"/>
      <c r="JIQ65" s="609"/>
      <c r="JIR65" s="609"/>
      <c r="JIS65" s="609"/>
      <c r="JIT65" s="609"/>
      <c r="JIU65" s="609"/>
      <c r="JIV65" s="609"/>
      <c r="JIW65" s="609"/>
      <c r="JIX65" s="609"/>
      <c r="JIY65" s="609"/>
      <c r="JIZ65" s="609"/>
      <c r="JJA65" s="609"/>
      <c r="JJB65" s="609"/>
      <c r="JJC65" s="609"/>
      <c r="JJD65" s="609"/>
      <c r="JJE65" s="609"/>
      <c r="JJF65" s="609"/>
      <c r="JJG65" s="609"/>
      <c r="JJH65" s="609"/>
      <c r="JJI65" s="609"/>
      <c r="JJJ65" s="609"/>
      <c r="JJK65" s="609"/>
      <c r="JJL65" s="609"/>
      <c r="JJM65" s="609"/>
      <c r="JJN65" s="609"/>
      <c r="JJO65" s="609"/>
      <c r="JJP65" s="609"/>
      <c r="JJQ65" s="609"/>
      <c r="JJR65" s="609"/>
      <c r="JJS65" s="609"/>
      <c r="JJT65" s="609"/>
      <c r="JJU65" s="609"/>
      <c r="JJV65" s="609"/>
      <c r="JJW65" s="609"/>
      <c r="JJX65" s="609"/>
      <c r="JJY65" s="609"/>
      <c r="JJZ65" s="609"/>
      <c r="JKA65" s="609"/>
      <c r="JKB65" s="609"/>
      <c r="JKC65" s="609"/>
      <c r="JKD65" s="609"/>
      <c r="JKE65" s="609"/>
      <c r="JKF65" s="609"/>
      <c r="JKG65" s="609"/>
      <c r="JKH65" s="609"/>
      <c r="JKI65" s="609"/>
      <c r="JKJ65" s="609"/>
      <c r="JKK65" s="609"/>
      <c r="JKL65" s="609"/>
      <c r="JKM65" s="609"/>
      <c r="JKN65" s="609"/>
      <c r="JKO65" s="609"/>
      <c r="JKP65" s="609"/>
      <c r="JKQ65" s="609"/>
      <c r="JKR65" s="609"/>
      <c r="JKS65" s="609"/>
      <c r="JKT65" s="609"/>
      <c r="JKU65" s="609"/>
      <c r="JKV65" s="609"/>
      <c r="JKW65" s="609"/>
      <c r="JKX65" s="609"/>
      <c r="JKY65" s="609"/>
      <c r="JKZ65" s="609"/>
      <c r="JLA65" s="609"/>
      <c r="JLB65" s="609"/>
      <c r="JLC65" s="609"/>
      <c r="JLD65" s="609"/>
      <c r="JLE65" s="609"/>
      <c r="JLF65" s="609"/>
      <c r="JLG65" s="609"/>
      <c r="JLH65" s="609"/>
      <c r="JLI65" s="609"/>
      <c r="JLJ65" s="609"/>
      <c r="JLK65" s="609"/>
      <c r="JLL65" s="609"/>
      <c r="JLM65" s="609"/>
      <c r="JLN65" s="609"/>
      <c r="JLO65" s="609"/>
      <c r="JLP65" s="609"/>
      <c r="JLQ65" s="609"/>
      <c r="JLR65" s="609"/>
      <c r="JLS65" s="609"/>
      <c r="JLT65" s="609"/>
      <c r="JLU65" s="609"/>
      <c r="JLV65" s="609"/>
      <c r="JLW65" s="609"/>
      <c r="JLX65" s="609"/>
      <c r="JLY65" s="609"/>
      <c r="JLZ65" s="609"/>
      <c r="JMA65" s="609"/>
      <c r="JMB65" s="609"/>
      <c r="JMC65" s="609"/>
      <c r="JMD65" s="609"/>
      <c r="JME65" s="609"/>
      <c r="JMF65" s="609"/>
      <c r="JMG65" s="609"/>
      <c r="JMH65" s="609"/>
      <c r="JMI65" s="609"/>
      <c r="JMJ65" s="609"/>
      <c r="JMK65" s="609"/>
      <c r="JML65" s="609"/>
      <c r="JMM65" s="609"/>
      <c r="JMN65" s="609"/>
      <c r="JMO65" s="609"/>
      <c r="JMP65" s="609"/>
      <c r="JMQ65" s="609"/>
      <c r="JMR65" s="609"/>
      <c r="JMS65" s="609"/>
      <c r="JMT65" s="609"/>
      <c r="JMU65" s="609"/>
      <c r="JMV65" s="609"/>
      <c r="JMW65" s="609"/>
      <c r="JMX65" s="609"/>
      <c r="JMY65" s="609"/>
      <c r="JMZ65" s="609"/>
      <c r="JNA65" s="609"/>
      <c r="JNB65" s="609"/>
      <c r="JNC65" s="609"/>
      <c r="JND65" s="609"/>
      <c r="JNE65" s="609"/>
      <c r="JNF65" s="609"/>
      <c r="JNG65" s="609"/>
      <c r="JNH65" s="609"/>
      <c r="JNI65" s="609"/>
      <c r="JNJ65" s="609"/>
      <c r="JNK65" s="609"/>
      <c r="JNL65" s="609"/>
      <c r="JNM65" s="609"/>
      <c r="JNN65" s="609"/>
      <c r="JNO65" s="609"/>
      <c r="JNP65" s="609"/>
      <c r="JNQ65" s="609"/>
      <c r="JNR65" s="609"/>
      <c r="JNS65" s="609"/>
      <c r="JNT65" s="609"/>
      <c r="JNU65" s="609"/>
      <c r="JNV65" s="609"/>
      <c r="JNW65" s="609"/>
      <c r="JNX65" s="609"/>
      <c r="JNY65" s="609"/>
      <c r="JNZ65" s="609"/>
      <c r="JOA65" s="609"/>
      <c r="JOB65" s="609"/>
      <c r="JOC65" s="609"/>
      <c r="JOD65" s="609"/>
      <c r="JOE65" s="609"/>
      <c r="JOF65" s="609"/>
      <c r="JOG65" s="609"/>
      <c r="JOH65" s="609"/>
      <c r="JOI65" s="609"/>
      <c r="JOJ65" s="609"/>
      <c r="JOK65" s="609"/>
      <c r="JOL65" s="609"/>
      <c r="JOM65" s="609"/>
      <c r="JON65" s="609"/>
      <c r="JOO65" s="609"/>
      <c r="JOP65" s="609"/>
      <c r="JOQ65" s="609"/>
      <c r="JOR65" s="609"/>
      <c r="JOS65" s="609"/>
      <c r="JOT65" s="609"/>
      <c r="JOU65" s="609"/>
      <c r="JOV65" s="609"/>
      <c r="JOW65" s="609"/>
      <c r="JOX65" s="609"/>
      <c r="JOY65" s="609"/>
      <c r="JOZ65" s="609"/>
      <c r="JPA65" s="609"/>
      <c r="JPB65" s="609"/>
      <c r="JPC65" s="609"/>
      <c r="JPD65" s="609"/>
      <c r="JPE65" s="609"/>
      <c r="JPF65" s="609"/>
      <c r="JPG65" s="609"/>
      <c r="JPH65" s="609"/>
      <c r="JPI65" s="609"/>
      <c r="JPJ65" s="609"/>
      <c r="JPK65" s="609"/>
      <c r="JPL65" s="609"/>
      <c r="JPM65" s="609"/>
      <c r="JPN65" s="609"/>
      <c r="JPO65" s="609"/>
      <c r="JPP65" s="609"/>
      <c r="JPQ65" s="609"/>
      <c r="JPR65" s="609"/>
      <c r="JPS65" s="609"/>
      <c r="JPT65" s="609"/>
      <c r="JPU65" s="609"/>
      <c r="JPV65" s="609"/>
      <c r="JPW65" s="609"/>
      <c r="JPX65" s="609"/>
      <c r="JPY65" s="609"/>
      <c r="JPZ65" s="609"/>
      <c r="JQA65" s="609"/>
      <c r="JQB65" s="609"/>
      <c r="JQC65" s="609"/>
      <c r="JQD65" s="609"/>
      <c r="JQE65" s="609"/>
      <c r="JQF65" s="609"/>
      <c r="JQG65" s="609"/>
      <c r="JQH65" s="609"/>
      <c r="JQI65" s="609"/>
      <c r="JQJ65" s="609"/>
      <c r="JQK65" s="609"/>
      <c r="JQL65" s="609"/>
      <c r="JQM65" s="609"/>
      <c r="JQN65" s="609"/>
      <c r="JQO65" s="609"/>
      <c r="JQP65" s="609"/>
      <c r="JQQ65" s="609"/>
      <c r="JQR65" s="609"/>
      <c r="JQS65" s="609"/>
      <c r="JQT65" s="609"/>
      <c r="JQU65" s="609"/>
      <c r="JQV65" s="609"/>
      <c r="JQW65" s="609"/>
      <c r="JQX65" s="609"/>
      <c r="JQY65" s="609"/>
      <c r="JQZ65" s="609"/>
      <c r="JRA65" s="609"/>
      <c r="JRB65" s="609"/>
      <c r="JRC65" s="609"/>
      <c r="JRD65" s="609"/>
      <c r="JRE65" s="609"/>
      <c r="JRF65" s="609"/>
      <c r="JRG65" s="609"/>
      <c r="JRH65" s="609"/>
      <c r="JRI65" s="609"/>
      <c r="JRJ65" s="609"/>
      <c r="JRK65" s="609"/>
      <c r="JRL65" s="609"/>
      <c r="JRM65" s="609"/>
      <c r="JRN65" s="609"/>
      <c r="JRO65" s="609"/>
      <c r="JRP65" s="609"/>
      <c r="JRQ65" s="609"/>
      <c r="JRR65" s="609"/>
      <c r="JRS65" s="609"/>
      <c r="JRT65" s="609"/>
      <c r="JRU65" s="609"/>
      <c r="JRV65" s="609"/>
      <c r="JRW65" s="609"/>
      <c r="JRX65" s="609"/>
      <c r="JRY65" s="609"/>
      <c r="JRZ65" s="609"/>
      <c r="JSA65" s="609"/>
      <c r="JSB65" s="609"/>
      <c r="JSC65" s="609"/>
      <c r="JSD65" s="609"/>
      <c r="JSE65" s="609"/>
      <c r="JSF65" s="609"/>
      <c r="JSG65" s="609"/>
      <c r="JSH65" s="609"/>
      <c r="JSI65" s="609"/>
      <c r="JSJ65" s="609"/>
      <c r="JSK65" s="609"/>
      <c r="JSL65" s="609"/>
      <c r="JSM65" s="609"/>
      <c r="JSN65" s="609"/>
      <c r="JSO65" s="609"/>
      <c r="JSP65" s="609"/>
      <c r="JSQ65" s="609"/>
      <c r="JSR65" s="609"/>
      <c r="JSS65" s="609"/>
      <c r="JST65" s="609"/>
      <c r="JSU65" s="609"/>
      <c r="JSV65" s="609"/>
      <c r="JSW65" s="609"/>
      <c r="JSX65" s="609"/>
      <c r="JSY65" s="609"/>
      <c r="JSZ65" s="609"/>
      <c r="JTA65" s="609"/>
      <c r="JTB65" s="609"/>
      <c r="JTC65" s="609"/>
      <c r="JTD65" s="609"/>
      <c r="JTE65" s="609"/>
      <c r="JTF65" s="609"/>
      <c r="JTG65" s="609"/>
      <c r="JTH65" s="609"/>
      <c r="JTI65" s="609"/>
      <c r="JTJ65" s="609"/>
      <c r="JTK65" s="609"/>
      <c r="JTL65" s="609"/>
      <c r="JTM65" s="609"/>
      <c r="JTN65" s="609"/>
      <c r="JTO65" s="609"/>
      <c r="JTP65" s="609"/>
      <c r="JTQ65" s="609"/>
      <c r="JTR65" s="609"/>
      <c r="JTS65" s="609"/>
      <c r="JTT65" s="609"/>
      <c r="JTU65" s="609"/>
      <c r="JTV65" s="609"/>
      <c r="JTW65" s="609"/>
      <c r="JTX65" s="609"/>
      <c r="JTY65" s="609"/>
      <c r="JTZ65" s="609"/>
      <c r="JUA65" s="609"/>
      <c r="JUB65" s="609"/>
      <c r="JUC65" s="609"/>
      <c r="JUD65" s="609"/>
      <c r="JUE65" s="609"/>
      <c r="JUF65" s="609"/>
      <c r="JUG65" s="609"/>
      <c r="JUH65" s="609"/>
      <c r="JUI65" s="609"/>
      <c r="JUJ65" s="609"/>
      <c r="JUK65" s="609"/>
      <c r="JUL65" s="609"/>
      <c r="JUM65" s="609"/>
      <c r="JUN65" s="609"/>
      <c r="JUO65" s="609"/>
      <c r="JUP65" s="609"/>
      <c r="JUQ65" s="609"/>
      <c r="JUR65" s="609"/>
      <c r="JUS65" s="609"/>
      <c r="JUT65" s="609"/>
      <c r="JUU65" s="609"/>
      <c r="JUV65" s="609"/>
      <c r="JUW65" s="609"/>
      <c r="JUX65" s="609"/>
      <c r="JUY65" s="609"/>
      <c r="JUZ65" s="609"/>
      <c r="JVA65" s="609"/>
      <c r="JVB65" s="609"/>
      <c r="JVC65" s="609"/>
      <c r="JVD65" s="609"/>
      <c r="JVE65" s="609"/>
      <c r="JVF65" s="609"/>
      <c r="JVG65" s="609"/>
      <c r="JVH65" s="609"/>
      <c r="JVI65" s="609"/>
      <c r="JVJ65" s="609"/>
      <c r="JVK65" s="609"/>
      <c r="JVL65" s="609"/>
      <c r="JVM65" s="609"/>
      <c r="JVN65" s="609"/>
      <c r="JVO65" s="609"/>
      <c r="JVP65" s="609"/>
      <c r="JVQ65" s="609"/>
      <c r="JVR65" s="609"/>
      <c r="JVS65" s="609"/>
      <c r="JVT65" s="609"/>
      <c r="JVU65" s="609"/>
      <c r="JVV65" s="609"/>
      <c r="JVW65" s="609"/>
      <c r="JVX65" s="609"/>
      <c r="JVY65" s="609"/>
      <c r="JVZ65" s="609"/>
      <c r="JWA65" s="609"/>
      <c r="JWB65" s="609"/>
      <c r="JWC65" s="609"/>
      <c r="JWD65" s="609"/>
      <c r="JWE65" s="609"/>
      <c r="JWF65" s="609"/>
      <c r="JWG65" s="609"/>
      <c r="JWH65" s="609"/>
      <c r="JWI65" s="609"/>
      <c r="JWJ65" s="609"/>
      <c r="JWK65" s="609"/>
      <c r="JWL65" s="609"/>
      <c r="JWM65" s="609"/>
      <c r="JWN65" s="609"/>
      <c r="JWO65" s="609"/>
      <c r="JWP65" s="609"/>
      <c r="JWQ65" s="609"/>
      <c r="JWR65" s="609"/>
      <c r="JWS65" s="609"/>
      <c r="JWT65" s="609"/>
      <c r="JWU65" s="609"/>
      <c r="JWV65" s="609"/>
      <c r="JWW65" s="609"/>
      <c r="JWX65" s="609"/>
      <c r="JWY65" s="609"/>
      <c r="JWZ65" s="609"/>
      <c r="JXA65" s="609"/>
      <c r="JXB65" s="609"/>
      <c r="JXC65" s="609"/>
      <c r="JXD65" s="609"/>
      <c r="JXE65" s="609"/>
      <c r="JXF65" s="609"/>
      <c r="JXG65" s="609"/>
      <c r="JXH65" s="609"/>
      <c r="JXI65" s="609"/>
      <c r="JXJ65" s="609"/>
      <c r="JXK65" s="609"/>
      <c r="JXL65" s="609"/>
      <c r="JXM65" s="609"/>
      <c r="JXN65" s="609"/>
      <c r="JXO65" s="609"/>
      <c r="JXP65" s="609"/>
      <c r="JXQ65" s="609"/>
      <c r="JXR65" s="609"/>
      <c r="JXS65" s="609"/>
      <c r="JXT65" s="609"/>
      <c r="JXU65" s="609"/>
      <c r="JXV65" s="609"/>
      <c r="JXW65" s="609"/>
      <c r="JXX65" s="609"/>
      <c r="JXY65" s="609"/>
      <c r="JXZ65" s="609"/>
      <c r="JYA65" s="609"/>
      <c r="JYB65" s="609"/>
      <c r="JYC65" s="609"/>
      <c r="JYD65" s="609"/>
      <c r="JYE65" s="609"/>
      <c r="JYF65" s="609"/>
      <c r="JYG65" s="609"/>
      <c r="JYH65" s="609"/>
      <c r="JYI65" s="609"/>
      <c r="JYJ65" s="609"/>
      <c r="JYK65" s="609"/>
      <c r="JYL65" s="609"/>
      <c r="JYM65" s="609"/>
      <c r="JYN65" s="609"/>
      <c r="JYO65" s="609"/>
      <c r="JYP65" s="609"/>
      <c r="JYQ65" s="609"/>
      <c r="JYR65" s="609"/>
      <c r="JYS65" s="609"/>
      <c r="JYT65" s="609"/>
      <c r="JYU65" s="609"/>
      <c r="JYV65" s="609"/>
      <c r="JYW65" s="609"/>
      <c r="JYX65" s="609"/>
      <c r="JYY65" s="609"/>
      <c r="JYZ65" s="609"/>
      <c r="JZA65" s="609"/>
      <c r="JZB65" s="609"/>
      <c r="JZC65" s="609"/>
      <c r="JZD65" s="609"/>
      <c r="JZE65" s="609"/>
      <c r="JZF65" s="609"/>
      <c r="JZG65" s="609"/>
      <c r="JZH65" s="609"/>
      <c r="JZI65" s="609"/>
      <c r="JZJ65" s="609"/>
      <c r="JZK65" s="609"/>
      <c r="JZL65" s="609"/>
      <c r="JZM65" s="609"/>
      <c r="JZN65" s="609"/>
      <c r="JZO65" s="609"/>
      <c r="JZP65" s="609"/>
      <c r="JZQ65" s="609"/>
      <c r="JZR65" s="609"/>
      <c r="JZS65" s="609"/>
      <c r="JZT65" s="609"/>
      <c r="JZU65" s="609"/>
      <c r="JZV65" s="609"/>
      <c r="JZW65" s="609"/>
      <c r="JZX65" s="609"/>
      <c r="JZY65" s="609"/>
      <c r="JZZ65" s="609"/>
      <c r="KAA65" s="609"/>
      <c r="KAB65" s="609"/>
      <c r="KAC65" s="609"/>
      <c r="KAD65" s="609"/>
      <c r="KAE65" s="609"/>
      <c r="KAF65" s="609"/>
      <c r="KAG65" s="609"/>
      <c r="KAH65" s="609"/>
      <c r="KAI65" s="609"/>
      <c r="KAJ65" s="609"/>
      <c r="KAK65" s="609"/>
      <c r="KAL65" s="609"/>
      <c r="KAM65" s="609"/>
      <c r="KAN65" s="609"/>
      <c r="KAO65" s="609"/>
      <c r="KAP65" s="609"/>
      <c r="KAQ65" s="609"/>
      <c r="KAR65" s="609"/>
      <c r="KAS65" s="609"/>
      <c r="KAT65" s="609"/>
      <c r="KAU65" s="609"/>
      <c r="KAV65" s="609"/>
      <c r="KAW65" s="609"/>
      <c r="KAX65" s="609"/>
      <c r="KAY65" s="609"/>
      <c r="KAZ65" s="609"/>
      <c r="KBA65" s="609"/>
      <c r="KBB65" s="609"/>
      <c r="KBC65" s="609"/>
      <c r="KBD65" s="609"/>
      <c r="KBE65" s="609"/>
      <c r="KBF65" s="609"/>
      <c r="KBG65" s="609"/>
      <c r="KBH65" s="609"/>
      <c r="KBI65" s="609"/>
      <c r="KBJ65" s="609"/>
      <c r="KBK65" s="609"/>
      <c r="KBL65" s="609"/>
      <c r="KBM65" s="609"/>
      <c r="KBN65" s="609"/>
      <c r="KBO65" s="609"/>
      <c r="KBP65" s="609"/>
      <c r="KBQ65" s="609"/>
      <c r="KBR65" s="609"/>
      <c r="KBS65" s="609"/>
      <c r="KBT65" s="609"/>
      <c r="KBU65" s="609"/>
      <c r="KBV65" s="609"/>
      <c r="KBW65" s="609"/>
      <c r="KBX65" s="609"/>
      <c r="KBY65" s="609"/>
      <c r="KBZ65" s="609"/>
      <c r="KCA65" s="609"/>
      <c r="KCB65" s="609"/>
      <c r="KCC65" s="609"/>
      <c r="KCD65" s="609"/>
      <c r="KCE65" s="609"/>
      <c r="KCF65" s="609"/>
      <c r="KCG65" s="609"/>
      <c r="KCH65" s="609"/>
      <c r="KCI65" s="609"/>
      <c r="KCJ65" s="609"/>
      <c r="KCK65" s="609"/>
      <c r="KCL65" s="609"/>
      <c r="KCM65" s="609"/>
      <c r="KCN65" s="609"/>
      <c r="KCO65" s="609"/>
      <c r="KCP65" s="609"/>
      <c r="KCQ65" s="609"/>
      <c r="KCR65" s="609"/>
      <c r="KCS65" s="609"/>
      <c r="KCT65" s="609"/>
      <c r="KCU65" s="609"/>
      <c r="KCV65" s="609"/>
      <c r="KCW65" s="609"/>
      <c r="KCX65" s="609"/>
      <c r="KCY65" s="609"/>
      <c r="KCZ65" s="609"/>
      <c r="KDA65" s="609"/>
      <c r="KDB65" s="609"/>
      <c r="KDC65" s="609"/>
      <c r="KDD65" s="609"/>
      <c r="KDE65" s="609"/>
      <c r="KDF65" s="609"/>
      <c r="KDG65" s="609"/>
      <c r="KDH65" s="609"/>
      <c r="KDI65" s="609"/>
      <c r="KDJ65" s="609"/>
      <c r="KDK65" s="609"/>
      <c r="KDL65" s="609"/>
      <c r="KDM65" s="609"/>
      <c r="KDN65" s="609"/>
      <c r="KDO65" s="609"/>
      <c r="KDP65" s="609"/>
      <c r="KDQ65" s="609"/>
      <c r="KDR65" s="609"/>
      <c r="KDS65" s="609"/>
      <c r="KDT65" s="609"/>
      <c r="KDU65" s="609"/>
      <c r="KDV65" s="609"/>
      <c r="KDW65" s="609"/>
      <c r="KDX65" s="609"/>
      <c r="KDY65" s="609"/>
      <c r="KDZ65" s="609"/>
      <c r="KEA65" s="609"/>
      <c r="KEB65" s="609"/>
      <c r="KEC65" s="609"/>
      <c r="KED65" s="609"/>
      <c r="KEE65" s="609"/>
      <c r="KEF65" s="609"/>
      <c r="KEG65" s="609"/>
      <c r="KEH65" s="609"/>
      <c r="KEI65" s="609"/>
      <c r="KEJ65" s="609"/>
      <c r="KEK65" s="609"/>
      <c r="KEL65" s="609"/>
      <c r="KEM65" s="609"/>
      <c r="KEN65" s="609"/>
      <c r="KEO65" s="609"/>
      <c r="KEP65" s="609"/>
      <c r="KEQ65" s="609"/>
      <c r="KER65" s="609"/>
      <c r="KES65" s="609"/>
      <c r="KET65" s="609"/>
      <c r="KEU65" s="609"/>
      <c r="KEV65" s="609"/>
      <c r="KEW65" s="609"/>
      <c r="KEX65" s="609"/>
      <c r="KEY65" s="609"/>
      <c r="KEZ65" s="609"/>
      <c r="KFA65" s="609"/>
      <c r="KFB65" s="609"/>
      <c r="KFC65" s="609"/>
      <c r="KFD65" s="609"/>
      <c r="KFE65" s="609"/>
      <c r="KFF65" s="609"/>
      <c r="KFG65" s="609"/>
      <c r="KFH65" s="609"/>
      <c r="KFI65" s="609"/>
      <c r="KFJ65" s="609"/>
      <c r="KFK65" s="609"/>
      <c r="KFL65" s="609"/>
      <c r="KFM65" s="609"/>
      <c r="KFN65" s="609"/>
      <c r="KFO65" s="609"/>
      <c r="KFP65" s="609"/>
      <c r="KFQ65" s="609"/>
      <c r="KFR65" s="609"/>
      <c r="KFS65" s="609"/>
      <c r="KFT65" s="609"/>
      <c r="KFU65" s="609"/>
      <c r="KFV65" s="609"/>
      <c r="KFW65" s="609"/>
      <c r="KFX65" s="609"/>
      <c r="KFY65" s="609"/>
      <c r="KFZ65" s="609"/>
      <c r="KGA65" s="609"/>
      <c r="KGB65" s="609"/>
      <c r="KGC65" s="609"/>
      <c r="KGD65" s="609"/>
      <c r="KGE65" s="609"/>
      <c r="KGF65" s="609"/>
      <c r="KGG65" s="609"/>
      <c r="KGH65" s="609"/>
      <c r="KGI65" s="609"/>
      <c r="KGJ65" s="609"/>
      <c r="KGK65" s="609"/>
      <c r="KGL65" s="609"/>
      <c r="KGM65" s="609"/>
      <c r="KGN65" s="609"/>
      <c r="KGO65" s="609"/>
      <c r="KGP65" s="609"/>
      <c r="KGQ65" s="609"/>
      <c r="KGR65" s="609"/>
      <c r="KGS65" s="609"/>
      <c r="KGT65" s="609"/>
      <c r="KGU65" s="609"/>
      <c r="KGV65" s="609"/>
      <c r="KGW65" s="609"/>
      <c r="KGX65" s="609"/>
      <c r="KGY65" s="609"/>
      <c r="KGZ65" s="609"/>
      <c r="KHA65" s="609"/>
      <c r="KHB65" s="609"/>
      <c r="KHC65" s="609"/>
      <c r="KHD65" s="609"/>
      <c r="KHE65" s="609"/>
      <c r="KHF65" s="609"/>
      <c r="KHG65" s="609"/>
      <c r="KHH65" s="609"/>
      <c r="KHI65" s="609"/>
      <c r="KHJ65" s="609"/>
      <c r="KHK65" s="609"/>
      <c r="KHL65" s="609"/>
      <c r="KHM65" s="609"/>
      <c r="KHN65" s="609"/>
      <c r="KHO65" s="609"/>
      <c r="KHP65" s="609"/>
      <c r="KHQ65" s="609"/>
      <c r="KHR65" s="609"/>
      <c r="KHS65" s="609"/>
      <c r="KHT65" s="609"/>
      <c r="KHU65" s="609"/>
      <c r="KHV65" s="609"/>
      <c r="KHW65" s="609"/>
      <c r="KHX65" s="609"/>
      <c r="KHY65" s="609"/>
      <c r="KHZ65" s="609"/>
      <c r="KIA65" s="609"/>
      <c r="KIB65" s="609"/>
      <c r="KIC65" s="609"/>
      <c r="KID65" s="609"/>
      <c r="KIE65" s="609"/>
      <c r="KIF65" s="609"/>
      <c r="KIG65" s="609"/>
      <c r="KIH65" s="609"/>
      <c r="KII65" s="609"/>
      <c r="KIJ65" s="609"/>
      <c r="KIK65" s="609"/>
      <c r="KIL65" s="609"/>
      <c r="KIM65" s="609"/>
      <c r="KIN65" s="609"/>
      <c r="KIO65" s="609"/>
      <c r="KIP65" s="609"/>
      <c r="KIQ65" s="609"/>
      <c r="KIR65" s="609"/>
      <c r="KIS65" s="609"/>
      <c r="KIT65" s="609"/>
      <c r="KIU65" s="609"/>
      <c r="KIV65" s="609"/>
      <c r="KIW65" s="609"/>
      <c r="KIX65" s="609"/>
      <c r="KIY65" s="609"/>
      <c r="KIZ65" s="609"/>
      <c r="KJA65" s="609"/>
      <c r="KJB65" s="609"/>
      <c r="KJC65" s="609"/>
      <c r="KJD65" s="609"/>
      <c r="KJE65" s="609"/>
      <c r="KJF65" s="609"/>
      <c r="KJG65" s="609"/>
      <c r="KJH65" s="609"/>
      <c r="KJI65" s="609"/>
      <c r="KJJ65" s="609"/>
      <c r="KJK65" s="609"/>
      <c r="KJL65" s="609"/>
      <c r="KJM65" s="609"/>
      <c r="KJN65" s="609"/>
      <c r="KJO65" s="609"/>
      <c r="KJP65" s="609"/>
      <c r="KJQ65" s="609"/>
      <c r="KJR65" s="609"/>
      <c r="KJS65" s="609"/>
      <c r="KJT65" s="609"/>
      <c r="KJU65" s="609"/>
      <c r="KJV65" s="609"/>
      <c r="KJW65" s="609"/>
      <c r="KJX65" s="609"/>
      <c r="KJY65" s="609"/>
      <c r="KJZ65" s="609"/>
      <c r="KKA65" s="609"/>
      <c r="KKB65" s="609"/>
      <c r="KKC65" s="609"/>
      <c r="KKD65" s="609"/>
      <c r="KKE65" s="609"/>
      <c r="KKF65" s="609"/>
      <c r="KKG65" s="609"/>
      <c r="KKH65" s="609"/>
      <c r="KKI65" s="609"/>
      <c r="KKJ65" s="609"/>
      <c r="KKK65" s="609"/>
      <c r="KKL65" s="609"/>
      <c r="KKM65" s="609"/>
      <c r="KKN65" s="609"/>
      <c r="KKO65" s="609"/>
      <c r="KKP65" s="609"/>
      <c r="KKQ65" s="609"/>
      <c r="KKR65" s="609"/>
      <c r="KKS65" s="609"/>
      <c r="KKT65" s="609"/>
      <c r="KKU65" s="609"/>
      <c r="KKV65" s="609"/>
      <c r="KKW65" s="609"/>
      <c r="KKX65" s="609"/>
      <c r="KKY65" s="609"/>
      <c r="KKZ65" s="609"/>
      <c r="KLA65" s="609"/>
      <c r="KLB65" s="609"/>
      <c r="KLC65" s="609"/>
      <c r="KLD65" s="609"/>
      <c r="KLE65" s="609"/>
      <c r="KLF65" s="609"/>
      <c r="KLG65" s="609"/>
      <c r="KLH65" s="609"/>
      <c r="KLI65" s="609"/>
      <c r="KLJ65" s="609"/>
      <c r="KLK65" s="609"/>
      <c r="KLL65" s="609"/>
      <c r="KLM65" s="609"/>
      <c r="KLN65" s="609"/>
      <c r="KLO65" s="609"/>
      <c r="KLP65" s="609"/>
      <c r="KLQ65" s="609"/>
      <c r="KLR65" s="609"/>
      <c r="KLS65" s="609"/>
      <c r="KLT65" s="609"/>
      <c r="KLU65" s="609"/>
      <c r="KLV65" s="609"/>
      <c r="KLW65" s="609"/>
      <c r="KLX65" s="609"/>
      <c r="KLY65" s="609"/>
      <c r="KLZ65" s="609"/>
      <c r="KMA65" s="609"/>
      <c r="KMB65" s="609"/>
      <c r="KMC65" s="609"/>
      <c r="KMD65" s="609"/>
      <c r="KME65" s="609"/>
      <c r="KMF65" s="609"/>
      <c r="KMG65" s="609"/>
      <c r="KMH65" s="609"/>
      <c r="KMI65" s="609"/>
      <c r="KMJ65" s="609"/>
      <c r="KMK65" s="609"/>
      <c r="KML65" s="609"/>
      <c r="KMM65" s="609"/>
      <c r="KMN65" s="609"/>
      <c r="KMO65" s="609"/>
      <c r="KMP65" s="609"/>
      <c r="KMQ65" s="609"/>
      <c r="KMR65" s="609"/>
      <c r="KMS65" s="609"/>
      <c r="KMT65" s="609"/>
      <c r="KMU65" s="609"/>
      <c r="KMV65" s="609"/>
      <c r="KMW65" s="609"/>
      <c r="KMX65" s="609"/>
      <c r="KMY65" s="609"/>
      <c r="KMZ65" s="609"/>
      <c r="KNA65" s="609"/>
      <c r="KNB65" s="609"/>
      <c r="KNC65" s="609"/>
      <c r="KND65" s="609"/>
      <c r="KNE65" s="609"/>
      <c r="KNF65" s="609"/>
      <c r="KNG65" s="609"/>
      <c r="KNH65" s="609"/>
      <c r="KNI65" s="609"/>
      <c r="KNJ65" s="609"/>
      <c r="KNK65" s="609"/>
      <c r="KNL65" s="609"/>
      <c r="KNM65" s="609"/>
      <c r="KNN65" s="609"/>
      <c r="KNO65" s="609"/>
      <c r="KNP65" s="609"/>
      <c r="KNQ65" s="609"/>
      <c r="KNR65" s="609"/>
      <c r="KNS65" s="609"/>
      <c r="KNT65" s="609"/>
      <c r="KNU65" s="609"/>
      <c r="KNV65" s="609"/>
      <c r="KNW65" s="609"/>
      <c r="KNX65" s="609"/>
      <c r="KNY65" s="609"/>
      <c r="KNZ65" s="609"/>
      <c r="KOA65" s="609"/>
      <c r="KOB65" s="609"/>
      <c r="KOC65" s="609"/>
      <c r="KOD65" s="609"/>
      <c r="KOE65" s="609"/>
      <c r="KOF65" s="609"/>
      <c r="KOG65" s="609"/>
      <c r="KOH65" s="609"/>
      <c r="KOI65" s="609"/>
      <c r="KOJ65" s="609"/>
      <c r="KOK65" s="609"/>
      <c r="KOL65" s="609"/>
      <c r="KOM65" s="609"/>
      <c r="KON65" s="609"/>
      <c r="KOO65" s="609"/>
      <c r="KOP65" s="609"/>
      <c r="KOQ65" s="609"/>
      <c r="KOR65" s="609"/>
      <c r="KOS65" s="609"/>
      <c r="KOT65" s="609"/>
      <c r="KOU65" s="609"/>
      <c r="KOV65" s="609"/>
      <c r="KOW65" s="609"/>
      <c r="KOX65" s="609"/>
      <c r="KOY65" s="609"/>
      <c r="KOZ65" s="609"/>
      <c r="KPA65" s="609"/>
      <c r="KPB65" s="609"/>
      <c r="KPC65" s="609"/>
      <c r="KPD65" s="609"/>
      <c r="KPE65" s="609"/>
      <c r="KPF65" s="609"/>
      <c r="KPG65" s="609"/>
      <c r="KPH65" s="609"/>
      <c r="KPI65" s="609"/>
      <c r="KPJ65" s="609"/>
      <c r="KPK65" s="609"/>
      <c r="KPL65" s="609"/>
      <c r="KPM65" s="609"/>
      <c r="KPN65" s="609"/>
      <c r="KPO65" s="609"/>
      <c r="KPP65" s="609"/>
      <c r="KPQ65" s="609"/>
      <c r="KPR65" s="609"/>
      <c r="KPS65" s="609"/>
      <c r="KPT65" s="609"/>
      <c r="KPU65" s="609"/>
      <c r="KPV65" s="609"/>
      <c r="KPW65" s="609"/>
      <c r="KPX65" s="609"/>
      <c r="KPY65" s="609"/>
      <c r="KPZ65" s="609"/>
      <c r="KQA65" s="609"/>
      <c r="KQB65" s="609"/>
      <c r="KQC65" s="609"/>
      <c r="KQD65" s="609"/>
      <c r="KQE65" s="609"/>
      <c r="KQF65" s="609"/>
      <c r="KQG65" s="609"/>
      <c r="KQH65" s="609"/>
      <c r="KQI65" s="609"/>
      <c r="KQJ65" s="609"/>
      <c r="KQK65" s="609"/>
      <c r="KQL65" s="609"/>
      <c r="KQM65" s="609"/>
      <c r="KQN65" s="609"/>
      <c r="KQO65" s="609"/>
      <c r="KQP65" s="609"/>
      <c r="KQQ65" s="609"/>
      <c r="KQR65" s="609"/>
      <c r="KQS65" s="609"/>
      <c r="KQT65" s="609"/>
      <c r="KQU65" s="609"/>
      <c r="KQV65" s="609"/>
      <c r="KQW65" s="609"/>
      <c r="KQX65" s="609"/>
      <c r="KQY65" s="609"/>
      <c r="KQZ65" s="609"/>
      <c r="KRA65" s="609"/>
      <c r="KRB65" s="609"/>
      <c r="KRC65" s="609"/>
      <c r="KRD65" s="609"/>
      <c r="KRE65" s="609"/>
      <c r="KRF65" s="609"/>
      <c r="KRG65" s="609"/>
      <c r="KRH65" s="609"/>
      <c r="KRI65" s="609"/>
      <c r="KRJ65" s="609"/>
      <c r="KRK65" s="609"/>
      <c r="KRL65" s="609"/>
      <c r="KRM65" s="609"/>
      <c r="KRN65" s="609"/>
      <c r="KRO65" s="609"/>
      <c r="KRP65" s="609"/>
      <c r="KRQ65" s="609"/>
      <c r="KRR65" s="609"/>
      <c r="KRS65" s="609"/>
      <c r="KRT65" s="609"/>
      <c r="KRU65" s="609"/>
      <c r="KRV65" s="609"/>
      <c r="KRW65" s="609"/>
      <c r="KRX65" s="609"/>
      <c r="KRY65" s="609"/>
      <c r="KRZ65" s="609"/>
      <c r="KSA65" s="609"/>
      <c r="KSB65" s="609"/>
      <c r="KSC65" s="609"/>
      <c r="KSD65" s="609"/>
      <c r="KSE65" s="609"/>
      <c r="KSF65" s="609"/>
      <c r="KSG65" s="609"/>
      <c r="KSH65" s="609"/>
      <c r="KSI65" s="609"/>
      <c r="KSJ65" s="609"/>
      <c r="KSK65" s="609"/>
      <c r="KSL65" s="609"/>
      <c r="KSM65" s="609"/>
      <c r="KSN65" s="609"/>
      <c r="KSO65" s="609"/>
      <c r="KSP65" s="609"/>
      <c r="KSQ65" s="609"/>
      <c r="KSR65" s="609"/>
      <c r="KSS65" s="609"/>
      <c r="KST65" s="609"/>
      <c r="KSU65" s="609"/>
      <c r="KSV65" s="609"/>
      <c r="KSW65" s="609"/>
      <c r="KSX65" s="609"/>
      <c r="KSY65" s="609"/>
      <c r="KSZ65" s="609"/>
      <c r="KTA65" s="609"/>
      <c r="KTB65" s="609"/>
      <c r="KTC65" s="609"/>
      <c r="KTD65" s="609"/>
      <c r="KTE65" s="609"/>
      <c r="KTF65" s="609"/>
      <c r="KTG65" s="609"/>
      <c r="KTH65" s="609"/>
      <c r="KTI65" s="609"/>
      <c r="KTJ65" s="609"/>
      <c r="KTK65" s="609"/>
      <c r="KTL65" s="609"/>
      <c r="KTM65" s="609"/>
      <c r="KTN65" s="609"/>
      <c r="KTO65" s="609"/>
      <c r="KTP65" s="609"/>
      <c r="KTQ65" s="609"/>
      <c r="KTR65" s="609"/>
      <c r="KTS65" s="609"/>
      <c r="KTT65" s="609"/>
      <c r="KTU65" s="609"/>
      <c r="KTV65" s="609"/>
      <c r="KTW65" s="609"/>
      <c r="KTX65" s="609"/>
      <c r="KTY65" s="609"/>
      <c r="KTZ65" s="609"/>
      <c r="KUA65" s="609"/>
      <c r="KUB65" s="609"/>
      <c r="KUC65" s="609"/>
      <c r="KUD65" s="609"/>
      <c r="KUE65" s="609"/>
      <c r="KUF65" s="609"/>
      <c r="KUG65" s="609"/>
      <c r="KUH65" s="609"/>
      <c r="KUI65" s="609"/>
      <c r="KUJ65" s="609"/>
      <c r="KUK65" s="609"/>
      <c r="KUL65" s="609"/>
      <c r="KUM65" s="609"/>
      <c r="KUN65" s="609"/>
      <c r="KUO65" s="609"/>
      <c r="KUP65" s="609"/>
      <c r="KUQ65" s="609"/>
      <c r="KUR65" s="609"/>
      <c r="KUS65" s="609"/>
      <c r="KUT65" s="609"/>
      <c r="KUU65" s="609"/>
      <c r="KUV65" s="609"/>
      <c r="KUW65" s="609"/>
      <c r="KUX65" s="609"/>
      <c r="KUY65" s="609"/>
      <c r="KUZ65" s="609"/>
      <c r="KVA65" s="609"/>
      <c r="KVB65" s="609"/>
      <c r="KVC65" s="609"/>
      <c r="KVD65" s="609"/>
      <c r="KVE65" s="609"/>
      <c r="KVF65" s="609"/>
      <c r="KVG65" s="609"/>
      <c r="KVH65" s="609"/>
      <c r="KVI65" s="609"/>
      <c r="KVJ65" s="609"/>
      <c r="KVK65" s="609"/>
      <c r="KVL65" s="609"/>
      <c r="KVM65" s="609"/>
      <c r="KVN65" s="609"/>
      <c r="KVO65" s="609"/>
      <c r="KVP65" s="609"/>
      <c r="KVQ65" s="609"/>
      <c r="KVR65" s="609"/>
      <c r="KVS65" s="609"/>
      <c r="KVT65" s="609"/>
      <c r="KVU65" s="609"/>
      <c r="KVV65" s="609"/>
      <c r="KVW65" s="609"/>
      <c r="KVX65" s="609"/>
      <c r="KVY65" s="609"/>
      <c r="KVZ65" s="609"/>
      <c r="KWA65" s="609"/>
      <c r="KWB65" s="609"/>
      <c r="KWC65" s="609"/>
      <c r="KWD65" s="609"/>
      <c r="KWE65" s="609"/>
      <c r="KWF65" s="609"/>
      <c r="KWG65" s="609"/>
      <c r="KWH65" s="609"/>
      <c r="KWI65" s="609"/>
      <c r="KWJ65" s="609"/>
      <c r="KWK65" s="609"/>
      <c r="KWL65" s="609"/>
      <c r="KWM65" s="609"/>
      <c r="KWN65" s="609"/>
      <c r="KWO65" s="609"/>
      <c r="KWP65" s="609"/>
      <c r="KWQ65" s="609"/>
      <c r="KWR65" s="609"/>
      <c r="KWS65" s="609"/>
      <c r="KWT65" s="609"/>
      <c r="KWU65" s="609"/>
      <c r="KWV65" s="609"/>
      <c r="KWW65" s="609"/>
      <c r="KWX65" s="609"/>
      <c r="KWY65" s="609"/>
      <c r="KWZ65" s="609"/>
      <c r="KXA65" s="609"/>
      <c r="KXB65" s="609"/>
      <c r="KXC65" s="609"/>
      <c r="KXD65" s="609"/>
      <c r="KXE65" s="609"/>
      <c r="KXF65" s="609"/>
      <c r="KXG65" s="609"/>
      <c r="KXH65" s="609"/>
      <c r="KXI65" s="609"/>
      <c r="KXJ65" s="609"/>
      <c r="KXK65" s="609"/>
      <c r="KXL65" s="609"/>
      <c r="KXM65" s="609"/>
      <c r="KXN65" s="609"/>
      <c r="KXO65" s="609"/>
      <c r="KXP65" s="609"/>
      <c r="KXQ65" s="609"/>
      <c r="KXR65" s="609"/>
      <c r="KXS65" s="609"/>
      <c r="KXT65" s="609"/>
      <c r="KXU65" s="609"/>
      <c r="KXV65" s="609"/>
      <c r="KXW65" s="609"/>
      <c r="KXX65" s="609"/>
      <c r="KXY65" s="609"/>
      <c r="KXZ65" s="609"/>
      <c r="KYA65" s="609"/>
      <c r="KYB65" s="609"/>
      <c r="KYC65" s="609"/>
      <c r="KYD65" s="609"/>
      <c r="KYE65" s="609"/>
      <c r="KYF65" s="609"/>
      <c r="KYG65" s="609"/>
      <c r="KYH65" s="609"/>
      <c r="KYI65" s="609"/>
      <c r="KYJ65" s="609"/>
      <c r="KYK65" s="609"/>
      <c r="KYL65" s="609"/>
      <c r="KYM65" s="609"/>
      <c r="KYN65" s="609"/>
      <c r="KYO65" s="609"/>
      <c r="KYP65" s="609"/>
      <c r="KYQ65" s="609"/>
      <c r="KYR65" s="609"/>
      <c r="KYS65" s="609"/>
      <c r="KYT65" s="609"/>
      <c r="KYU65" s="609"/>
      <c r="KYV65" s="609"/>
      <c r="KYW65" s="609"/>
      <c r="KYX65" s="609"/>
      <c r="KYY65" s="609"/>
      <c r="KYZ65" s="609"/>
      <c r="KZA65" s="609"/>
      <c r="KZB65" s="609"/>
      <c r="KZC65" s="609"/>
      <c r="KZD65" s="609"/>
      <c r="KZE65" s="609"/>
      <c r="KZF65" s="609"/>
      <c r="KZG65" s="609"/>
      <c r="KZH65" s="609"/>
      <c r="KZI65" s="609"/>
      <c r="KZJ65" s="609"/>
      <c r="KZK65" s="609"/>
      <c r="KZL65" s="609"/>
      <c r="KZM65" s="609"/>
      <c r="KZN65" s="609"/>
      <c r="KZO65" s="609"/>
      <c r="KZP65" s="609"/>
      <c r="KZQ65" s="609"/>
      <c r="KZR65" s="609"/>
      <c r="KZS65" s="609"/>
      <c r="KZT65" s="609"/>
      <c r="KZU65" s="609"/>
      <c r="KZV65" s="609"/>
      <c r="KZW65" s="609"/>
      <c r="KZX65" s="609"/>
      <c r="KZY65" s="609"/>
      <c r="KZZ65" s="609"/>
      <c r="LAA65" s="609"/>
      <c r="LAB65" s="609"/>
      <c r="LAC65" s="609"/>
      <c r="LAD65" s="609"/>
      <c r="LAE65" s="609"/>
      <c r="LAF65" s="609"/>
      <c r="LAG65" s="609"/>
      <c r="LAH65" s="609"/>
      <c r="LAI65" s="609"/>
      <c r="LAJ65" s="609"/>
      <c r="LAK65" s="609"/>
      <c r="LAL65" s="609"/>
      <c r="LAM65" s="609"/>
      <c r="LAN65" s="609"/>
      <c r="LAO65" s="609"/>
      <c r="LAP65" s="609"/>
      <c r="LAQ65" s="609"/>
      <c r="LAR65" s="609"/>
      <c r="LAS65" s="609"/>
      <c r="LAT65" s="609"/>
      <c r="LAU65" s="609"/>
      <c r="LAV65" s="609"/>
      <c r="LAW65" s="609"/>
      <c r="LAX65" s="609"/>
      <c r="LAY65" s="609"/>
      <c r="LAZ65" s="609"/>
      <c r="LBA65" s="609"/>
      <c r="LBB65" s="609"/>
      <c r="LBC65" s="609"/>
      <c r="LBD65" s="609"/>
      <c r="LBE65" s="609"/>
      <c r="LBF65" s="609"/>
      <c r="LBG65" s="609"/>
      <c r="LBH65" s="609"/>
      <c r="LBI65" s="609"/>
      <c r="LBJ65" s="609"/>
      <c r="LBK65" s="609"/>
      <c r="LBL65" s="609"/>
      <c r="LBM65" s="609"/>
      <c r="LBN65" s="609"/>
      <c r="LBO65" s="609"/>
      <c r="LBP65" s="609"/>
      <c r="LBQ65" s="609"/>
      <c r="LBR65" s="609"/>
      <c r="LBS65" s="609"/>
      <c r="LBT65" s="609"/>
      <c r="LBU65" s="609"/>
      <c r="LBV65" s="609"/>
      <c r="LBW65" s="609"/>
      <c r="LBX65" s="609"/>
      <c r="LBY65" s="609"/>
      <c r="LBZ65" s="609"/>
      <c r="LCA65" s="609"/>
      <c r="LCB65" s="609"/>
      <c r="LCC65" s="609"/>
      <c r="LCD65" s="609"/>
      <c r="LCE65" s="609"/>
      <c r="LCF65" s="609"/>
      <c r="LCG65" s="609"/>
      <c r="LCH65" s="609"/>
      <c r="LCI65" s="609"/>
      <c r="LCJ65" s="609"/>
      <c r="LCK65" s="609"/>
      <c r="LCL65" s="609"/>
      <c r="LCM65" s="609"/>
      <c r="LCN65" s="609"/>
      <c r="LCO65" s="609"/>
      <c r="LCP65" s="609"/>
      <c r="LCQ65" s="609"/>
      <c r="LCR65" s="609"/>
      <c r="LCS65" s="609"/>
      <c r="LCT65" s="609"/>
      <c r="LCU65" s="609"/>
      <c r="LCV65" s="609"/>
      <c r="LCW65" s="609"/>
      <c r="LCX65" s="609"/>
      <c r="LCY65" s="609"/>
      <c r="LCZ65" s="609"/>
      <c r="LDA65" s="609"/>
      <c r="LDB65" s="609"/>
      <c r="LDC65" s="609"/>
      <c r="LDD65" s="609"/>
      <c r="LDE65" s="609"/>
      <c r="LDF65" s="609"/>
      <c r="LDG65" s="609"/>
      <c r="LDH65" s="609"/>
      <c r="LDI65" s="609"/>
      <c r="LDJ65" s="609"/>
      <c r="LDK65" s="609"/>
      <c r="LDL65" s="609"/>
      <c r="LDM65" s="609"/>
      <c r="LDN65" s="609"/>
      <c r="LDO65" s="609"/>
      <c r="LDP65" s="609"/>
      <c r="LDQ65" s="609"/>
      <c r="LDR65" s="609"/>
      <c r="LDS65" s="609"/>
      <c r="LDT65" s="609"/>
      <c r="LDU65" s="609"/>
      <c r="LDV65" s="609"/>
      <c r="LDW65" s="609"/>
      <c r="LDX65" s="609"/>
      <c r="LDY65" s="609"/>
      <c r="LDZ65" s="609"/>
      <c r="LEA65" s="609"/>
      <c r="LEB65" s="609"/>
      <c r="LEC65" s="609"/>
      <c r="LED65" s="609"/>
      <c r="LEE65" s="609"/>
      <c r="LEF65" s="609"/>
      <c r="LEG65" s="609"/>
      <c r="LEH65" s="609"/>
      <c r="LEI65" s="609"/>
      <c r="LEJ65" s="609"/>
      <c r="LEK65" s="609"/>
      <c r="LEL65" s="609"/>
      <c r="LEM65" s="609"/>
      <c r="LEN65" s="609"/>
      <c r="LEO65" s="609"/>
      <c r="LEP65" s="609"/>
      <c r="LEQ65" s="609"/>
      <c r="LER65" s="609"/>
      <c r="LES65" s="609"/>
      <c r="LET65" s="609"/>
      <c r="LEU65" s="609"/>
      <c r="LEV65" s="609"/>
      <c r="LEW65" s="609"/>
      <c r="LEX65" s="609"/>
      <c r="LEY65" s="609"/>
      <c r="LEZ65" s="609"/>
      <c r="LFA65" s="609"/>
      <c r="LFB65" s="609"/>
      <c r="LFC65" s="609"/>
      <c r="LFD65" s="609"/>
      <c r="LFE65" s="609"/>
      <c r="LFF65" s="609"/>
      <c r="LFG65" s="609"/>
      <c r="LFH65" s="609"/>
      <c r="LFI65" s="609"/>
      <c r="LFJ65" s="609"/>
      <c r="LFK65" s="609"/>
      <c r="LFL65" s="609"/>
      <c r="LFM65" s="609"/>
      <c r="LFN65" s="609"/>
      <c r="LFO65" s="609"/>
      <c r="LFP65" s="609"/>
      <c r="LFQ65" s="609"/>
      <c r="LFR65" s="609"/>
      <c r="LFS65" s="609"/>
      <c r="LFT65" s="609"/>
      <c r="LFU65" s="609"/>
      <c r="LFV65" s="609"/>
      <c r="LFW65" s="609"/>
      <c r="LFX65" s="609"/>
      <c r="LFY65" s="609"/>
      <c r="LFZ65" s="609"/>
      <c r="LGA65" s="609"/>
      <c r="LGB65" s="609"/>
      <c r="LGC65" s="609"/>
      <c r="LGD65" s="609"/>
      <c r="LGE65" s="609"/>
      <c r="LGF65" s="609"/>
      <c r="LGG65" s="609"/>
      <c r="LGH65" s="609"/>
      <c r="LGI65" s="609"/>
      <c r="LGJ65" s="609"/>
      <c r="LGK65" s="609"/>
      <c r="LGL65" s="609"/>
      <c r="LGM65" s="609"/>
      <c r="LGN65" s="609"/>
      <c r="LGO65" s="609"/>
      <c r="LGP65" s="609"/>
      <c r="LGQ65" s="609"/>
      <c r="LGR65" s="609"/>
      <c r="LGS65" s="609"/>
      <c r="LGT65" s="609"/>
      <c r="LGU65" s="609"/>
      <c r="LGV65" s="609"/>
      <c r="LGW65" s="609"/>
      <c r="LGX65" s="609"/>
      <c r="LGY65" s="609"/>
      <c r="LGZ65" s="609"/>
      <c r="LHA65" s="609"/>
      <c r="LHB65" s="609"/>
      <c r="LHC65" s="609"/>
      <c r="LHD65" s="609"/>
      <c r="LHE65" s="609"/>
      <c r="LHF65" s="609"/>
      <c r="LHG65" s="609"/>
      <c r="LHH65" s="609"/>
      <c r="LHI65" s="609"/>
      <c r="LHJ65" s="609"/>
      <c r="LHK65" s="609"/>
      <c r="LHL65" s="609"/>
      <c r="LHM65" s="609"/>
      <c r="LHN65" s="609"/>
      <c r="LHO65" s="609"/>
      <c r="LHP65" s="609"/>
      <c r="LHQ65" s="609"/>
      <c r="LHR65" s="609"/>
      <c r="LHS65" s="609"/>
      <c r="LHT65" s="609"/>
      <c r="LHU65" s="609"/>
      <c r="LHV65" s="609"/>
      <c r="LHW65" s="609"/>
      <c r="LHX65" s="609"/>
      <c r="LHY65" s="609"/>
      <c r="LHZ65" s="609"/>
      <c r="LIA65" s="609"/>
      <c r="LIB65" s="609"/>
      <c r="LIC65" s="609"/>
      <c r="LID65" s="609"/>
      <c r="LIE65" s="609"/>
      <c r="LIF65" s="609"/>
      <c r="LIG65" s="609"/>
      <c r="LIH65" s="609"/>
      <c r="LII65" s="609"/>
      <c r="LIJ65" s="609"/>
      <c r="LIK65" s="609"/>
      <c r="LIL65" s="609"/>
      <c r="LIM65" s="609"/>
      <c r="LIN65" s="609"/>
      <c r="LIO65" s="609"/>
      <c r="LIP65" s="609"/>
      <c r="LIQ65" s="609"/>
      <c r="LIR65" s="609"/>
      <c r="LIS65" s="609"/>
      <c r="LIT65" s="609"/>
      <c r="LIU65" s="609"/>
      <c r="LIV65" s="609"/>
      <c r="LIW65" s="609"/>
      <c r="LIX65" s="609"/>
      <c r="LIY65" s="609"/>
      <c r="LIZ65" s="609"/>
      <c r="LJA65" s="609"/>
      <c r="LJB65" s="609"/>
      <c r="LJC65" s="609"/>
      <c r="LJD65" s="609"/>
      <c r="LJE65" s="609"/>
      <c r="LJF65" s="609"/>
      <c r="LJG65" s="609"/>
      <c r="LJH65" s="609"/>
      <c r="LJI65" s="609"/>
      <c r="LJJ65" s="609"/>
      <c r="LJK65" s="609"/>
      <c r="LJL65" s="609"/>
      <c r="LJM65" s="609"/>
      <c r="LJN65" s="609"/>
      <c r="LJO65" s="609"/>
      <c r="LJP65" s="609"/>
      <c r="LJQ65" s="609"/>
      <c r="LJR65" s="609"/>
      <c r="LJS65" s="609"/>
      <c r="LJT65" s="609"/>
      <c r="LJU65" s="609"/>
      <c r="LJV65" s="609"/>
      <c r="LJW65" s="609"/>
      <c r="LJX65" s="609"/>
      <c r="LJY65" s="609"/>
      <c r="LJZ65" s="609"/>
      <c r="LKA65" s="609"/>
      <c r="LKB65" s="609"/>
      <c r="LKC65" s="609"/>
      <c r="LKD65" s="609"/>
      <c r="LKE65" s="609"/>
      <c r="LKF65" s="609"/>
      <c r="LKG65" s="609"/>
      <c r="LKH65" s="609"/>
      <c r="LKI65" s="609"/>
      <c r="LKJ65" s="609"/>
      <c r="LKK65" s="609"/>
      <c r="LKL65" s="609"/>
      <c r="LKM65" s="609"/>
      <c r="LKN65" s="609"/>
      <c r="LKO65" s="609"/>
      <c r="LKP65" s="609"/>
      <c r="LKQ65" s="609"/>
      <c r="LKR65" s="609"/>
      <c r="LKS65" s="609"/>
      <c r="LKT65" s="609"/>
      <c r="LKU65" s="609"/>
      <c r="LKV65" s="609"/>
      <c r="LKW65" s="609"/>
      <c r="LKX65" s="609"/>
      <c r="LKY65" s="609"/>
      <c r="LKZ65" s="609"/>
      <c r="LLA65" s="609"/>
      <c r="LLB65" s="609"/>
      <c r="LLC65" s="609"/>
      <c r="LLD65" s="609"/>
      <c r="LLE65" s="609"/>
      <c r="LLF65" s="609"/>
      <c r="LLG65" s="609"/>
      <c r="LLH65" s="609"/>
      <c r="LLI65" s="609"/>
      <c r="LLJ65" s="609"/>
      <c r="LLK65" s="609"/>
      <c r="LLL65" s="609"/>
      <c r="LLM65" s="609"/>
      <c r="LLN65" s="609"/>
      <c r="LLO65" s="609"/>
      <c r="LLP65" s="609"/>
      <c r="LLQ65" s="609"/>
      <c r="LLR65" s="609"/>
      <c r="LLS65" s="609"/>
      <c r="LLT65" s="609"/>
      <c r="LLU65" s="609"/>
      <c r="LLV65" s="609"/>
      <c r="LLW65" s="609"/>
      <c r="LLX65" s="609"/>
      <c r="LLY65" s="609"/>
      <c r="LLZ65" s="609"/>
      <c r="LMA65" s="609"/>
      <c r="LMB65" s="609"/>
      <c r="LMC65" s="609"/>
      <c r="LMD65" s="609"/>
      <c r="LME65" s="609"/>
      <c r="LMF65" s="609"/>
      <c r="LMG65" s="609"/>
      <c r="LMH65" s="609"/>
      <c r="LMI65" s="609"/>
      <c r="LMJ65" s="609"/>
      <c r="LMK65" s="609"/>
      <c r="LML65" s="609"/>
      <c r="LMM65" s="609"/>
      <c r="LMN65" s="609"/>
      <c r="LMO65" s="609"/>
      <c r="LMP65" s="609"/>
      <c r="LMQ65" s="609"/>
      <c r="LMR65" s="609"/>
      <c r="LMS65" s="609"/>
      <c r="LMT65" s="609"/>
      <c r="LMU65" s="609"/>
      <c r="LMV65" s="609"/>
      <c r="LMW65" s="609"/>
      <c r="LMX65" s="609"/>
      <c r="LMY65" s="609"/>
      <c r="LMZ65" s="609"/>
      <c r="LNA65" s="609"/>
      <c r="LNB65" s="609"/>
      <c r="LNC65" s="609"/>
      <c r="LND65" s="609"/>
      <c r="LNE65" s="609"/>
      <c r="LNF65" s="609"/>
      <c r="LNG65" s="609"/>
      <c r="LNH65" s="609"/>
      <c r="LNI65" s="609"/>
      <c r="LNJ65" s="609"/>
      <c r="LNK65" s="609"/>
      <c r="LNL65" s="609"/>
      <c r="LNM65" s="609"/>
      <c r="LNN65" s="609"/>
      <c r="LNO65" s="609"/>
      <c r="LNP65" s="609"/>
      <c r="LNQ65" s="609"/>
      <c r="LNR65" s="609"/>
      <c r="LNS65" s="609"/>
      <c r="LNT65" s="609"/>
      <c r="LNU65" s="609"/>
      <c r="LNV65" s="609"/>
      <c r="LNW65" s="609"/>
      <c r="LNX65" s="609"/>
      <c r="LNY65" s="609"/>
      <c r="LNZ65" s="609"/>
      <c r="LOA65" s="609"/>
      <c r="LOB65" s="609"/>
      <c r="LOC65" s="609"/>
      <c r="LOD65" s="609"/>
      <c r="LOE65" s="609"/>
      <c r="LOF65" s="609"/>
      <c r="LOG65" s="609"/>
      <c r="LOH65" s="609"/>
      <c r="LOI65" s="609"/>
      <c r="LOJ65" s="609"/>
      <c r="LOK65" s="609"/>
      <c r="LOL65" s="609"/>
      <c r="LOM65" s="609"/>
      <c r="LON65" s="609"/>
      <c r="LOO65" s="609"/>
      <c r="LOP65" s="609"/>
      <c r="LOQ65" s="609"/>
      <c r="LOR65" s="609"/>
      <c r="LOS65" s="609"/>
      <c r="LOT65" s="609"/>
      <c r="LOU65" s="609"/>
      <c r="LOV65" s="609"/>
      <c r="LOW65" s="609"/>
      <c r="LOX65" s="609"/>
      <c r="LOY65" s="609"/>
      <c r="LOZ65" s="609"/>
      <c r="LPA65" s="609"/>
      <c r="LPB65" s="609"/>
      <c r="LPC65" s="609"/>
      <c r="LPD65" s="609"/>
      <c r="LPE65" s="609"/>
      <c r="LPF65" s="609"/>
      <c r="LPG65" s="609"/>
      <c r="LPH65" s="609"/>
      <c r="LPI65" s="609"/>
      <c r="LPJ65" s="609"/>
      <c r="LPK65" s="609"/>
      <c r="LPL65" s="609"/>
      <c r="LPM65" s="609"/>
      <c r="LPN65" s="609"/>
      <c r="LPO65" s="609"/>
      <c r="LPP65" s="609"/>
      <c r="LPQ65" s="609"/>
      <c r="LPR65" s="609"/>
      <c r="LPS65" s="609"/>
      <c r="LPT65" s="609"/>
      <c r="LPU65" s="609"/>
      <c r="LPV65" s="609"/>
      <c r="LPW65" s="609"/>
      <c r="LPX65" s="609"/>
      <c r="LPY65" s="609"/>
      <c r="LPZ65" s="609"/>
      <c r="LQA65" s="609"/>
      <c r="LQB65" s="609"/>
      <c r="LQC65" s="609"/>
      <c r="LQD65" s="609"/>
      <c r="LQE65" s="609"/>
      <c r="LQF65" s="609"/>
      <c r="LQG65" s="609"/>
      <c r="LQH65" s="609"/>
      <c r="LQI65" s="609"/>
      <c r="LQJ65" s="609"/>
      <c r="LQK65" s="609"/>
      <c r="LQL65" s="609"/>
      <c r="LQM65" s="609"/>
      <c r="LQN65" s="609"/>
      <c r="LQO65" s="609"/>
      <c r="LQP65" s="609"/>
      <c r="LQQ65" s="609"/>
      <c r="LQR65" s="609"/>
      <c r="LQS65" s="609"/>
      <c r="LQT65" s="609"/>
      <c r="LQU65" s="609"/>
      <c r="LQV65" s="609"/>
      <c r="LQW65" s="609"/>
      <c r="LQX65" s="609"/>
      <c r="LQY65" s="609"/>
      <c r="LQZ65" s="609"/>
      <c r="LRA65" s="609"/>
      <c r="LRB65" s="609"/>
      <c r="LRC65" s="609"/>
      <c r="LRD65" s="609"/>
      <c r="LRE65" s="609"/>
      <c r="LRF65" s="609"/>
      <c r="LRG65" s="609"/>
      <c r="LRH65" s="609"/>
      <c r="LRI65" s="609"/>
      <c r="LRJ65" s="609"/>
      <c r="LRK65" s="609"/>
      <c r="LRL65" s="609"/>
      <c r="LRM65" s="609"/>
      <c r="LRN65" s="609"/>
      <c r="LRO65" s="609"/>
      <c r="LRP65" s="609"/>
      <c r="LRQ65" s="609"/>
      <c r="LRR65" s="609"/>
      <c r="LRS65" s="609"/>
      <c r="LRT65" s="609"/>
      <c r="LRU65" s="609"/>
      <c r="LRV65" s="609"/>
      <c r="LRW65" s="609"/>
      <c r="LRX65" s="609"/>
      <c r="LRY65" s="609"/>
      <c r="LRZ65" s="609"/>
      <c r="LSA65" s="609"/>
      <c r="LSB65" s="609"/>
      <c r="LSC65" s="609"/>
      <c r="LSD65" s="609"/>
      <c r="LSE65" s="609"/>
      <c r="LSF65" s="609"/>
      <c r="LSG65" s="609"/>
      <c r="LSH65" s="609"/>
      <c r="LSI65" s="609"/>
      <c r="LSJ65" s="609"/>
      <c r="LSK65" s="609"/>
      <c r="LSL65" s="609"/>
      <c r="LSM65" s="609"/>
      <c r="LSN65" s="609"/>
      <c r="LSO65" s="609"/>
      <c r="LSP65" s="609"/>
      <c r="LSQ65" s="609"/>
      <c r="LSR65" s="609"/>
      <c r="LSS65" s="609"/>
      <c r="LST65" s="609"/>
      <c r="LSU65" s="609"/>
      <c r="LSV65" s="609"/>
      <c r="LSW65" s="609"/>
      <c r="LSX65" s="609"/>
      <c r="LSY65" s="609"/>
      <c r="LSZ65" s="609"/>
      <c r="LTA65" s="609"/>
      <c r="LTB65" s="609"/>
      <c r="LTC65" s="609"/>
      <c r="LTD65" s="609"/>
      <c r="LTE65" s="609"/>
      <c r="LTF65" s="609"/>
      <c r="LTG65" s="609"/>
      <c r="LTH65" s="609"/>
      <c r="LTI65" s="609"/>
      <c r="LTJ65" s="609"/>
      <c r="LTK65" s="609"/>
      <c r="LTL65" s="609"/>
      <c r="LTM65" s="609"/>
      <c r="LTN65" s="609"/>
      <c r="LTO65" s="609"/>
      <c r="LTP65" s="609"/>
      <c r="LTQ65" s="609"/>
      <c r="LTR65" s="609"/>
      <c r="LTS65" s="609"/>
      <c r="LTT65" s="609"/>
      <c r="LTU65" s="609"/>
      <c r="LTV65" s="609"/>
      <c r="LTW65" s="609"/>
      <c r="LTX65" s="609"/>
      <c r="LTY65" s="609"/>
      <c r="LTZ65" s="609"/>
      <c r="LUA65" s="609"/>
      <c r="LUB65" s="609"/>
      <c r="LUC65" s="609"/>
      <c r="LUD65" s="609"/>
      <c r="LUE65" s="609"/>
      <c r="LUF65" s="609"/>
      <c r="LUG65" s="609"/>
      <c r="LUH65" s="609"/>
      <c r="LUI65" s="609"/>
      <c r="LUJ65" s="609"/>
      <c r="LUK65" s="609"/>
      <c r="LUL65" s="609"/>
      <c r="LUM65" s="609"/>
      <c r="LUN65" s="609"/>
      <c r="LUO65" s="609"/>
      <c r="LUP65" s="609"/>
      <c r="LUQ65" s="609"/>
      <c r="LUR65" s="609"/>
      <c r="LUS65" s="609"/>
      <c r="LUT65" s="609"/>
      <c r="LUU65" s="609"/>
      <c r="LUV65" s="609"/>
      <c r="LUW65" s="609"/>
      <c r="LUX65" s="609"/>
      <c r="LUY65" s="609"/>
      <c r="LUZ65" s="609"/>
      <c r="LVA65" s="609"/>
      <c r="LVB65" s="609"/>
      <c r="LVC65" s="609"/>
      <c r="LVD65" s="609"/>
      <c r="LVE65" s="609"/>
      <c r="LVF65" s="609"/>
      <c r="LVG65" s="609"/>
      <c r="LVH65" s="609"/>
      <c r="LVI65" s="609"/>
      <c r="LVJ65" s="609"/>
      <c r="LVK65" s="609"/>
      <c r="LVL65" s="609"/>
      <c r="LVM65" s="609"/>
      <c r="LVN65" s="609"/>
      <c r="LVO65" s="609"/>
      <c r="LVP65" s="609"/>
      <c r="LVQ65" s="609"/>
      <c r="LVR65" s="609"/>
      <c r="LVS65" s="609"/>
      <c r="LVT65" s="609"/>
      <c r="LVU65" s="609"/>
      <c r="LVV65" s="609"/>
      <c r="LVW65" s="609"/>
      <c r="LVX65" s="609"/>
      <c r="LVY65" s="609"/>
      <c r="LVZ65" s="609"/>
      <c r="LWA65" s="609"/>
      <c r="LWB65" s="609"/>
      <c r="LWC65" s="609"/>
      <c r="LWD65" s="609"/>
      <c r="LWE65" s="609"/>
      <c r="LWF65" s="609"/>
      <c r="LWG65" s="609"/>
      <c r="LWH65" s="609"/>
      <c r="LWI65" s="609"/>
      <c r="LWJ65" s="609"/>
      <c r="LWK65" s="609"/>
      <c r="LWL65" s="609"/>
      <c r="LWM65" s="609"/>
      <c r="LWN65" s="609"/>
      <c r="LWO65" s="609"/>
      <c r="LWP65" s="609"/>
      <c r="LWQ65" s="609"/>
      <c r="LWR65" s="609"/>
      <c r="LWS65" s="609"/>
      <c r="LWT65" s="609"/>
      <c r="LWU65" s="609"/>
      <c r="LWV65" s="609"/>
      <c r="LWW65" s="609"/>
      <c r="LWX65" s="609"/>
      <c r="LWY65" s="609"/>
      <c r="LWZ65" s="609"/>
      <c r="LXA65" s="609"/>
      <c r="LXB65" s="609"/>
      <c r="LXC65" s="609"/>
      <c r="LXD65" s="609"/>
      <c r="LXE65" s="609"/>
      <c r="LXF65" s="609"/>
      <c r="LXG65" s="609"/>
      <c r="LXH65" s="609"/>
      <c r="LXI65" s="609"/>
      <c r="LXJ65" s="609"/>
      <c r="LXK65" s="609"/>
      <c r="LXL65" s="609"/>
      <c r="LXM65" s="609"/>
      <c r="LXN65" s="609"/>
      <c r="LXO65" s="609"/>
      <c r="LXP65" s="609"/>
      <c r="LXQ65" s="609"/>
      <c r="LXR65" s="609"/>
      <c r="LXS65" s="609"/>
      <c r="LXT65" s="609"/>
      <c r="LXU65" s="609"/>
      <c r="LXV65" s="609"/>
      <c r="LXW65" s="609"/>
      <c r="LXX65" s="609"/>
      <c r="LXY65" s="609"/>
      <c r="LXZ65" s="609"/>
      <c r="LYA65" s="609"/>
      <c r="LYB65" s="609"/>
      <c r="LYC65" s="609"/>
      <c r="LYD65" s="609"/>
      <c r="LYE65" s="609"/>
      <c r="LYF65" s="609"/>
      <c r="LYG65" s="609"/>
      <c r="LYH65" s="609"/>
      <c r="LYI65" s="609"/>
      <c r="LYJ65" s="609"/>
      <c r="LYK65" s="609"/>
      <c r="LYL65" s="609"/>
      <c r="LYM65" s="609"/>
      <c r="LYN65" s="609"/>
      <c r="LYO65" s="609"/>
      <c r="LYP65" s="609"/>
      <c r="LYQ65" s="609"/>
      <c r="LYR65" s="609"/>
      <c r="LYS65" s="609"/>
      <c r="LYT65" s="609"/>
      <c r="LYU65" s="609"/>
      <c r="LYV65" s="609"/>
      <c r="LYW65" s="609"/>
      <c r="LYX65" s="609"/>
      <c r="LYY65" s="609"/>
      <c r="LYZ65" s="609"/>
      <c r="LZA65" s="609"/>
      <c r="LZB65" s="609"/>
      <c r="LZC65" s="609"/>
      <c r="LZD65" s="609"/>
      <c r="LZE65" s="609"/>
      <c r="LZF65" s="609"/>
      <c r="LZG65" s="609"/>
      <c r="LZH65" s="609"/>
      <c r="LZI65" s="609"/>
      <c r="LZJ65" s="609"/>
      <c r="LZK65" s="609"/>
      <c r="LZL65" s="609"/>
      <c r="LZM65" s="609"/>
      <c r="LZN65" s="609"/>
      <c r="LZO65" s="609"/>
      <c r="LZP65" s="609"/>
      <c r="LZQ65" s="609"/>
      <c r="LZR65" s="609"/>
      <c r="LZS65" s="609"/>
      <c r="LZT65" s="609"/>
      <c r="LZU65" s="609"/>
      <c r="LZV65" s="609"/>
      <c r="LZW65" s="609"/>
      <c r="LZX65" s="609"/>
      <c r="LZY65" s="609"/>
      <c r="LZZ65" s="609"/>
      <c r="MAA65" s="609"/>
      <c r="MAB65" s="609"/>
      <c r="MAC65" s="609"/>
      <c r="MAD65" s="609"/>
      <c r="MAE65" s="609"/>
      <c r="MAF65" s="609"/>
      <c r="MAG65" s="609"/>
      <c r="MAH65" s="609"/>
      <c r="MAI65" s="609"/>
      <c r="MAJ65" s="609"/>
      <c r="MAK65" s="609"/>
      <c r="MAL65" s="609"/>
      <c r="MAM65" s="609"/>
      <c r="MAN65" s="609"/>
      <c r="MAO65" s="609"/>
      <c r="MAP65" s="609"/>
      <c r="MAQ65" s="609"/>
      <c r="MAR65" s="609"/>
      <c r="MAS65" s="609"/>
      <c r="MAT65" s="609"/>
      <c r="MAU65" s="609"/>
      <c r="MAV65" s="609"/>
      <c r="MAW65" s="609"/>
      <c r="MAX65" s="609"/>
      <c r="MAY65" s="609"/>
      <c r="MAZ65" s="609"/>
      <c r="MBA65" s="609"/>
      <c r="MBB65" s="609"/>
      <c r="MBC65" s="609"/>
      <c r="MBD65" s="609"/>
      <c r="MBE65" s="609"/>
      <c r="MBF65" s="609"/>
      <c r="MBG65" s="609"/>
      <c r="MBH65" s="609"/>
      <c r="MBI65" s="609"/>
      <c r="MBJ65" s="609"/>
      <c r="MBK65" s="609"/>
      <c r="MBL65" s="609"/>
      <c r="MBM65" s="609"/>
      <c r="MBN65" s="609"/>
      <c r="MBO65" s="609"/>
      <c r="MBP65" s="609"/>
      <c r="MBQ65" s="609"/>
      <c r="MBR65" s="609"/>
      <c r="MBS65" s="609"/>
      <c r="MBT65" s="609"/>
      <c r="MBU65" s="609"/>
      <c r="MBV65" s="609"/>
      <c r="MBW65" s="609"/>
      <c r="MBX65" s="609"/>
      <c r="MBY65" s="609"/>
      <c r="MBZ65" s="609"/>
      <c r="MCA65" s="609"/>
      <c r="MCB65" s="609"/>
      <c r="MCC65" s="609"/>
      <c r="MCD65" s="609"/>
      <c r="MCE65" s="609"/>
      <c r="MCF65" s="609"/>
      <c r="MCG65" s="609"/>
      <c r="MCH65" s="609"/>
      <c r="MCI65" s="609"/>
      <c r="MCJ65" s="609"/>
      <c r="MCK65" s="609"/>
      <c r="MCL65" s="609"/>
      <c r="MCM65" s="609"/>
      <c r="MCN65" s="609"/>
      <c r="MCO65" s="609"/>
      <c r="MCP65" s="609"/>
      <c r="MCQ65" s="609"/>
      <c r="MCR65" s="609"/>
      <c r="MCS65" s="609"/>
      <c r="MCT65" s="609"/>
      <c r="MCU65" s="609"/>
      <c r="MCV65" s="609"/>
      <c r="MCW65" s="609"/>
      <c r="MCX65" s="609"/>
      <c r="MCY65" s="609"/>
      <c r="MCZ65" s="609"/>
      <c r="MDA65" s="609"/>
      <c r="MDB65" s="609"/>
      <c r="MDC65" s="609"/>
      <c r="MDD65" s="609"/>
      <c r="MDE65" s="609"/>
      <c r="MDF65" s="609"/>
      <c r="MDG65" s="609"/>
      <c r="MDH65" s="609"/>
      <c r="MDI65" s="609"/>
      <c r="MDJ65" s="609"/>
      <c r="MDK65" s="609"/>
      <c r="MDL65" s="609"/>
      <c r="MDM65" s="609"/>
      <c r="MDN65" s="609"/>
      <c r="MDO65" s="609"/>
      <c r="MDP65" s="609"/>
      <c r="MDQ65" s="609"/>
      <c r="MDR65" s="609"/>
      <c r="MDS65" s="609"/>
      <c r="MDT65" s="609"/>
      <c r="MDU65" s="609"/>
      <c r="MDV65" s="609"/>
      <c r="MDW65" s="609"/>
      <c r="MDX65" s="609"/>
      <c r="MDY65" s="609"/>
      <c r="MDZ65" s="609"/>
      <c r="MEA65" s="609"/>
      <c r="MEB65" s="609"/>
      <c r="MEC65" s="609"/>
      <c r="MED65" s="609"/>
      <c r="MEE65" s="609"/>
      <c r="MEF65" s="609"/>
      <c r="MEG65" s="609"/>
      <c r="MEH65" s="609"/>
      <c r="MEI65" s="609"/>
      <c r="MEJ65" s="609"/>
      <c r="MEK65" s="609"/>
      <c r="MEL65" s="609"/>
      <c r="MEM65" s="609"/>
      <c r="MEN65" s="609"/>
      <c r="MEO65" s="609"/>
      <c r="MEP65" s="609"/>
      <c r="MEQ65" s="609"/>
      <c r="MER65" s="609"/>
      <c r="MES65" s="609"/>
      <c r="MET65" s="609"/>
      <c r="MEU65" s="609"/>
      <c r="MEV65" s="609"/>
      <c r="MEW65" s="609"/>
      <c r="MEX65" s="609"/>
      <c r="MEY65" s="609"/>
      <c r="MEZ65" s="609"/>
      <c r="MFA65" s="609"/>
      <c r="MFB65" s="609"/>
      <c r="MFC65" s="609"/>
      <c r="MFD65" s="609"/>
      <c r="MFE65" s="609"/>
      <c r="MFF65" s="609"/>
      <c r="MFG65" s="609"/>
      <c r="MFH65" s="609"/>
      <c r="MFI65" s="609"/>
      <c r="MFJ65" s="609"/>
      <c r="MFK65" s="609"/>
      <c r="MFL65" s="609"/>
      <c r="MFM65" s="609"/>
      <c r="MFN65" s="609"/>
      <c r="MFO65" s="609"/>
      <c r="MFP65" s="609"/>
      <c r="MFQ65" s="609"/>
      <c r="MFR65" s="609"/>
      <c r="MFS65" s="609"/>
      <c r="MFT65" s="609"/>
      <c r="MFU65" s="609"/>
      <c r="MFV65" s="609"/>
      <c r="MFW65" s="609"/>
      <c r="MFX65" s="609"/>
      <c r="MFY65" s="609"/>
      <c r="MFZ65" s="609"/>
      <c r="MGA65" s="609"/>
      <c r="MGB65" s="609"/>
      <c r="MGC65" s="609"/>
      <c r="MGD65" s="609"/>
      <c r="MGE65" s="609"/>
      <c r="MGF65" s="609"/>
      <c r="MGG65" s="609"/>
      <c r="MGH65" s="609"/>
      <c r="MGI65" s="609"/>
      <c r="MGJ65" s="609"/>
      <c r="MGK65" s="609"/>
      <c r="MGL65" s="609"/>
      <c r="MGM65" s="609"/>
      <c r="MGN65" s="609"/>
      <c r="MGO65" s="609"/>
      <c r="MGP65" s="609"/>
      <c r="MGQ65" s="609"/>
      <c r="MGR65" s="609"/>
      <c r="MGS65" s="609"/>
      <c r="MGT65" s="609"/>
      <c r="MGU65" s="609"/>
      <c r="MGV65" s="609"/>
      <c r="MGW65" s="609"/>
      <c r="MGX65" s="609"/>
      <c r="MGY65" s="609"/>
      <c r="MGZ65" s="609"/>
      <c r="MHA65" s="609"/>
      <c r="MHB65" s="609"/>
      <c r="MHC65" s="609"/>
      <c r="MHD65" s="609"/>
      <c r="MHE65" s="609"/>
      <c r="MHF65" s="609"/>
      <c r="MHG65" s="609"/>
      <c r="MHH65" s="609"/>
      <c r="MHI65" s="609"/>
      <c r="MHJ65" s="609"/>
      <c r="MHK65" s="609"/>
      <c r="MHL65" s="609"/>
      <c r="MHM65" s="609"/>
      <c r="MHN65" s="609"/>
      <c r="MHO65" s="609"/>
      <c r="MHP65" s="609"/>
      <c r="MHQ65" s="609"/>
      <c r="MHR65" s="609"/>
      <c r="MHS65" s="609"/>
      <c r="MHT65" s="609"/>
      <c r="MHU65" s="609"/>
      <c r="MHV65" s="609"/>
      <c r="MHW65" s="609"/>
      <c r="MHX65" s="609"/>
      <c r="MHY65" s="609"/>
      <c r="MHZ65" s="609"/>
      <c r="MIA65" s="609"/>
      <c r="MIB65" s="609"/>
      <c r="MIC65" s="609"/>
      <c r="MID65" s="609"/>
      <c r="MIE65" s="609"/>
      <c r="MIF65" s="609"/>
      <c r="MIG65" s="609"/>
      <c r="MIH65" s="609"/>
      <c r="MII65" s="609"/>
      <c r="MIJ65" s="609"/>
      <c r="MIK65" s="609"/>
      <c r="MIL65" s="609"/>
      <c r="MIM65" s="609"/>
      <c r="MIN65" s="609"/>
      <c r="MIO65" s="609"/>
      <c r="MIP65" s="609"/>
      <c r="MIQ65" s="609"/>
      <c r="MIR65" s="609"/>
      <c r="MIS65" s="609"/>
      <c r="MIT65" s="609"/>
      <c r="MIU65" s="609"/>
      <c r="MIV65" s="609"/>
      <c r="MIW65" s="609"/>
      <c r="MIX65" s="609"/>
      <c r="MIY65" s="609"/>
      <c r="MIZ65" s="609"/>
      <c r="MJA65" s="609"/>
      <c r="MJB65" s="609"/>
      <c r="MJC65" s="609"/>
      <c r="MJD65" s="609"/>
      <c r="MJE65" s="609"/>
      <c r="MJF65" s="609"/>
      <c r="MJG65" s="609"/>
      <c r="MJH65" s="609"/>
      <c r="MJI65" s="609"/>
      <c r="MJJ65" s="609"/>
      <c r="MJK65" s="609"/>
      <c r="MJL65" s="609"/>
      <c r="MJM65" s="609"/>
      <c r="MJN65" s="609"/>
      <c r="MJO65" s="609"/>
      <c r="MJP65" s="609"/>
      <c r="MJQ65" s="609"/>
      <c r="MJR65" s="609"/>
      <c r="MJS65" s="609"/>
      <c r="MJT65" s="609"/>
      <c r="MJU65" s="609"/>
      <c r="MJV65" s="609"/>
      <c r="MJW65" s="609"/>
      <c r="MJX65" s="609"/>
      <c r="MJY65" s="609"/>
      <c r="MJZ65" s="609"/>
      <c r="MKA65" s="609"/>
      <c r="MKB65" s="609"/>
      <c r="MKC65" s="609"/>
      <c r="MKD65" s="609"/>
      <c r="MKE65" s="609"/>
      <c r="MKF65" s="609"/>
      <c r="MKG65" s="609"/>
      <c r="MKH65" s="609"/>
      <c r="MKI65" s="609"/>
      <c r="MKJ65" s="609"/>
      <c r="MKK65" s="609"/>
      <c r="MKL65" s="609"/>
      <c r="MKM65" s="609"/>
      <c r="MKN65" s="609"/>
      <c r="MKO65" s="609"/>
      <c r="MKP65" s="609"/>
      <c r="MKQ65" s="609"/>
      <c r="MKR65" s="609"/>
      <c r="MKS65" s="609"/>
      <c r="MKT65" s="609"/>
      <c r="MKU65" s="609"/>
      <c r="MKV65" s="609"/>
      <c r="MKW65" s="609"/>
      <c r="MKX65" s="609"/>
      <c r="MKY65" s="609"/>
      <c r="MKZ65" s="609"/>
      <c r="MLA65" s="609"/>
      <c r="MLB65" s="609"/>
      <c r="MLC65" s="609"/>
      <c r="MLD65" s="609"/>
      <c r="MLE65" s="609"/>
      <c r="MLF65" s="609"/>
      <c r="MLG65" s="609"/>
      <c r="MLH65" s="609"/>
      <c r="MLI65" s="609"/>
      <c r="MLJ65" s="609"/>
      <c r="MLK65" s="609"/>
      <c r="MLL65" s="609"/>
      <c r="MLM65" s="609"/>
      <c r="MLN65" s="609"/>
      <c r="MLO65" s="609"/>
      <c r="MLP65" s="609"/>
      <c r="MLQ65" s="609"/>
      <c r="MLR65" s="609"/>
      <c r="MLS65" s="609"/>
      <c r="MLT65" s="609"/>
      <c r="MLU65" s="609"/>
      <c r="MLV65" s="609"/>
      <c r="MLW65" s="609"/>
      <c r="MLX65" s="609"/>
      <c r="MLY65" s="609"/>
      <c r="MLZ65" s="609"/>
      <c r="MMA65" s="609"/>
      <c r="MMB65" s="609"/>
      <c r="MMC65" s="609"/>
      <c r="MMD65" s="609"/>
      <c r="MME65" s="609"/>
      <c r="MMF65" s="609"/>
      <c r="MMG65" s="609"/>
      <c r="MMH65" s="609"/>
      <c r="MMI65" s="609"/>
      <c r="MMJ65" s="609"/>
      <c r="MMK65" s="609"/>
      <c r="MML65" s="609"/>
      <c r="MMM65" s="609"/>
      <c r="MMN65" s="609"/>
      <c r="MMO65" s="609"/>
      <c r="MMP65" s="609"/>
      <c r="MMQ65" s="609"/>
      <c r="MMR65" s="609"/>
      <c r="MMS65" s="609"/>
      <c r="MMT65" s="609"/>
      <c r="MMU65" s="609"/>
      <c r="MMV65" s="609"/>
      <c r="MMW65" s="609"/>
      <c r="MMX65" s="609"/>
      <c r="MMY65" s="609"/>
      <c r="MMZ65" s="609"/>
      <c r="MNA65" s="609"/>
      <c r="MNB65" s="609"/>
      <c r="MNC65" s="609"/>
      <c r="MND65" s="609"/>
      <c r="MNE65" s="609"/>
      <c r="MNF65" s="609"/>
      <c r="MNG65" s="609"/>
      <c r="MNH65" s="609"/>
      <c r="MNI65" s="609"/>
      <c r="MNJ65" s="609"/>
      <c r="MNK65" s="609"/>
      <c r="MNL65" s="609"/>
      <c r="MNM65" s="609"/>
      <c r="MNN65" s="609"/>
      <c r="MNO65" s="609"/>
      <c r="MNP65" s="609"/>
      <c r="MNQ65" s="609"/>
      <c r="MNR65" s="609"/>
      <c r="MNS65" s="609"/>
      <c r="MNT65" s="609"/>
      <c r="MNU65" s="609"/>
      <c r="MNV65" s="609"/>
      <c r="MNW65" s="609"/>
      <c r="MNX65" s="609"/>
      <c r="MNY65" s="609"/>
      <c r="MNZ65" s="609"/>
      <c r="MOA65" s="609"/>
      <c r="MOB65" s="609"/>
      <c r="MOC65" s="609"/>
      <c r="MOD65" s="609"/>
      <c r="MOE65" s="609"/>
      <c r="MOF65" s="609"/>
      <c r="MOG65" s="609"/>
      <c r="MOH65" s="609"/>
      <c r="MOI65" s="609"/>
      <c r="MOJ65" s="609"/>
      <c r="MOK65" s="609"/>
      <c r="MOL65" s="609"/>
      <c r="MOM65" s="609"/>
      <c r="MON65" s="609"/>
      <c r="MOO65" s="609"/>
      <c r="MOP65" s="609"/>
      <c r="MOQ65" s="609"/>
      <c r="MOR65" s="609"/>
      <c r="MOS65" s="609"/>
      <c r="MOT65" s="609"/>
      <c r="MOU65" s="609"/>
      <c r="MOV65" s="609"/>
      <c r="MOW65" s="609"/>
      <c r="MOX65" s="609"/>
      <c r="MOY65" s="609"/>
      <c r="MOZ65" s="609"/>
      <c r="MPA65" s="609"/>
      <c r="MPB65" s="609"/>
      <c r="MPC65" s="609"/>
      <c r="MPD65" s="609"/>
      <c r="MPE65" s="609"/>
      <c r="MPF65" s="609"/>
      <c r="MPG65" s="609"/>
      <c r="MPH65" s="609"/>
      <c r="MPI65" s="609"/>
      <c r="MPJ65" s="609"/>
      <c r="MPK65" s="609"/>
      <c r="MPL65" s="609"/>
      <c r="MPM65" s="609"/>
      <c r="MPN65" s="609"/>
      <c r="MPO65" s="609"/>
      <c r="MPP65" s="609"/>
      <c r="MPQ65" s="609"/>
      <c r="MPR65" s="609"/>
      <c r="MPS65" s="609"/>
      <c r="MPT65" s="609"/>
      <c r="MPU65" s="609"/>
      <c r="MPV65" s="609"/>
      <c r="MPW65" s="609"/>
      <c r="MPX65" s="609"/>
      <c r="MPY65" s="609"/>
      <c r="MPZ65" s="609"/>
      <c r="MQA65" s="609"/>
      <c r="MQB65" s="609"/>
      <c r="MQC65" s="609"/>
      <c r="MQD65" s="609"/>
      <c r="MQE65" s="609"/>
      <c r="MQF65" s="609"/>
      <c r="MQG65" s="609"/>
      <c r="MQH65" s="609"/>
      <c r="MQI65" s="609"/>
      <c r="MQJ65" s="609"/>
      <c r="MQK65" s="609"/>
      <c r="MQL65" s="609"/>
      <c r="MQM65" s="609"/>
      <c r="MQN65" s="609"/>
      <c r="MQO65" s="609"/>
      <c r="MQP65" s="609"/>
      <c r="MQQ65" s="609"/>
      <c r="MQR65" s="609"/>
      <c r="MQS65" s="609"/>
      <c r="MQT65" s="609"/>
      <c r="MQU65" s="609"/>
      <c r="MQV65" s="609"/>
      <c r="MQW65" s="609"/>
      <c r="MQX65" s="609"/>
      <c r="MQY65" s="609"/>
      <c r="MQZ65" s="609"/>
      <c r="MRA65" s="609"/>
      <c r="MRB65" s="609"/>
      <c r="MRC65" s="609"/>
      <c r="MRD65" s="609"/>
      <c r="MRE65" s="609"/>
      <c r="MRF65" s="609"/>
      <c r="MRG65" s="609"/>
      <c r="MRH65" s="609"/>
      <c r="MRI65" s="609"/>
      <c r="MRJ65" s="609"/>
      <c r="MRK65" s="609"/>
      <c r="MRL65" s="609"/>
      <c r="MRM65" s="609"/>
      <c r="MRN65" s="609"/>
      <c r="MRO65" s="609"/>
      <c r="MRP65" s="609"/>
      <c r="MRQ65" s="609"/>
      <c r="MRR65" s="609"/>
      <c r="MRS65" s="609"/>
      <c r="MRT65" s="609"/>
      <c r="MRU65" s="609"/>
      <c r="MRV65" s="609"/>
      <c r="MRW65" s="609"/>
      <c r="MRX65" s="609"/>
      <c r="MRY65" s="609"/>
      <c r="MRZ65" s="609"/>
      <c r="MSA65" s="609"/>
      <c r="MSB65" s="609"/>
      <c r="MSC65" s="609"/>
      <c r="MSD65" s="609"/>
      <c r="MSE65" s="609"/>
      <c r="MSF65" s="609"/>
      <c r="MSG65" s="609"/>
      <c r="MSH65" s="609"/>
      <c r="MSI65" s="609"/>
      <c r="MSJ65" s="609"/>
      <c r="MSK65" s="609"/>
      <c r="MSL65" s="609"/>
      <c r="MSM65" s="609"/>
      <c r="MSN65" s="609"/>
      <c r="MSO65" s="609"/>
      <c r="MSP65" s="609"/>
      <c r="MSQ65" s="609"/>
      <c r="MSR65" s="609"/>
      <c r="MSS65" s="609"/>
      <c r="MST65" s="609"/>
      <c r="MSU65" s="609"/>
      <c r="MSV65" s="609"/>
      <c r="MSW65" s="609"/>
      <c r="MSX65" s="609"/>
      <c r="MSY65" s="609"/>
      <c r="MSZ65" s="609"/>
      <c r="MTA65" s="609"/>
      <c r="MTB65" s="609"/>
      <c r="MTC65" s="609"/>
      <c r="MTD65" s="609"/>
      <c r="MTE65" s="609"/>
      <c r="MTF65" s="609"/>
      <c r="MTG65" s="609"/>
      <c r="MTH65" s="609"/>
      <c r="MTI65" s="609"/>
      <c r="MTJ65" s="609"/>
      <c r="MTK65" s="609"/>
      <c r="MTL65" s="609"/>
      <c r="MTM65" s="609"/>
      <c r="MTN65" s="609"/>
      <c r="MTO65" s="609"/>
      <c r="MTP65" s="609"/>
      <c r="MTQ65" s="609"/>
      <c r="MTR65" s="609"/>
      <c r="MTS65" s="609"/>
      <c r="MTT65" s="609"/>
      <c r="MTU65" s="609"/>
      <c r="MTV65" s="609"/>
      <c r="MTW65" s="609"/>
      <c r="MTX65" s="609"/>
      <c r="MTY65" s="609"/>
      <c r="MTZ65" s="609"/>
      <c r="MUA65" s="609"/>
      <c r="MUB65" s="609"/>
      <c r="MUC65" s="609"/>
      <c r="MUD65" s="609"/>
      <c r="MUE65" s="609"/>
      <c r="MUF65" s="609"/>
      <c r="MUG65" s="609"/>
      <c r="MUH65" s="609"/>
      <c r="MUI65" s="609"/>
      <c r="MUJ65" s="609"/>
      <c r="MUK65" s="609"/>
      <c r="MUL65" s="609"/>
      <c r="MUM65" s="609"/>
      <c r="MUN65" s="609"/>
      <c r="MUO65" s="609"/>
      <c r="MUP65" s="609"/>
      <c r="MUQ65" s="609"/>
      <c r="MUR65" s="609"/>
      <c r="MUS65" s="609"/>
      <c r="MUT65" s="609"/>
      <c r="MUU65" s="609"/>
      <c r="MUV65" s="609"/>
      <c r="MUW65" s="609"/>
      <c r="MUX65" s="609"/>
      <c r="MUY65" s="609"/>
      <c r="MUZ65" s="609"/>
      <c r="MVA65" s="609"/>
      <c r="MVB65" s="609"/>
      <c r="MVC65" s="609"/>
      <c r="MVD65" s="609"/>
      <c r="MVE65" s="609"/>
      <c r="MVF65" s="609"/>
      <c r="MVG65" s="609"/>
      <c r="MVH65" s="609"/>
      <c r="MVI65" s="609"/>
      <c r="MVJ65" s="609"/>
      <c r="MVK65" s="609"/>
      <c r="MVL65" s="609"/>
      <c r="MVM65" s="609"/>
      <c r="MVN65" s="609"/>
      <c r="MVO65" s="609"/>
      <c r="MVP65" s="609"/>
      <c r="MVQ65" s="609"/>
      <c r="MVR65" s="609"/>
      <c r="MVS65" s="609"/>
      <c r="MVT65" s="609"/>
      <c r="MVU65" s="609"/>
      <c r="MVV65" s="609"/>
      <c r="MVW65" s="609"/>
      <c r="MVX65" s="609"/>
      <c r="MVY65" s="609"/>
      <c r="MVZ65" s="609"/>
      <c r="MWA65" s="609"/>
      <c r="MWB65" s="609"/>
      <c r="MWC65" s="609"/>
      <c r="MWD65" s="609"/>
      <c r="MWE65" s="609"/>
      <c r="MWF65" s="609"/>
      <c r="MWG65" s="609"/>
      <c r="MWH65" s="609"/>
      <c r="MWI65" s="609"/>
      <c r="MWJ65" s="609"/>
      <c r="MWK65" s="609"/>
      <c r="MWL65" s="609"/>
      <c r="MWM65" s="609"/>
      <c r="MWN65" s="609"/>
      <c r="MWO65" s="609"/>
      <c r="MWP65" s="609"/>
      <c r="MWQ65" s="609"/>
      <c r="MWR65" s="609"/>
      <c r="MWS65" s="609"/>
      <c r="MWT65" s="609"/>
      <c r="MWU65" s="609"/>
      <c r="MWV65" s="609"/>
      <c r="MWW65" s="609"/>
      <c r="MWX65" s="609"/>
      <c r="MWY65" s="609"/>
      <c r="MWZ65" s="609"/>
      <c r="MXA65" s="609"/>
      <c r="MXB65" s="609"/>
      <c r="MXC65" s="609"/>
      <c r="MXD65" s="609"/>
      <c r="MXE65" s="609"/>
      <c r="MXF65" s="609"/>
      <c r="MXG65" s="609"/>
      <c r="MXH65" s="609"/>
      <c r="MXI65" s="609"/>
      <c r="MXJ65" s="609"/>
      <c r="MXK65" s="609"/>
      <c r="MXL65" s="609"/>
      <c r="MXM65" s="609"/>
      <c r="MXN65" s="609"/>
      <c r="MXO65" s="609"/>
      <c r="MXP65" s="609"/>
      <c r="MXQ65" s="609"/>
      <c r="MXR65" s="609"/>
      <c r="MXS65" s="609"/>
      <c r="MXT65" s="609"/>
      <c r="MXU65" s="609"/>
      <c r="MXV65" s="609"/>
      <c r="MXW65" s="609"/>
      <c r="MXX65" s="609"/>
      <c r="MXY65" s="609"/>
      <c r="MXZ65" s="609"/>
      <c r="MYA65" s="609"/>
      <c r="MYB65" s="609"/>
      <c r="MYC65" s="609"/>
      <c r="MYD65" s="609"/>
      <c r="MYE65" s="609"/>
      <c r="MYF65" s="609"/>
      <c r="MYG65" s="609"/>
      <c r="MYH65" s="609"/>
      <c r="MYI65" s="609"/>
      <c r="MYJ65" s="609"/>
      <c r="MYK65" s="609"/>
      <c r="MYL65" s="609"/>
      <c r="MYM65" s="609"/>
      <c r="MYN65" s="609"/>
      <c r="MYO65" s="609"/>
      <c r="MYP65" s="609"/>
      <c r="MYQ65" s="609"/>
      <c r="MYR65" s="609"/>
      <c r="MYS65" s="609"/>
      <c r="MYT65" s="609"/>
      <c r="MYU65" s="609"/>
      <c r="MYV65" s="609"/>
      <c r="MYW65" s="609"/>
      <c r="MYX65" s="609"/>
      <c r="MYY65" s="609"/>
      <c r="MYZ65" s="609"/>
      <c r="MZA65" s="609"/>
      <c r="MZB65" s="609"/>
      <c r="MZC65" s="609"/>
      <c r="MZD65" s="609"/>
      <c r="MZE65" s="609"/>
      <c r="MZF65" s="609"/>
      <c r="MZG65" s="609"/>
      <c r="MZH65" s="609"/>
      <c r="MZI65" s="609"/>
      <c r="MZJ65" s="609"/>
      <c r="MZK65" s="609"/>
      <c r="MZL65" s="609"/>
      <c r="MZM65" s="609"/>
      <c r="MZN65" s="609"/>
      <c r="MZO65" s="609"/>
      <c r="MZP65" s="609"/>
      <c r="MZQ65" s="609"/>
      <c r="MZR65" s="609"/>
      <c r="MZS65" s="609"/>
      <c r="MZT65" s="609"/>
      <c r="MZU65" s="609"/>
      <c r="MZV65" s="609"/>
      <c r="MZW65" s="609"/>
      <c r="MZX65" s="609"/>
      <c r="MZY65" s="609"/>
      <c r="MZZ65" s="609"/>
      <c r="NAA65" s="609"/>
      <c r="NAB65" s="609"/>
      <c r="NAC65" s="609"/>
      <c r="NAD65" s="609"/>
      <c r="NAE65" s="609"/>
      <c r="NAF65" s="609"/>
      <c r="NAG65" s="609"/>
      <c r="NAH65" s="609"/>
      <c r="NAI65" s="609"/>
      <c r="NAJ65" s="609"/>
      <c r="NAK65" s="609"/>
      <c r="NAL65" s="609"/>
      <c r="NAM65" s="609"/>
      <c r="NAN65" s="609"/>
      <c r="NAO65" s="609"/>
      <c r="NAP65" s="609"/>
      <c r="NAQ65" s="609"/>
      <c r="NAR65" s="609"/>
      <c r="NAS65" s="609"/>
      <c r="NAT65" s="609"/>
      <c r="NAU65" s="609"/>
      <c r="NAV65" s="609"/>
      <c r="NAW65" s="609"/>
      <c r="NAX65" s="609"/>
      <c r="NAY65" s="609"/>
      <c r="NAZ65" s="609"/>
      <c r="NBA65" s="609"/>
      <c r="NBB65" s="609"/>
      <c r="NBC65" s="609"/>
      <c r="NBD65" s="609"/>
      <c r="NBE65" s="609"/>
      <c r="NBF65" s="609"/>
      <c r="NBG65" s="609"/>
      <c r="NBH65" s="609"/>
      <c r="NBI65" s="609"/>
      <c r="NBJ65" s="609"/>
      <c r="NBK65" s="609"/>
      <c r="NBL65" s="609"/>
      <c r="NBM65" s="609"/>
      <c r="NBN65" s="609"/>
      <c r="NBO65" s="609"/>
      <c r="NBP65" s="609"/>
      <c r="NBQ65" s="609"/>
      <c r="NBR65" s="609"/>
      <c r="NBS65" s="609"/>
      <c r="NBT65" s="609"/>
      <c r="NBU65" s="609"/>
      <c r="NBV65" s="609"/>
      <c r="NBW65" s="609"/>
      <c r="NBX65" s="609"/>
      <c r="NBY65" s="609"/>
      <c r="NBZ65" s="609"/>
      <c r="NCA65" s="609"/>
      <c r="NCB65" s="609"/>
      <c r="NCC65" s="609"/>
      <c r="NCD65" s="609"/>
      <c r="NCE65" s="609"/>
      <c r="NCF65" s="609"/>
      <c r="NCG65" s="609"/>
      <c r="NCH65" s="609"/>
      <c r="NCI65" s="609"/>
      <c r="NCJ65" s="609"/>
      <c r="NCK65" s="609"/>
      <c r="NCL65" s="609"/>
      <c r="NCM65" s="609"/>
      <c r="NCN65" s="609"/>
      <c r="NCO65" s="609"/>
      <c r="NCP65" s="609"/>
      <c r="NCQ65" s="609"/>
      <c r="NCR65" s="609"/>
      <c r="NCS65" s="609"/>
      <c r="NCT65" s="609"/>
      <c r="NCU65" s="609"/>
      <c r="NCV65" s="609"/>
      <c r="NCW65" s="609"/>
      <c r="NCX65" s="609"/>
      <c r="NCY65" s="609"/>
      <c r="NCZ65" s="609"/>
      <c r="NDA65" s="609"/>
      <c r="NDB65" s="609"/>
      <c r="NDC65" s="609"/>
      <c r="NDD65" s="609"/>
      <c r="NDE65" s="609"/>
      <c r="NDF65" s="609"/>
      <c r="NDG65" s="609"/>
      <c r="NDH65" s="609"/>
      <c r="NDI65" s="609"/>
      <c r="NDJ65" s="609"/>
      <c r="NDK65" s="609"/>
      <c r="NDL65" s="609"/>
      <c r="NDM65" s="609"/>
      <c r="NDN65" s="609"/>
      <c r="NDO65" s="609"/>
      <c r="NDP65" s="609"/>
      <c r="NDQ65" s="609"/>
      <c r="NDR65" s="609"/>
      <c r="NDS65" s="609"/>
      <c r="NDT65" s="609"/>
      <c r="NDU65" s="609"/>
      <c r="NDV65" s="609"/>
      <c r="NDW65" s="609"/>
      <c r="NDX65" s="609"/>
      <c r="NDY65" s="609"/>
      <c r="NDZ65" s="609"/>
      <c r="NEA65" s="609"/>
      <c r="NEB65" s="609"/>
      <c r="NEC65" s="609"/>
      <c r="NED65" s="609"/>
      <c r="NEE65" s="609"/>
      <c r="NEF65" s="609"/>
      <c r="NEG65" s="609"/>
      <c r="NEH65" s="609"/>
      <c r="NEI65" s="609"/>
      <c r="NEJ65" s="609"/>
      <c r="NEK65" s="609"/>
      <c r="NEL65" s="609"/>
      <c r="NEM65" s="609"/>
      <c r="NEN65" s="609"/>
      <c r="NEO65" s="609"/>
      <c r="NEP65" s="609"/>
      <c r="NEQ65" s="609"/>
      <c r="NER65" s="609"/>
      <c r="NES65" s="609"/>
      <c r="NET65" s="609"/>
      <c r="NEU65" s="609"/>
      <c r="NEV65" s="609"/>
      <c r="NEW65" s="609"/>
      <c r="NEX65" s="609"/>
      <c r="NEY65" s="609"/>
      <c r="NEZ65" s="609"/>
      <c r="NFA65" s="609"/>
      <c r="NFB65" s="609"/>
      <c r="NFC65" s="609"/>
      <c r="NFD65" s="609"/>
      <c r="NFE65" s="609"/>
      <c r="NFF65" s="609"/>
      <c r="NFG65" s="609"/>
      <c r="NFH65" s="609"/>
      <c r="NFI65" s="609"/>
      <c r="NFJ65" s="609"/>
      <c r="NFK65" s="609"/>
      <c r="NFL65" s="609"/>
      <c r="NFM65" s="609"/>
      <c r="NFN65" s="609"/>
      <c r="NFO65" s="609"/>
      <c r="NFP65" s="609"/>
      <c r="NFQ65" s="609"/>
      <c r="NFR65" s="609"/>
      <c r="NFS65" s="609"/>
      <c r="NFT65" s="609"/>
      <c r="NFU65" s="609"/>
      <c r="NFV65" s="609"/>
      <c r="NFW65" s="609"/>
      <c r="NFX65" s="609"/>
      <c r="NFY65" s="609"/>
      <c r="NFZ65" s="609"/>
      <c r="NGA65" s="609"/>
      <c r="NGB65" s="609"/>
      <c r="NGC65" s="609"/>
      <c r="NGD65" s="609"/>
      <c r="NGE65" s="609"/>
      <c r="NGF65" s="609"/>
      <c r="NGG65" s="609"/>
      <c r="NGH65" s="609"/>
      <c r="NGI65" s="609"/>
      <c r="NGJ65" s="609"/>
      <c r="NGK65" s="609"/>
      <c r="NGL65" s="609"/>
      <c r="NGM65" s="609"/>
      <c r="NGN65" s="609"/>
      <c r="NGO65" s="609"/>
      <c r="NGP65" s="609"/>
      <c r="NGQ65" s="609"/>
      <c r="NGR65" s="609"/>
      <c r="NGS65" s="609"/>
      <c r="NGT65" s="609"/>
      <c r="NGU65" s="609"/>
      <c r="NGV65" s="609"/>
      <c r="NGW65" s="609"/>
      <c r="NGX65" s="609"/>
      <c r="NGY65" s="609"/>
      <c r="NGZ65" s="609"/>
      <c r="NHA65" s="609"/>
      <c r="NHB65" s="609"/>
      <c r="NHC65" s="609"/>
      <c r="NHD65" s="609"/>
      <c r="NHE65" s="609"/>
      <c r="NHF65" s="609"/>
      <c r="NHG65" s="609"/>
      <c r="NHH65" s="609"/>
      <c r="NHI65" s="609"/>
      <c r="NHJ65" s="609"/>
      <c r="NHK65" s="609"/>
      <c r="NHL65" s="609"/>
      <c r="NHM65" s="609"/>
      <c r="NHN65" s="609"/>
      <c r="NHO65" s="609"/>
      <c r="NHP65" s="609"/>
      <c r="NHQ65" s="609"/>
      <c r="NHR65" s="609"/>
      <c r="NHS65" s="609"/>
      <c r="NHT65" s="609"/>
      <c r="NHU65" s="609"/>
      <c r="NHV65" s="609"/>
      <c r="NHW65" s="609"/>
      <c r="NHX65" s="609"/>
      <c r="NHY65" s="609"/>
      <c r="NHZ65" s="609"/>
      <c r="NIA65" s="609"/>
      <c r="NIB65" s="609"/>
      <c r="NIC65" s="609"/>
      <c r="NID65" s="609"/>
      <c r="NIE65" s="609"/>
      <c r="NIF65" s="609"/>
      <c r="NIG65" s="609"/>
      <c r="NIH65" s="609"/>
      <c r="NII65" s="609"/>
      <c r="NIJ65" s="609"/>
      <c r="NIK65" s="609"/>
      <c r="NIL65" s="609"/>
      <c r="NIM65" s="609"/>
      <c r="NIN65" s="609"/>
      <c r="NIO65" s="609"/>
      <c r="NIP65" s="609"/>
      <c r="NIQ65" s="609"/>
      <c r="NIR65" s="609"/>
      <c r="NIS65" s="609"/>
      <c r="NIT65" s="609"/>
      <c r="NIU65" s="609"/>
      <c r="NIV65" s="609"/>
      <c r="NIW65" s="609"/>
      <c r="NIX65" s="609"/>
      <c r="NIY65" s="609"/>
      <c r="NIZ65" s="609"/>
      <c r="NJA65" s="609"/>
      <c r="NJB65" s="609"/>
      <c r="NJC65" s="609"/>
      <c r="NJD65" s="609"/>
      <c r="NJE65" s="609"/>
      <c r="NJF65" s="609"/>
      <c r="NJG65" s="609"/>
      <c r="NJH65" s="609"/>
      <c r="NJI65" s="609"/>
      <c r="NJJ65" s="609"/>
      <c r="NJK65" s="609"/>
      <c r="NJL65" s="609"/>
      <c r="NJM65" s="609"/>
      <c r="NJN65" s="609"/>
      <c r="NJO65" s="609"/>
      <c r="NJP65" s="609"/>
      <c r="NJQ65" s="609"/>
      <c r="NJR65" s="609"/>
      <c r="NJS65" s="609"/>
      <c r="NJT65" s="609"/>
      <c r="NJU65" s="609"/>
      <c r="NJV65" s="609"/>
      <c r="NJW65" s="609"/>
      <c r="NJX65" s="609"/>
      <c r="NJY65" s="609"/>
      <c r="NJZ65" s="609"/>
      <c r="NKA65" s="609"/>
      <c r="NKB65" s="609"/>
      <c r="NKC65" s="609"/>
      <c r="NKD65" s="609"/>
      <c r="NKE65" s="609"/>
      <c r="NKF65" s="609"/>
      <c r="NKG65" s="609"/>
      <c r="NKH65" s="609"/>
      <c r="NKI65" s="609"/>
      <c r="NKJ65" s="609"/>
      <c r="NKK65" s="609"/>
      <c r="NKL65" s="609"/>
      <c r="NKM65" s="609"/>
      <c r="NKN65" s="609"/>
      <c r="NKO65" s="609"/>
      <c r="NKP65" s="609"/>
      <c r="NKQ65" s="609"/>
      <c r="NKR65" s="609"/>
      <c r="NKS65" s="609"/>
      <c r="NKT65" s="609"/>
      <c r="NKU65" s="609"/>
      <c r="NKV65" s="609"/>
      <c r="NKW65" s="609"/>
      <c r="NKX65" s="609"/>
      <c r="NKY65" s="609"/>
      <c r="NKZ65" s="609"/>
      <c r="NLA65" s="609"/>
      <c r="NLB65" s="609"/>
      <c r="NLC65" s="609"/>
      <c r="NLD65" s="609"/>
      <c r="NLE65" s="609"/>
      <c r="NLF65" s="609"/>
      <c r="NLG65" s="609"/>
      <c r="NLH65" s="609"/>
      <c r="NLI65" s="609"/>
      <c r="NLJ65" s="609"/>
      <c r="NLK65" s="609"/>
      <c r="NLL65" s="609"/>
      <c r="NLM65" s="609"/>
      <c r="NLN65" s="609"/>
      <c r="NLO65" s="609"/>
      <c r="NLP65" s="609"/>
      <c r="NLQ65" s="609"/>
      <c r="NLR65" s="609"/>
      <c r="NLS65" s="609"/>
      <c r="NLT65" s="609"/>
      <c r="NLU65" s="609"/>
      <c r="NLV65" s="609"/>
      <c r="NLW65" s="609"/>
      <c r="NLX65" s="609"/>
      <c r="NLY65" s="609"/>
      <c r="NLZ65" s="609"/>
      <c r="NMA65" s="609"/>
      <c r="NMB65" s="609"/>
      <c r="NMC65" s="609"/>
      <c r="NMD65" s="609"/>
      <c r="NME65" s="609"/>
      <c r="NMF65" s="609"/>
      <c r="NMG65" s="609"/>
      <c r="NMH65" s="609"/>
      <c r="NMI65" s="609"/>
      <c r="NMJ65" s="609"/>
      <c r="NMK65" s="609"/>
      <c r="NML65" s="609"/>
      <c r="NMM65" s="609"/>
      <c r="NMN65" s="609"/>
      <c r="NMO65" s="609"/>
      <c r="NMP65" s="609"/>
      <c r="NMQ65" s="609"/>
      <c r="NMR65" s="609"/>
      <c r="NMS65" s="609"/>
      <c r="NMT65" s="609"/>
      <c r="NMU65" s="609"/>
      <c r="NMV65" s="609"/>
      <c r="NMW65" s="609"/>
      <c r="NMX65" s="609"/>
      <c r="NMY65" s="609"/>
      <c r="NMZ65" s="609"/>
      <c r="NNA65" s="609"/>
      <c r="NNB65" s="609"/>
      <c r="NNC65" s="609"/>
      <c r="NND65" s="609"/>
      <c r="NNE65" s="609"/>
      <c r="NNF65" s="609"/>
      <c r="NNG65" s="609"/>
      <c r="NNH65" s="609"/>
      <c r="NNI65" s="609"/>
      <c r="NNJ65" s="609"/>
      <c r="NNK65" s="609"/>
      <c r="NNL65" s="609"/>
      <c r="NNM65" s="609"/>
      <c r="NNN65" s="609"/>
      <c r="NNO65" s="609"/>
      <c r="NNP65" s="609"/>
      <c r="NNQ65" s="609"/>
      <c r="NNR65" s="609"/>
      <c r="NNS65" s="609"/>
      <c r="NNT65" s="609"/>
      <c r="NNU65" s="609"/>
      <c r="NNV65" s="609"/>
      <c r="NNW65" s="609"/>
      <c r="NNX65" s="609"/>
      <c r="NNY65" s="609"/>
      <c r="NNZ65" s="609"/>
      <c r="NOA65" s="609"/>
      <c r="NOB65" s="609"/>
      <c r="NOC65" s="609"/>
      <c r="NOD65" s="609"/>
      <c r="NOE65" s="609"/>
      <c r="NOF65" s="609"/>
      <c r="NOG65" s="609"/>
      <c r="NOH65" s="609"/>
      <c r="NOI65" s="609"/>
      <c r="NOJ65" s="609"/>
      <c r="NOK65" s="609"/>
      <c r="NOL65" s="609"/>
      <c r="NOM65" s="609"/>
      <c r="NON65" s="609"/>
      <c r="NOO65" s="609"/>
      <c r="NOP65" s="609"/>
      <c r="NOQ65" s="609"/>
      <c r="NOR65" s="609"/>
      <c r="NOS65" s="609"/>
      <c r="NOT65" s="609"/>
      <c r="NOU65" s="609"/>
      <c r="NOV65" s="609"/>
      <c r="NOW65" s="609"/>
      <c r="NOX65" s="609"/>
      <c r="NOY65" s="609"/>
      <c r="NOZ65" s="609"/>
      <c r="NPA65" s="609"/>
      <c r="NPB65" s="609"/>
      <c r="NPC65" s="609"/>
      <c r="NPD65" s="609"/>
      <c r="NPE65" s="609"/>
      <c r="NPF65" s="609"/>
      <c r="NPG65" s="609"/>
      <c r="NPH65" s="609"/>
      <c r="NPI65" s="609"/>
      <c r="NPJ65" s="609"/>
      <c r="NPK65" s="609"/>
      <c r="NPL65" s="609"/>
      <c r="NPM65" s="609"/>
      <c r="NPN65" s="609"/>
      <c r="NPO65" s="609"/>
      <c r="NPP65" s="609"/>
      <c r="NPQ65" s="609"/>
      <c r="NPR65" s="609"/>
      <c r="NPS65" s="609"/>
      <c r="NPT65" s="609"/>
      <c r="NPU65" s="609"/>
      <c r="NPV65" s="609"/>
      <c r="NPW65" s="609"/>
      <c r="NPX65" s="609"/>
      <c r="NPY65" s="609"/>
      <c r="NPZ65" s="609"/>
      <c r="NQA65" s="609"/>
      <c r="NQB65" s="609"/>
      <c r="NQC65" s="609"/>
      <c r="NQD65" s="609"/>
      <c r="NQE65" s="609"/>
      <c r="NQF65" s="609"/>
      <c r="NQG65" s="609"/>
      <c r="NQH65" s="609"/>
      <c r="NQI65" s="609"/>
      <c r="NQJ65" s="609"/>
      <c r="NQK65" s="609"/>
      <c r="NQL65" s="609"/>
      <c r="NQM65" s="609"/>
      <c r="NQN65" s="609"/>
      <c r="NQO65" s="609"/>
      <c r="NQP65" s="609"/>
      <c r="NQQ65" s="609"/>
      <c r="NQR65" s="609"/>
      <c r="NQS65" s="609"/>
      <c r="NQT65" s="609"/>
      <c r="NQU65" s="609"/>
      <c r="NQV65" s="609"/>
      <c r="NQW65" s="609"/>
      <c r="NQX65" s="609"/>
      <c r="NQY65" s="609"/>
      <c r="NQZ65" s="609"/>
      <c r="NRA65" s="609"/>
      <c r="NRB65" s="609"/>
      <c r="NRC65" s="609"/>
      <c r="NRD65" s="609"/>
      <c r="NRE65" s="609"/>
      <c r="NRF65" s="609"/>
      <c r="NRG65" s="609"/>
      <c r="NRH65" s="609"/>
      <c r="NRI65" s="609"/>
      <c r="NRJ65" s="609"/>
      <c r="NRK65" s="609"/>
      <c r="NRL65" s="609"/>
      <c r="NRM65" s="609"/>
      <c r="NRN65" s="609"/>
      <c r="NRO65" s="609"/>
      <c r="NRP65" s="609"/>
      <c r="NRQ65" s="609"/>
      <c r="NRR65" s="609"/>
      <c r="NRS65" s="609"/>
      <c r="NRT65" s="609"/>
      <c r="NRU65" s="609"/>
      <c r="NRV65" s="609"/>
      <c r="NRW65" s="609"/>
      <c r="NRX65" s="609"/>
      <c r="NRY65" s="609"/>
      <c r="NRZ65" s="609"/>
      <c r="NSA65" s="609"/>
      <c r="NSB65" s="609"/>
      <c r="NSC65" s="609"/>
      <c r="NSD65" s="609"/>
      <c r="NSE65" s="609"/>
      <c r="NSF65" s="609"/>
      <c r="NSG65" s="609"/>
      <c r="NSH65" s="609"/>
      <c r="NSI65" s="609"/>
      <c r="NSJ65" s="609"/>
      <c r="NSK65" s="609"/>
      <c r="NSL65" s="609"/>
      <c r="NSM65" s="609"/>
      <c r="NSN65" s="609"/>
      <c r="NSO65" s="609"/>
      <c r="NSP65" s="609"/>
      <c r="NSQ65" s="609"/>
      <c r="NSR65" s="609"/>
      <c r="NSS65" s="609"/>
      <c r="NST65" s="609"/>
      <c r="NSU65" s="609"/>
      <c r="NSV65" s="609"/>
      <c r="NSW65" s="609"/>
      <c r="NSX65" s="609"/>
      <c r="NSY65" s="609"/>
      <c r="NSZ65" s="609"/>
      <c r="NTA65" s="609"/>
      <c r="NTB65" s="609"/>
      <c r="NTC65" s="609"/>
      <c r="NTD65" s="609"/>
      <c r="NTE65" s="609"/>
      <c r="NTF65" s="609"/>
      <c r="NTG65" s="609"/>
      <c r="NTH65" s="609"/>
      <c r="NTI65" s="609"/>
      <c r="NTJ65" s="609"/>
      <c r="NTK65" s="609"/>
      <c r="NTL65" s="609"/>
      <c r="NTM65" s="609"/>
      <c r="NTN65" s="609"/>
      <c r="NTO65" s="609"/>
      <c r="NTP65" s="609"/>
      <c r="NTQ65" s="609"/>
      <c r="NTR65" s="609"/>
      <c r="NTS65" s="609"/>
      <c r="NTT65" s="609"/>
      <c r="NTU65" s="609"/>
      <c r="NTV65" s="609"/>
      <c r="NTW65" s="609"/>
      <c r="NTX65" s="609"/>
      <c r="NTY65" s="609"/>
      <c r="NTZ65" s="609"/>
      <c r="NUA65" s="609"/>
      <c r="NUB65" s="609"/>
      <c r="NUC65" s="609"/>
      <c r="NUD65" s="609"/>
      <c r="NUE65" s="609"/>
      <c r="NUF65" s="609"/>
      <c r="NUG65" s="609"/>
      <c r="NUH65" s="609"/>
      <c r="NUI65" s="609"/>
      <c r="NUJ65" s="609"/>
      <c r="NUK65" s="609"/>
      <c r="NUL65" s="609"/>
      <c r="NUM65" s="609"/>
      <c r="NUN65" s="609"/>
      <c r="NUO65" s="609"/>
      <c r="NUP65" s="609"/>
      <c r="NUQ65" s="609"/>
      <c r="NUR65" s="609"/>
      <c r="NUS65" s="609"/>
      <c r="NUT65" s="609"/>
      <c r="NUU65" s="609"/>
      <c r="NUV65" s="609"/>
      <c r="NUW65" s="609"/>
      <c r="NUX65" s="609"/>
      <c r="NUY65" s="609"/>
      <c r="NUZ65" s="609"/>
      <c r="NVA65" s="609"/>
      <c r="NVB65" s="609"/>
      <c r="NVC65" s="609"/>
      <c r="NVD65" s="609"/>
      <c r="NVE65" s="609"/>
      <c r="NVF65" s="609"/>
      <c r="NVG65" s="609"/>
      <c r="NVH65" s="609"/>
      <c r="NVI65" s="609"/>
      <c r="NVJ65" s="609"/>
      <c r="NVK65" s="609"/>
      <c r="NVL65" s="609"/>
      <c r="NVM65" s="609"/>
      <c r="NVN65" s="609"/>
      <c r="NVO65" s="609"/>
      <c r="NVP65" s="609"/>
      <c r="NVQ65" s="609"/>
      <c r="NVR65" s="609"/>
      <c r="NVS65" s="609"/>
      <c r="NVT65" s="609"/>
      <c r="NVU65" s="609"/>
      <c r="NVV65" s="609"/>
      <c r="NVW65" s="609"/>
      <c r="NVX65" s="609"/>
      <c r="NVY65" s="609"/>
      <c r="NVZ65" s="609"/>
      <c r="NWA65" s="609"/>
      <c r="NWB65" s="609"/>
      <c r="NWC65" s="609"/>
      <c r="NWD65" s="609"/>
      <c r="NWE65" s="609"/>
      <c r="NWF65" s="609"/>
      <c r="NWG65" s="609"/>
      <c r="NWH65" s="609"/>
      <c r="NWI65" s="609"/>
      <c r="NWJ65" s="609"/>
      <c r="NWK65" s="609"/>
      <c r="NWL65" s="609"/>
      <c r="NWM65" s="609"/>
      <c r="NWN65" s="609"/>
      <c r="NWO65" s="609"/>
      <c r="NWP65" s="609"/>
      <c r="NWQ65" s="609"/>
      <c r="NWR65" s="609"/>
      <c r="NWS65" s="609"/>
      <c r="NWT65" s="609"/>
      <c r="NWU65" s="609"/>
      <c r="NWV65" s="609"/>
      <c r="NWW65" s="609"/>
      <c r="NWX65" s="609"/>
      <c r="NWY65" s="609"/>
      <c r="NWZ65" s="609"/>
      <c r="NXA65" s="609"/>
      <c r="NXB65" s="609"/>
      <c r="NXC65" s="609"/>
      <c r="NXD65" s="609"/>
      <c r="NXE65" s="609"/>
      <c r="NXF65" s="609"/>
      <c r="NXG65" s="609"/>
      <c r="NXH65" s="609"/>
      <c r="NXI65" s="609"/>
      <c r="NXJ65" s="609"/>
      <c r="NXK65" s="609"/>
      <c r="NXL65" s="609"/>
      <c r="NXM65" s="609"/>
      <c r="NXN65" s="609"/>
      <c r="NXO65" s="609"/>
      <c r="NXP65" s="609"/>
      <c r="NXQ65" s="609"/>
      <c r="NXR65" s="609"/>
      <c r="NXS65" s="609"/>
      <c r="NXT65" s="609"/>
      <c r="NXU65" s="609"/>
      <c r="NXV65" s="609"/>
      <c r="NXW65" s="609"/>
      <c r="NXX65" s="609"/>
      <c r="NXY65" s="609"/>
      <c r="NXZ65" s="609"/>
      <c r="NYA65" s="609"/>
      <c r="NYB65" s="609"/>
      <c r="NYC65" s="609"/>
      <c r="NYD65" s="609"/>
      <c r="NYE65" s="609"/>
      <c r="NYF65" s="609"/>
      <c r="NYG65" s="609"/>
      <c r="NYH65" s="609"/>
      <c r="NYI65" s="609"/>
      <c r="NYJ65" s="609"/>
      <c r="NYK65" s="609"/>
      <c r="NYL65" s="609"/>
      <c r="NYM65" s="609"/>
      <c r="NYN65" s="609"/>
      <c r="NYO65" s="609"/>
      <c r="NYP65" s="609"/>
      <c r="NYQ65" s="609"/>
      <c r="NYR65" s="609"/>
      <c r="NYS65" s="609"/>
      <c r="NYT65" s="609"/>
      <c r="NYU65" s="609"/>
      <c r="NYV65" s="609"/>
      <c r="NYW65" s="609"/>
      <c r="NYX65" s="609"/>
      <c r="NYY65" s="609"/>
      <c r="NYZ65" s="609"/>
      <c r="NZA65" s="609"/>
      <c r="NZB65" s="609"/>
      <c r="NZC65" s="609"/>
      <c r="NZD65" s="609"/>
      <c r="NZE65" s="609"/>
      <c r="NZF65" s="609"/>
      <c r="NZG65" s="609"/>
      <c r="NZH65" s="609"/>
      <c r="NZI65" s="609"/>
      <c r="NZJ65" s="609"/>
      <c r="NZK65" s="609"/>
      <c r="NZL65" s="609"/>
      <c r="NZM65" s="609"/>
      <c r="NZN65" s="609"/>
      <c r="NZO65" s="609"/>
      <c r="NZP65" s="609"/>
      <c r="NZQ65" s="609"/>
      <c r="NZR65" s="609"/>
      <c r="NZS65" s="609"/>
      <c r="NZT65" s="609"/>
      <c r="NZU65" s="609"/>
      <c r="NZV65" s="609"/>
      <c r="NZW65" s="609"/>
      <c r="NZX65" s="609"/>
      <c r="NZY65" s="609"/>
      <c r="NZZ65" s="609"/>
      <c r="OAA65" s="609"/>
      <c r="OAB65" s="609"/>
      <c r="OAC65" s="609"/>
      <c r="OAD65" s="609"/>
      <c r="OAE65" s="609"/>
      <c r="OAF65" s="609"/>
      <c r="OAG65" s="609"/>
      <c r="OAH65" s="609"/>
      <c r="OAI65" s="609"/>
      <c r="OAJ65" s="609"/>
      <c r="OAK65" s="609"/>
      <c r="OAL65" s="609"/>
      <c r="OAM65" s="609"/>
      <c r="OAN65" s="609"/>
      <c r="OAO65" s="609"/>
      <c r="OAP65" s="609"/>
      <c r="OAQ65" s="609"/>
      <c r="OAR65" s="609"/>
      <c r="OAS65" s="609"/>
      <c r="OAT65" s="609"/>
      <c r="OAU65" s="609"/>
      <c r="OAV65" s="609"/>
      <c r="OAW65" s="609"/>
      <c r="OAX65" s="609"/>
      <c r="OAY65" s="609"/>
      <c r="OAZ65" s="609"/>
      <c r="OBA65" s="609"/>
      <c r="OBB65" s="609"/>
      <c r="OBC65" s="609"/>
      <c r="OBD65" s="609"/>
      <c r="OBE65" s="609"/>
      <c r="OBF65" s="609"/>
      <c r="OBG65" s="609"/>
      <c r="OBH65" s="609"/>
      <c r="OBI65" s="609"/>
      <c r="OBJ65" s="609"/>
      <c r="OBK65" s="609"/>
      <c r="OBL65" s="609"/>
      <c r="OBM65" s="609"/>
      <c r="OBN65" s="609"/>
      <c r="OBO65" s="609"/>
      <c r="OBP65" s="609"/>
      <c r="OBQ65" s="609"/>
      <c r="OBR65" s="609"/>
      <c r="OBS65" s="609"/>
      <c r="OBT65" s="609"/>
      <c r="OBU65" s="609"/>
      <c r="OBV65" s="609"/>
      <c r="OBW65" s="609"/>
      <c r="OBX65" s="609"/>
      <c r="OBY65" s="609"/>
      <c r="OBZ65" s="609"/>
      <c r="OCA65" s="609"/>
      <c r="OCB65" s="609"/>
      <c r="OCC65" s="609"/>
      <c r="OCD65" s="609"/>
      <c r="OCE65" s="609"/>
      <c r="OCF65" s="609"/>
      <c r="OCG65" s="609"/>
      <c r="OCH65" s="609"/>
      <c r="OCI65" s="609"/>
      <c r="OCJ65" s="609"/>
      <c r="OCK65" s="609"/>
      <c r="OCL65" s="609"/>
      <c r="OCM65" s="609"/>
      <c r="OCN65" s="609"/>
      <c r="OCO65" s="609"/>
      <c r="OCP65" s="609"/>
      <c r="OCQ65" s="609"/>
      <c r="OCR65" s="609"/>
      <c r="OCS65" s="609"/>
      <c r="OCT65" s="609"/>
      <c r="OCU65" s="609"/>
      <c r="OCV65" s="609"/>
      <c r="OCW65" s="609"/>
      <c r="OCX65" s="609"/>
      <c r="OCY65" s="609"/>
      <c r="OCZ65" s="609"/>
      <c r="ODA65" s="609"/>
      <c r="ODB65" s="609"/>
      <c r="ODC65" s="609"/>
      <c r="ODD65" s="609"/>
      <c r="ODE65" s="609"/>
      <c r="ODF65" s="609"/>
      <c r="ODG65" s="609"/>
      <c r="ODH65" s="609"/>
      <c r="ODI65" s="609"/>
      <c r="ODJ65" s="609"/>
      <c r="ODK65" s="609"/>
      <c r="ODL65" s="609"/>
      <c r="ODM65" s="609"/>
      <c r="ODN65" s="609"/>
      <c r="ODO65" s="609"/>
      <c r="ODP65" s="609"/>
      <c r="ODQ65" s="609"/>
      <c r="ODR65" s="609"/>
      <c r="ODS65" s="609"/>
      <c r="ODT65" s="609"/>
      <c r="ODU65" s="609"/>
      <c r="ODV65" s="609"/>
      <c r="ODW65" s="609"/>
      <c r="ODX65" s="609"/>
      <c r="ODY65" s="609"/>
      <c r="ODZ65" s="609"/>
      <c r="OEA65" s="609"/>
      <c r="OEB65" s="609"/>
      <c r="OEC65" s="609"/>
      <c r="OED65" s="609"/>
      <c r="OEE65" s="609"/>
      <c r="OEF65" s="609"/>
      <c r="OEG65" s="609"/>
      <c r="OEH65" s="609"/>
      <c r="OEI65" s="609"/>
      <c r="OEJ65" s="609"/>
      <c r="OEK65" s="609"/>
      <c r="OEL65" s="609"/>
      <c r="OEM65" s="609"/>
      <c r="OEN65" s="609"/>
      <c r="OEO65" s="609"/>
      <c r="OEP65" s="609"/>
      <c r="OEQ65" s="609"/>
      <c r="OER65" s="609"/>
      <c r="OES65" s="609"/>
      <c r="OET65" s="609"/>
      <c r="OEU65" s="609"/>
      <c r="OEV65" s="609"/>
      <c r="OEW65" s="609"/>
      <c r="OEX65" s="609"/>
      <c r="OEY65" s="609"/>
      <c r="OEZ65" s="609"/>
      <c r="OFA65" s="609"/>
      <c r="OFB65" s="609"/>
      <c r="OFC65" s="609"/>
      <c r="OFD65" s="609"/>
      <c r="OFE65" s="609"/>
      <c r="OFF65" s="609"/>
      <c r="OFG65" s="609"/>
      <c r="OFH65" s="609"/>
      <c r="OFI65" s="609"/>
      <c r="OFJ65" s="609"/>
      <c r="OFK65" s="609"/>
      <c r="OFL65" s="609"/>
      <c r="OFM65" s="609"/>
      <c r="OFN65" s="609"/>
      <c r="OFO65" s="609"/>
      <c r="OFP65" s="609"/>
      <c r="OFQ65" s="609"/>
      <c r="OFR65" s="609"/>
      <c r="OFS65" s="609"/>
      <c r="OFT65" s="609"/>
      <c r="OFU65" s="609"/>
      <c r="OFV65" s="609"/>
      <c r="OFW65" s="609"/>
      <c r="OFX65" s="609"/>
      <c r="OFY65" s="609"/>
      <c r="OFZ65" s="609"/>
      <c r="OGA65" s="609"/>
      <c r="OGB65" s="609"/>
      <c r="OGC65" s="609"/>
      <c r="OGD65" s="609"/>
      <c r="OGE65" s="609"/>
      <c r="OGF65" s="609"/>
      <c r="OGG65" s="609"/>
      <c r="OGH65" s="609"/>
      <c r="OGI65" s="609"/>
      <c r="OGJ65" s="609"/>
      <c r="OGK65" s="609"/>
      <c r="OGL65" s="609"/>
      <c r="OGM65" s="609"/>
      <c r="OGN65" s="609"/>
      <c r="OGO65" s="609"/>
      <c r="OGP65" s="609"/>
      <c r="OGQ65" s="609"/>
      <c r="OGR65" s="609"/>
      <c r="OGS65" s="609"/>
      <c r="OGT65" s="609"/>
      <c r="OGU65" s="609"/>
      <c r="OGV65" s="609"/>
      <c r="OGW65" s="609"/>
      <c r="OGX65" s="609"/>
      <c r="OGY65" s="609"/>
      <c r="OGZ65" s="609"/>
      <c r="OHA65" s="609"/>
      <c r="OHB65" s="609"/>
      <c r="OHC65" s="609"/>
      <c r="OHD65" s="609"/>
      <c r="OHE65" s="609"/>
      <c r="OHF65" s="609"/>
      <c r="OHG65" s="609"/>
      <c r="OHH65" s="609"/>
      <c r="OHI65" s="609"/>
      <c r="OHJ65" s="609"/>
      <c r="OHK65" s="609"/>
      <c r="OHL65" s="609"/>
      <c r="OHM65" s="609"/>
      <c r="OHN65" s="609"/>
      <c r="OHO65" s="609"/>
      <c r="OHP65" s="609"/>
      <c r="OHQ65" s="609"/>
      <c r="OHR65" s="609"/>
      <c r="OHS65" s="609"/>
      <c r="OHT65" s="609"/>
      <c r="OHU65" s="609"/>
      <c r="OHV65" s="609"/>
      <c r="OHW65" s="609"/>
      <c r="OHX65" s="609"/>
      <c r="OHY65" s="609"/>
      <c r="OHZ65" s="609"/>
      <c r="OIA65" s="609"/>
      <c r="OIB65" s="609"/>
      <c r="OIC65" s="609"/>
      <c r="OID65" s="609"/>
      <c r="OIE65" s="609"/>
      <c r="OIF65" s="609"/>
      <c r="OIG65" s="609"/>
      <c r="OIH65" s="609"/>
      <c r="OII65" s="609"/>
      <c r="OIJ65" s="609"/>
      <c r="OIK65" s="609"/>
      <c r="OIL65" s="609"/>
      <c r="OIM65" s="609"/>
      <c r="OIN65" s="609"/>
      <c r="OIO65" s="609"/>
      <c r="OIP65" s="609"/>
      <c r="OIQ65" s="609"/>
      <c r="OIR65" s="609"/>
      <c r="OIS65" s="609"/>
      <c r="OIT65" s="609"/>
      <c r="OIU65" s="609"/>
      <c r="OIV65" s="609"/>
      <c r="OIW65" s="609"/>
      <c r="OIX65" s="609"/>
      <c r="OIY65" s="609"/>
      <c r="OIZ65" s="609"/>
      <c r="OJA65" s="609"/>
      <c r="OJB65" s="609"/>
      <c r="OJC65" s="609"/>
      <c r="OJD65" s="609"/>
      <c r="OJE65" s="609"/>
      <c r="OJF65" s="609"/>
      <c r="OJG65" s="609"/>
      <c r="OJH65" s="609"/>
      <c r="OJI65" s="609"/>
      <c r="OJJ65" s="609"/>
      <c r="OJK65" s="609"/>
      <c r="OJL65" s="609"/>
      <c r="OJM65" s="609"/>
      <c r="OJN65" s="609"/>
      <c r="OJO65" s="609"/>
      <c r="OJP65" s="609"/>
      <c r="OJQ65" s="609"/>
      <c r="OJR65" s="609"/>
      <c r="OJS65" s="609"/>
      <c r="OJT65" s="609"/>
      <c r="OJU65" s="609"/>
      <c r="OJV65" s="609"/>
      <c r="OJW65" s="609"/>
      <c r="OJX65" s="609"/>
      <c r="OJY65" s="609"/>
      <c r="OJZ65" s="609"/>
      <c r="OKA65" s="609"/>
      <c r="OKB65" s="609"/>
      <c r="OKC65" s="609"/>
      <c r="OKD65" s="609"/>
      <c r="OKE65" s="609"/>
      <c r="OKF65" s="609"/>
      <c r="OKG65" s="609"/>
      <c r="OKH65" s="609"/>
      <c r="OKI65" s="609"/>
      <c r="OKJ65" s="609"/>
      <c r="OKK65" s="609"/>
      <c r="OKL65" s="609"/>
      <c r="OKM65" s="609"/>
      <c r="OKN65" s="609"/>
      <c r="OKO65" s="609"/>
      <c r="OKP65" s="609"/>
      <c r="OKQ65" s="609"/>
      <c r="OKR65" s="609"/>
      <c r="OKS65" s="609"/>
      <c r="OKT65" s="609"/>
      <c r="OKU65" s="609"/>
      <c r="OKV65" s="609"/>
      <c r="OKW65" s="609"/>
      <c r="OKX65" s="609"/>
      <c r="OKY65" s="609"/>
      <c r="OKZ65" s="609"/>
      <c r="OLA65" s="609"/>
      <c r="OLB65" s="609"/>
      <c r="OLC65" s="609"/>
      <c r="OLD65" s="609"/>
      <c r="OLE65" s="609"/>
      <c r="OLF65" s="609"/>
      <c r="OLG65" s="609"/>
      <c r="OLH65" s="609"/>
      <c r="OLI65" s="609"/>
      <c r="OLJ65" s="609"/>
      <c r="OLK65" s="609"/>
      <c r="OLL65" s="609"/>
      <c r="OLM65" s="609"/>
      <c r="OLN65" s="609"/>
      <c r="OLO65" s="609"/>
      <c r="OLP65" s="609"/>
      <c r="OLQ65" s="609"/>
      <c r="OLR65" s="609"/>
      <c r="OLS65" s="609"/>
      <c r="OLT65" s="609"/>
      <c r="OLU65" s="609"/>
      <c r="OLV65" s="609"/>
      <c r="OLW65" s="609"/>
      <c r="OLX65" s="609"/>
      <c r="OLY65" s="609"/>
      <c r="OLZ65" s="609"/>
      <c r="OMA65" s="609"/>
      <c r="OMB65" s="609"/>
      <c r="OMC65" s="609"/>
      <c r="OMD65" s="609"/>
      <c r="OME65" s="609"/>
      <c r="OMF65" s="609"/>
      <c r="OMG65" s="609"/>
      <c r="OMH65" s="609"/>
      <c r="OMI65" s="609"/>
      <c r="OMJ65" s="609"/>
      <c r="OMK65" s="609"/>
      <c r="OML65" s="609"/>
      <c r="OMM65" s="609"/>
      <c r="OMN65" s="609"/>
      <c r="OMO65" s="609"/>
      <c r="OMP65" s="609"/>
      <c r="OMQ65" s="609"/>
      <c r="OMR65" s="609"/>
      <c r="OMS65" s="609"/>
      <c r="OMT65" s="609"/>
      <c r="OMU65" s="609"/>
      <c r="OMV65" s="609"/>
      <c r="OMW65" s="609"/>
      <c r="OMX65" s="609"/>
      <c r="OMY65" s="609"/>
      <c r="OMZ65" s="609"/>
      <c r="ONA65" s="609"/>
      <c r="ONB65" s="609"/>
      <c r="ONC65" s="609"/>
      <c r="OND65" s="609"/>
      <c r="ONE65" s="609"/>
      <c r="ONF65" s="609"/>
      <c r="ONG65" s="609"/>
      <c r="ONH65" s="609"/>
      <c r="ONI65" s="609"/>
      <c r="ONJ65" s="609"/>
      <c r="ONK65" s="609"/>
      <c r="ONL65" s="609"/>
      <c r="ONM65" s="609"/>
      <c r="ONN65" s="609"/>
      <c r="ONO65" s="609"/>
      <c r="ONP65" s="609"/>
      <c r="ONQ65" s="609"/>
      <c r="ONR65" s="609"/>
      <c r="ONS65" s="609"/>
      <c r="ONT65" s="609"/>
      <c r="ONU65" s="609"/>
      <c r="ONV65" s="609"/>
      <c r="ONW65" s="609"/>
      <c r="ONX65" s="609"/>
      <c r="ONY65" s="609"/>
      <c r="ONZ65" s="609"/>
      <c r="OOA65" s="609"/>
      <c r="OOB65" s="609"/>
      <c r="OOC65" s="609"/>
      <c r="OOD65" s="609"/>
      <c r="OOE65" s="609"/>
      <c r="OOF65" s="609"/>
      <c r="OOG65" s="609"/>
      <c r="OOH65" s="609"/>
      <c r="OOI65" s="609"/>
      <c r="OOJ65" s="609"/>
      <c r="OOK65" s="609"/>
      <c r="OOL65" s="609"/>
      <c r="OOM65" s="609"/>
      <c r="OON65" s="609"/>
      <c r="OOO65" s="609"/>
      <c r="OOP65" s="609"/>
      <c r="OOQ65" s="609"/>
      <c r="OOR65" s="609"/>
      <c r="OOS65" s="609"/>
      <c r="OOT65" s="609"/>
      <c r="OOU65" s="609"/>
      <c r="OOV65" s="609"/>
      <c r="OOW65" s="609"/>
      <c r="OOX65" s="609"/>
      <c r="OOY65" s="609"/>
      <c r="OOZ65" s="609"/>
      <c r="OPA65" s="609"/>
      <c r="OPB65" s="609"/>
      <c r="OPC65" s="609"/>
      <c r="OPD65" s="609"/>
      <c r="OPE65" s="609"/>
      <c r="OPF65" s="609"/>
      <c r="OPG65" s="609"/>
      <c r="OPH65" s="609"/>
      <c r="OPI65" s="609"/>
      <c r="OPJ65" s="609"/>
      <c r="OPK65" s="609"/>
      <c r="OPL65" s="609"/>
      <c r="OPM65" s="609"/>
      <c r="OPN65" s="609"/>
      <c r="OPO65" s="609"/>
      <c r="OPP65" s="609"/>
      <c r="OPQ65" s="609"/>
      <c r="OPR65" s="609"/>
      <c r="OPS65" s="609"/>
      <c r="OPT65" s="609"/>
      <c r="OPU65" s="609"/>
      <c r="OPV65" s="609"/>
      <c r="OPW65" s="609"/>
      <c r="OPX65" s="609"/>
      <c r="OPY65" s="609"/>
      <c r="OPZ65" s="609"/>
      <c r="OQA65" s="609"/>
      <c r="OQB65" s="609"/>
      <c r="OQC65" s="609"/>
      <c r="OQD65" s="609"/>
      <c r="OQE65" s="609"/>
      <c r="OQF65" s="609"/>
      <c r="OQG65" s="609"/>
      <c r="OQH65" s="609"/>
      <c r="OQI65" s="609"/>
      <c r="OQJ65" s="609"/>
      <c r="OQK65" s="609"/>
      <c r="OQL65" s="609"/>
      <c r="OQM65" s="609"/>
      <c r="OQN65" s="609"/>
      <c r="OQO65" s="609"/>
      <c r="OQP65" s="609"/>
      <c r="OQQ65" s="609"/>
      <c r="OQR65" s="609"/>
      <c r="OQS65" s="609"/>
      <c r="OQT65" s="609"/>
      <c r="OQU65" s="609"/>
      <c r="OQV65" s="609"/>
      <c r="OQW65" s="609"/>
      <c r="OQX65" s="609"/>
      <c r="OQY65" s="609"/>
      <c r="OQZ65" s="609"/>
      <c r="ORA65" s="609"/>
      <c r="ORB65" s="609"/>
      <c r="ORC65" s="609"/>
      <c r="ORD65" s="609"/>
      <c r="ORE65" s="609"/>
      <c r="ORF65" s="609"/>
      <c r="ORG65" s="609"/>
      <c r="ORH65" s="609"/>
      <c r="ORI65" s="609"/>
      <c r="ORJ65" s="609"/>
      <c r="ORK65" s="609"/>
      <c r="ORL65" s="609"/>
      <c r="ORM65" s="609"/>
      <c r="ORN65" s="609"/>
      <c r="ORO65" s="609"/>
      <c r="ORP65" s="609"/>
      <c r="ORQ65" s="609"/>
      <c r="ORR65" s="609"/>
      <c r="ORS65" s="609"/>
      <c r="ORT65" s="609"/>
      <c r="ORU65" s="609"/>
      <c r="ORV65" s="609"/>
      <c r="ORW65" s="609"/>
      <c r="ORX65" s="609"/>
      <c r="ORY65" s="609"/>
      <c r="ORZ65" s="609"/>
      <c r="OSA65" s="609"/>
      <c r="OSB65" s="609"/>
      <c r="OSC65" s="609"/>
      <c r="OSD65" s="609"/>
      <c r="OSE65" s="609"/>
      <c r="OSF65" s="609"/>
      <c r="OSG65" s="609"/>
      <c r="OSH65" s="609"/>
      <c r="OSI65" s="609"/>
      <c r="OSJ65" s="609"/>
      <c r="OSK65" s="609"/>
      <c r="OSL65" s="609"/>
      <c r="OSM65" s="609"/>
      <c r="OSN65" s="609"/>
      <c r="OSO65" s="609"/>
      <c r="OSP65" s="609"/>
      <c r="OSQ65" s="609"/>
      <c r="OSR65" s="609"/>
      <c r="OSS65" s="609"/>
      <c r="OST65" s="609"/>
      <c r="OSU65" s="609"/>
      <c r="OSV65" s="609"/>
      <c r="OSW65" s="609"/>
      <c r="OSX65" s="609"/>
      <c r="OSY65" s="609"/>
      <c r="OSZ65" s="609"/>
      <c r="OTA65" s="609"/>
      <c r="OTB65" s="609"/>
      <c r="OTC65" s="609"/>
      <c r="OTD65" s="609"/>
      <c r="OTE65" s="609"/>
      <c r="OTF65" s="609"/>
      <c r="OTG65" s="609"/>
      <c r="OTH65" s="609"/>
      <c r="OTI65" s="609"/>
      <c r="OTJ65" s="609"/>
      <c r="OTK65" s="609"/>
      <c r="OTL65" s="609"/>
      <c r="OTM65" s="609"/>
      <c r="OTN65" s="609"/>
      <c r="OTO65" s="609"/>
      <c r="OTP65" s="609"/>
      <c r="OTQ65" s="609"/>
      <c r="OTR65" s="609"/>
      <c r="OTS65" s="609"/>
      <c r="OTT65" s="609"/>
      <c r="OTU65" s="609"/>
      <c r="OTV65" s="609"/>
      <c r="OTW65" s="609"/>
      <c r="OTX65" s="609"/>
      <c r="OTY65" s="609"/>
      <c r="OTZ65" s="609"/>
      <c r="OUA65" s="609"/>
      <c r="OUB65" s="609"/>
      <c r="OUC65" s="609"/>
      <c r="OUD65" s="609"/>
      <c r="OUE65" s="609"/>
      <c r="OUF65" s="609"/>
      <c r="OUG65" s="609"/>
      <c r="OUH65" s="609"/>
      <c r="OUI65" s="609"/>
      <c r="OUJ65" s="609"/>
      <c r="OUK65" s="609"/>
      <c r="OUL65" s="609"/>
      <c r="OUM65" s="609"/>
      <c r="OUN65" s="609"/>
      <c r="OUO65" s="609"/>
      <c r="OUP65" s="609"/>
      <c r="OUQ65" s="609"/>
      <c r="OUR65" s="609"/>
      <c r="OUS65" s="609"/>
      <c r="OUT65" s="609"/>
      <c r="OUU65" s="609"/>
      <c r="OUV65" s="609"/>
      <c r="OUW65" s="609"/>
      <c r="OUX65" s="609"/>
      <c r="OUY65" s="609"/>
      <c r="OUZ65" s="609"/>
      <c r="OVA65" s="609"/>
      <c r="OVB65" s="609"/>
      <c r="OVC65" s="609"/>
      <c r="OVD65" s="609"/>
      <c r="OVE65" s="609"/>
      <c r="OVF65" s="609"/>
      <c r="OVG65" s="609"/>
      <c r="OVH65" s="609"/>
      <c r="OVI65" s="609"/>
      <c r="OVJ65" s="609"/>
      <c r="OVK65" s="609"/>
      <c r="OVL65" s="609"/>
      <c r="OVM65" s="609"/>
      <c r="OVN65" s="609"/>
      <c r="OVO65" s="609"/>
      <c r="OVP65" s="609"/>
      <c r="OVQ65" s="609"/>
      <c r="OVR65" s="609"/>
      <c r="OVS65" s="609"/>
      <c r="OVT65" s="609"/>
      <c r="OVU65" s="609"/>
      <c r="OVV65" s="609"/>
      <c r="OVW65" s="609"/>
      <c r="OVX65" s="609"/>
      <c r="OVY65" s="609"/>
      <c r="OVZ65" s="609"/>
      <c r="OWA65" s="609"/>
      <c r="OWB65" s="609"/>
      <c r="OWC65" s="609"/>
      <c r="OWD65" s="609"/>
      <c r="OWE65" s="609"/>
      <c r="OWF65" s="609"/>
      <c r="OWG65" s="609"/>
      <c r="OWH65" s="609"/>
      <c r="OWI65" s="609"/>
      <c r="OWJ65" s="609"/>
      <c r="OWK65" s="609"/>
      <c r="OWL65" s="609"/>
      <c r="OWM65" s="609"/>
      <c r="OWN65" s="609"/>
      <c r="OWO65" s="609"/>
      <c r="OWP65" s="609"/>
      <c r="OWQ65" s="609"/>
      <c r="OWR65" s="609"/>
      <c r="OWS65" s="609"/>
      <c r="OWT65" s="609"/>
      <c r="OWU65" s="609"/>
      <c r="OWV65" s="609"/>
      <c r="OWW65" s="609"/>
      <c r="OWX65" s="609"/>
      <c r="OWY65" s="609"/>
      <c r="OWZ65" s="609"/>
      <c r="OXA65" s="609"/>
      <c r="OXB65" s="609"/>
      <c r="OXC65" s="609"/>
      <c r="OXD65" s="609"/>
      <c r="OXE65" s="609"/>
      <c r="OXF65" s="609"/>
      <c r="OXG65" s="609"/>
      <c r="OXH65" s="609"/>
      <c r="OXI65" s="609"/>
      <c r="OXJ65" s="609"/>
      <c r="OXK65" s="609"/>
      <c r="OXL65" s="609"/>
      <c r="OXM65" s="609"/>
      <c r="OXN65" s="609"/>
      <c r="OXO65" s="609"/>
      <c r="OXP65" s="609"/>
      <c r="OXQ65" s="609"/>
      <c r="OXR65" s="609"/>
      <c r="OXS65" s="609"/>
      <c r="OXT65" s="609"/>
      <c r="OXU65" s="609"/>
      <c r="OXV65" s="609"/>
      <c r="OXW65" s="609"/>
      <c r="OXX65" s="609"/>
      <c r="OXY65" s="609"/>
      <c r="OXZ65" s="609"/>
      <c r="OYA65" s="609"/>
      <c r="OYB65" s="609"/>
      <c r="OYC65" s="609"/>
      <c r="OYD65" s="609"/>
      <c r="OYE65" s="609"/>
      <c r="OYF65" s="609"/>
      <c r="OYG65" s="609"/>
      <c r="OYH65" s="609"/>
      <c r="OYI65" s="609"/>
      <c r="OYJ65" s="609"/>
      <c r="OYK65" s="609"/>
      <c r="OYL65" s="609"/>
      <c r="OYM65" s="609"/>
      <c r="OYN65" s="609"/>
      <c r="OYO65" s="609"/>
      <c r="OYP65" s="609"/>
      <c r="OYQ65" s="609"/>
      <c r="OYR65" s="609"/>
      <c r="OYS65" s="609"/>
      <c r="OYT65" s="609"/>
      <c r="OYU65" s="609"/>
      <c r="OYV65" s="609"/>
      <c r="OYW65" s="609"/>
      <c r="OYX65" s="609"/>
      <c r="OYY65" s="609"/>
      <c r="OYZ65" s="609"/>
      <c r="OZA65" s="609"/>
      <c r="OZB65" s="609"/>
      <c r="OZC65" s="609"/>
      <c r="OZD65" s="609"/>
      <c r="OZE65" s="609"/>
      <c r="OZF65" s="609"/>
      <c r="OZG65" s="609"/>
      <c r="OZH65" s="609"/>
      <c r="OZI65" s="609"/>
      <c r="OZJ65" s="609"/>
      <c r="OZK65" s="609"/>
      <c r="OZL65" s="609"/>
      <c r="OZM65" s="609"/>
      <c r="OZN65" s="609"/>
      <c r="OZO65" s="609"/>
      <c r="OZP65" s="609"/>
      <c r="OZQ65" s="609"/>
      <c r="OZR65" s="609"/>
      <c r="OZS65" s="609"/>
      <c r="OZT65" s="609"/>
      <c r="OZU65" s="609"/>
      <c r="OZV65" s="609"/>
      <c r="OZW65" s="609"/>
      <c r="OZX65" s="609"/>
      <c r="OZY65" s="609"/>
      <c r="OZZ65" s="609"/>
      <c r="PAA65" s="609"/>
      <c r="PAB65" s="609"/>
      <c r="PAC65" s="609"/>
      <c r="PAD65" s="609"/>
      <c r="PAE65" s="609"/>
      <c r="PAF65" s="609"/>
      <c r="PAG65" s="609"/>
      <c r="PAH65" s="609"/>
      <c r="PAI65" s="609"/>
      <c r="PAJ65" s="609"/>
      <c r="PAK65" s="609"/>
      <c r="PAL65" s="609"/>
      <c r="PAM65" s="609"/>
      <c r="PAN65" s="609"/>
      <c r="PAO65" s="609"/>
      <c r="PAP65" s="609"/>
      <c r="PAQ65" s="609"/>
      <c r="PAR65" s="609"/>
      <c r="PAS65" s="609"/>
      <c r="PAT65" s="609"/>
      <c r="PAU65" s="609"/>
      <c r="PAV65" s="609"/>
      <c r="PAW65" s="609"/>
      <c r="PAX65" s="609"/>
      <c r="PAY65" s="609"/>
      <c r="PAZ65" s="609"/>
      <c r="PBA65" s="609"/>
      <c r="PBB65" s="609"/>
      <c r="PBC65" s="609"/>
      <c r="PBD65" s="609"/>
      <c r="PBE65" s="609"/>
      <c r="PBF65" s="609"/>
      <c r="PBG65" s="609"/>
      <c r="PBH65" s="609"/>
      <c r="PBI65" s="609"/>
      <c r="PBJ65" s="609"/>
      <c r="PBK65" s="609"/>
      <c r="PBL65" s="609"/>
      <c r="PBM65" s="609"/>
      <c r="PBN65" s="609"/>
      <c r="PBO65" s="609"/>
      <c r="PBP65" s="609"/>
      <c r="PBQ65" s="609"/>
      <c r="PBR65" s="609"/>
      <c r="PBS65" s="609"/>
      <c r="PBT65" s="609"/>
      <c r="PBU65" s="609"/>
      <c r="PBV65" s="609"/>
      <c r="PBW65" s="609"/>
      <c r="PBX65" s="609"/>
      <c r="PBY65" s="609"/>
      <c r="PBZ65" s="609"/>
      <c r="PCA65" s="609"/>
      <c r="PCB65" s="609"/>
      <c r="PCC65" s="609"/>
      <c r="PCD65" s="609"/>
      <c r="PCE65" s="609"/>
      <c r="PCF65" s="609"/>
      <c r="PCG65" s="609"/>
      <c r="PCH65" s="609"/>
      <c r="PCI65" s="609"/>
      <c r="PCJ65" s="609"/>
      <c r="PCK65" s="609"/>
      <c r="PCL65" s="609"/>
      <c r="PCM65" s="609"/>
      <c r="PCN65" s="609"/>
      <c r="PCO65" s="609"/>
      <c r="PCP65" s="609"/>
      <c r="PCQ65" s="609"/>
      <c r="PCR65" s="609"/>
      <c r="PCS65" s="609"/>
      <c r="PCT65" s="609"/>
      <c r="PCU65" s="609"/>
      <c r="PCV65" s="609"/>
      <c r="PCW65" s="609"/>
      <c r="PCX65" s="609"/>
      <c r="PCY65" s="609"/>
      <c r="PCZ65" s="609"/>
      <c r="PDA65" s="609"/>
      <c r="PDB65" s="609"/>
      <c r="PDC65" s="609"/>
      <c r="PDD65" s="609"/>
      <c r="PDE65" s="609"/>
      <c r="PDF65" s="609"/>
      <c r="PDG65" s="609"/>
      <c r="PDH65" s="609"/>
      <c r="PDI65" s="609"/>
      <c r="PDJ65" s="609"/>
      <c r="PDK65" s="609"/>
      <c r="PDL65" s="609"/>
      <c r="PDM65" s="609"/>
      <c r="PDN65" s="609"/>
      <c r="PDO65" s="609"/>
      <c r="PDP65" s="609"/>
      <c r="PDQ65" s="609"/>
      <c r="PDR65" s="609"/>
      <c r="PDS65" s="609"/>
      <c r="PDT65" s="609"/>
      <c r="PDU65" s="609"/>
      <c r="PDV65" s="609"/>
      <c r="PDW65" s="609"/>
      <c r="PDX65" s="609"/>
      <c r="PDY65" s="609"/>
      <c r="PDZ65" s="609"/>
      <c r="PEA65" s="609"/>
      <c r="PEB65" s="609"/>
      <c r="PEC65" s="609"/>
      <c r="PED65" s="609"/>
      <c r="PEE65" s="609"/>
      <c r="PEF65" s="609"/>
      <c r="PEG65" s="609"/>
      <c r="PEH65" s="609"/>
      <c r="PEI65" s="609"/>
      <c r="PEJ65" s="609"/>
      <c r="PEK65" s="609"/>
      <c r="PEL65" s="609"/>
      <c r="PEM65" s="609"/>
      <c r="PEN65" s="609"/>
      <c r="PEO65" s="609"/>
      <c r="PEP65" s="609"/>
      <c r="PEQ65" s="609"/>
      <c r="PER65" s="609"/>
      <c r="PES65" s="609"/>
      <c r="PET65" s="609"/>
      <c r="PEU65" s="609"/>
      <c r="PEV65" s="609"/>
      <c r="PEW65" s="609"/>
      <c r="PEX65" s="609"/>
      <c r="PEY65" s="609"/>
      <c r="PEZ65" s="609"/>
      <c r="PFA65" s="609"/>
      <c r="PFB65" s="609"/>
      <c r="PFC65" s="609"/>
      <c r="PFD65" s="609"/>
      <c r="PFE65" s="609"/>
      <c r="PFF65" s="609"/>
      <c r="PFG65" s="609"/>
      <c r="PFH65" s="609"/>
      <c r="PFI65" s="609"/>
      <c r="PFJ65" s="609"/>
      <c r="PFK65" s="609"/>
      <c r="PFL65" s="609"/>
      <c r="PFM65" s="609"/>
      <c r="PFN65" s="609"/>
      <c r="PFO65" s="609"/>
      <c r="PFP65" s="609"/>
      <c r="PFQ65" s="609"/>
      <c r="PFR65" s="609"/>
      <c r="PFS65" s="609"/>
      <c r="PFT65" s="609"/>
      <c r="PFU65" s="609"/>
      <c r="PFV65" s="609"/>
      <c r="PFW65" s="609"/>
      <c r="PFX65" s="609"/>
      <c r="PFY65" s="609"/>
      <c r="PFZ65" s="609"/>
      <c r="PGA65" s="609"/>
      <c r="PGB65" s="609"/>
      <c r="PGC65" s="609"/>
      <c r="PGD65" s="609"/>
      <c r="PGE65" s="609"/>
      <c r="PGF65" s="609"/>
      <c r="PGG65" s="609"/>
      <c r="PGH65" s="609"/>
      <c r="PGI65" s="609"/>
      <c r="PGJ65" s="609"/>
      <c r="PGK65" s="609"/>
      <c r="PGL65" s="609"/>
      <c r="PGM65" s="609"/>
      <c r="PGN65" s="609"/>
      <c r="PGO65" s="609"/>
      <c r="PGP65" s="609"/>
      <c r="PGQ65" s="609"/>
      <c r="PGR65" s="609"/>
      <c r="PGS65" s="609"/>
      <c r="PGT65" s="609"/>
      <c r="PGU65" s="609"/>
      <c r="PGV65" s="609"/>
      <c r="PGW65" s="609"/>
      <c r="PGX65" s="609"/>
      <c r="PGY65" s="609"/>
      <c r="PGZ65" s="609"/>
      <c r="PHA65" s="609"/>
      <c r="PHB65" s="609"/>
      <c r="PHC65" s="609"/>
      <c r="PHD65" s="609"/>
      <c r="PHE65" s="609"/>
      <c r="PHF65" s="609"/>
      <c r="PHG65" s="609"/>
      <c r="PHH65" s="609"/>
      <c r="PHI65" s="609"/>
      <c r="PHJ65" s="609"/>
      <c r="PHK65" s="609"/>
      <c r="PHL65" s="609"/>
      <c r="PHM65" s="609"/>
      <c r="PHN65" s="609"/>
      <c r="PHO65" s="609"/>
      <c r="PHP65" s="609"/>
      <c r="PHQ65" s="609"/>
      <c r="PHR65" s="609"/>
      <c r="PHS65" s="609"/>
      <c r="PHT65" s="609"/>
      <c r="PHU65" s="609"/>
      <c r="PHV65" s="609"/>
      <c r="PHW65" s="609"/>
      <c r="PHX65" s="609"/>
      <c r="PHY65" s="609"/>
      <c r="PHZ65" s="609"/>
      <c r="PIA65" s="609"/>
      <c r="PIB65" s="609"/>
      <c r="PIC65" s="609"/>
      <c r="PID65" s="609"/>
      <c r="PIE65" s="609"/>
      <c r="PIF65" s="609"/>
      <c r="PIG65" s="609"/>
      <c r="PIH65" s="609"/>
      <c r="PII65" s="609"/>
      <c r="PIJ65" s="609"/>
      <c r="PIK65" s="609"/>
      <c r="PIL65" s="609"/>
      <c r="PIM65" s="609"/>
      <c r="PIN65" s="609"/>
      <c r="PIO65" s="609"/>
      <c r="PIP65" s="609"/>
      <c r="PIQ65" s="609"/>
      <c r="PIR65" s="609"/>
      <c r="PIS65" s="609"/>
      <c r="PIT65" s="609"/>
      <c r="PIU65" s="609"/>
      <c r="PIV65" s="609"/>
      <c r="PIW65" s="609"/>
      <c r="PIX65" s="609"/>
      <c r="PIY65" s="609"/>
      <c r="PIZ65" s="609"/>
      <c r="PJA65" s="609"/>
      <c r="PJB65" s="609"/>
      <c r="PJC65" s="609"/>
      <c r="PJD65" s="609"/>
      <c r="PJE65" s="609"/>
      <c r="PJF65" s="609"/>
      <c r="PJG65" s="609"/>
      <c r="PJH65" s="609"/>
      <c r="PJI65" s="609"/>
      <c r="PJJ65" s="609"/>
      <c r="PJK65" s="609"/>
      <c r="PJL65" s="609"/>
      <c r="PJM65" s="609"/>
      <c r="PJN65" s="609"/>
      <c r="PJO65" s="609"/>
      <c r="PJP65" s="609"/>
      <c r="PJQ65" s="609"/>
      <c r="PJR65" s="609"/>
      <c r="PJS65" s="609"/>
      <c r="PJT65" s="609"/>
      <c r="PJU65" s="609"/>
      <c r="PJV65" s="609"/>
      <c r="PJW65" s="609"/>
      <c r="PJX65" s="609"/>
      <c r="PJY65" s="609"/>
      <c r="PJZ65" s="609"/>
      <c r="PKA65" s="609"/>
      <c r="PKB65" s="609"/>
      <c r="PKC65" s="609"/>
      <c r="PKD65" s="609"/>
      <c r="PKE65" s="609"/>
      <c r="PKF65" s="609"/>
      <c r="PKG65" s="609"/>
      <c r="PKH65" s="609"/>
      <c r="PKI65" s="609"/>
      <c r="PKJ65" s="609"/>
      <c r="PKK65" s="609"/>
      <c r="PKL65" s="609"/>
      <c r="PKM65" s="609"/>
      <c r="PKN65" s="609"/>
      <c r="PKO65" s="609"/>
      <c r="PKP65" s="609"/>
      <c r="PKQ65" s="609"/>
      <c r="PKR65" s="609"/>
      <c r="PKS65" s="609"/>
      <c r="PKT65" s="609"/>
      <c r="PKU65" s="609"/>
      <c r="PKV65" s="609"/>
      <c r="PKW65" s="609"/>
      <c r="PKX65" s="609"/>
      <c r="PKY65" s="609"/>
      <c r="PKZ65" s="609"/>
      <c r="PLA65" s="609"/>
      <c r="PLB65" s="609"/>
      <c r="PLC65" s="609"/>
      <c r="PLD65" s="609"/>
      <c r="PLE65" s="609"/>
      <c r="PLF65" s="609"/>
      <c r="PLG65" s="609"/>
      <c r="PLH65" s="609"/>
      <c r="PLI65" s="609"/>
      <c r="PLJ65" s="609"/>
      <c r="PLK65" s="609"/>
      <c r="PLL65" s="609"/>
      <c r="PLM65" s="609"/>
      <c r="PLN65" s="609"/>
      <c r="PLO65" s="609"/>
      <c r="PLP65" s="609"/>
      <c r="PLQ65" s="609"/>
      <c r="PLR65" s="609"/>
      <c r="PLS65" s="609"/>
      <c r="PLT65" s="609"/>
      <c r="PLU65" s="609"/>
      <c r="PLV65" s="609"/>
      <c r="PLW65" s="609"/>
      <c r="PLX65" s="609"/>
      <c r="PLY65" s="609"/>
      <c r="PLZ65" s="609"/>
      <c r="PMA65" s="609"/>
      <c r="PMB65" s="609"/>
      <c r="PMC65" s="609"/>
      <c r="PMD65" s="609"/>
      <c r="PME65" s="609"/>
      <c r="PMF65" s="609"/>
      <c r="PMG65" s="609"/>
      <c r="PMH65" s="609"/>
      <c r="PMI65" s="609"/>
      <c r="PMJ65" s="609"/>
      <c r="PMK65" s="609"/>
      <c r="PML65" s="609"/>
      <c r="PMM65" s="609"/>
      <c r="PMN65" s="609"/>
      <c r="PMO65" s="609"/>
      <c r="PMP65" s="609"/>
      <c r="PMQ65" s="609"/>
      <c r="PMR65" s="609"/>
      <c r="PMS65" s="609"/>
      <c r="PMT65" s="609"/>
      <c r="PMU65" s="609"/>
      <c r="PMV65" s="609"/>
      <c r="PMW65" s="609"/>
      <c r="PMX65" s="609"/>
      <c r="PMY65" s="609"/>
      <c r="PMZ65" s="609"/>
      <c r="PNA65" s="609"/>
      <c r="PNB65" s="609"/>
      <c r="PNC65" s="609"/>
      <c r="PND65" s="609"/>
      <c r="PNE65" s="609"/>
      <c r="PNF65" s="609"/>
      <c r="PNG65" s="609"/>
      <c r="PNH65" s="609"/>
      <c r="PNI65" s="609"/>
      <c r="PNJ65" s="609"/>
      <c r="PNK65" s="609"/>
      <c r="PNL65" s="609"/>
      <c r="PNM65" s="609"/>
      <c r="PNN65" s="609"/>
      <c r="PNO65" s="609"/>
      <c r="PNP65" s="609"/>
      <c r="PNQ65" s="609"/>
      <c r="PNR65" s="609"/>
      <c r="PNS65" s="609"/>
      <c r="PNT65" s="609"/>
      <c r="PNU65" s="609"/>
      <c r="PNV65" s="609"/>
      <c r="PNW65" s="609"/>
      <c r="PNX65" s="609"/>
      <c r="PNY65" s="609"/>
      <c r="PNZ65" s="609"/>
      <c r="POA65" s="609"/>
      <c r="POB65" s="609"/>
      <c r="POC65" s="609"/>
      <c r="POD65" s="609"/>
      <c r="POE65" s="609"/>
      <c r="POF65" s="609"/>
      <c r="POG65" s="609"/>
      <c r="POH65" s="609"/>
      <c r="POI65" s="609"/>
      <c r="POJ65" s="609"/>
      <c r="POK65" s="609"/>
      <c r="POL65" s="609"/>
      <c r="POM65" s="609"/>
      <c r="PON65" s="609"/>
      <c r="POO65" s="609"/>
      <c r="POP65" s="609"/>
      <c r="POQ65" s="609"/>
      <c r="POR65" s="609"/>
      <c r="POS65" s="609"/>
      <c r="POT65" s="609"/>
      <c r="POU65" s="609"/>
      <c r="POV65" s="609"/>
      <c r="POW65" s="609"/>
      <c r="POX65" s="609"/>
      <c r="POY65" s="609"/>
      <c r="POZ65" s="609"/>
      <c r="PPA65" s="609"/>
      <c r="PPB65" s="609"/>
      <c r="PPC65" s="609"/>
      <c r="PPD65" s="609"/>
      <c r="PPE65" s="609"/>
      <c r="PPF65" s="609"/>
      <c r="PPG65" s="609"/>
      <c r="PPH65" s="609"/>
      <c r="PPI65" s="609"/>
      <c r="PPJ65" s="609"/>
      <c r="PPK65" s="609"/>
      <c r="PPL65" s="609"/>
      <c r="PPM65" s="609"/>
      <c r="PPN65" s="609"/>
      <c r="PPO65" s="609"/>
      <c r="PPP65" s="609"/>
      <c r="PPQ65" s="609"/>
      <c r="PPR65" s="609"/>
      <c r="PPS65" s="609"/>
      <c r="PPT65" s="609"/>
      <c r="PPU65" s="609"/>
      <c r="PPV65" s="609"/>
      <c r="PPW65" s="609"/>
      <c r="PPX65" s="609"/>
      <c r="PPY65" s="609"/>
      <c r="PPZ65" s="609"/>
      <c r="PQA65" s="609"/>
      <c r="PQB65" s="609"/>
      <c r="PQC65" s="609"/>
      <c r="PQD65" s="609"/>
      <c r="PQE65" s="609"/>
      <c r="PQF65" s="609"/>
      <c r="PQG65" s="609"/>
      <c r="PQH65" s="609"/>
      <c r="PQI65" s="609"/>
      <c r="PQJ65" s="609"/>
      <c r="PQK65" s="609"/>
      <c r="PQL65" s="609"/>
      <c r="PQM65" s="609"/>
      <c r="PQN65" s="609"/>
      <c r="PQO65" s="609"/>
      <c r="PQP65" s="609"/>
      <c r="PQQ65" s="609"/>
      <c r="PQR65" s="609"/>
      <c r="PQS65" s="609"/>
      <c r="PQT65" s="609"/>
      <c r="PQU65" s="609"/>
      <c r="PQV65" s="609"/>
      <c r="PQW65" s="609"/>
      <c r="PQX65" s="609"/>
      <c r="PQY65" s="609"/>
      <c r="PQZ65" s="609"/>
      <c r="PRA65" s="609"/>
      <c r="PRB65" s="609"/>
      <c r="PRC65" s="609"/>
      <c r="PRD65" s="609"/>
      <c r="PRE65" s="609"/>
      <c r="PRF65" s="609"/>
      <c r="PRG65" s="609"/>
      <c r="PRH65" s="609"/>
      <c r="PRI65" s="609"/>
      <c r="PRJ65" s="609"/>
      <c r="PRK65" s="609"/>
      <c r="PRL65" s="609"/>
      <c r="PRM65" s="609"/>
      <c r="PRN65" s="609"/>
      <c r="PRO65" s="609"/>
      <c r="PRP65" s="609"/>
      <c r="PRQ65" s="609"/>
      <c r="PRR65" s="609"/>
      <c r="PRS65" s="609"/>
      <c r="PRT65" s="609"/>
      <c r="PRU65" s="609"/>
      <c r="PRV65" s="609"/>
      <c r="PRW65" s="609"/>
      <c r="PRX65" s="609"/>
      <c r="PRY65" s="609"/>
      <c r="PRZ65" s="609"/>
      <c r="PSA65" s="609"/>
      <c r="PSB65" s="609"/>
      <c r="PSC65" s="609"/>
      <c r="PSD65" s="609"/>
      <c r="PSE65" s="609"/>
      <c r="PSF65" s="609"/>
      <c r="PSG65" s="609"/>
      <c r="PSH65" s="609"/>
      <c r="PSI65" s="609"/>
      <c r="PSJ65" s="609"/>
      <c r="PSK65" s="609"/>
      <c r="PSL65" s="609"/>
      <c r="PSM65" s="609"/>
      <c r="PSN65" s="609"/>
      <c r="PSO65" s="609"/>
      <c r="PSP65" s="609"/>
      <c r="PSQ65" s="609"/>
      <c r="PSR65" s="609"/>
      <c r="PSS65" s="609"/>
      <c r="PST65" s="609"/>
      <c r="PSU65" s="609"/>
      <c r="PSV65" s="609"/>
      <c r="PSW65" s="609"/>
      <c r="PSX65" s="609"/>
      <c r="PSY65" s="609"/>
      <c r="PSZ65" s="609"/>
      <c r="PTA65" s="609"/>
      <c r="PTB65" s="609"/>
      <c r="PTC65" s="609"/>
      <c r="PTD65" s="609"/>
      <c r="PTE65" s="609"/>
      <c r="PTF65" s="609"/>
      <c r="PTG65" s="609"/>
      <c r="PTH65" s="609"/>
      <c r="PTI65" s="609"/>
      <c r="PTJ65" s="609"/>
      <c r="PTK65" s="609"/>
      <c r="PTL65" s="609"/>
      <c r="PTM65" s="609"/>
      <c r="PTN65" s="609"/>
      <c r="PTO65" s="609"/>
      <c r="PTP65" s="609"/>
      <c r="PTQ65" s="609"/>
      <c r="PTR65" s="609"/>
      <c r="PTS65" s="609"/>
      <c r="PTT65" s="609"/>
      <c r="PTU65" s="609"/>
      <c r="PTV65" s="609"/>
      <c r="PTW65" s="609"/>
      <c r="PTX65" s="609"/>
      <c r="PTY65" s="609"/>
      <c r="PTZ65" s="609"/>
      <c r="PUA65" s="609"/>
      <c r="PUB65" s="609"/>
      <c r="PUC65" s="609"/>
      <c r="PUD65" s="609"/>
      <c r="PUE65" s="609"/>
      <c r="PUF65" s="609"/>
      <c r="PUG65" s="609"/>
      <c r="PUH65" s="609"/>
      <c r="PUI65" s="609"/>
      <c r="PUJ65" s="609"/>
      <c r="PUK65" s="609"/>
      <c r="PUL65" s="609"/>
      <c r="PUM65" s="609"/>
      <c r="PUN65" s="609"/>
      <c r="PUO65" s="609"/>
      <c r="PUP65" s="609"/>
      <c r="PUQ65" s="609"/>
      <c r="PUR65" s="609"/>
      <c r="PUS65" s="609"/>
      <c r="PUT65" s="609"/>
      <c r="PUU65" s="609"/>
      <c r="PUV65" s="609"/>
      <c r="PUW65" s="609"/>
      <c r="PUX65" s="609"/>
      <c r="PUY65" s="609"/>
      <c r="PUZ65" s="609"/>
      <c r="PVA65" s="609"/>
      <c r="PVB65" s="609"/>
      <c r="PVC65" s="609"/>
      <c r="PVD65" s="609"/>
      <c r="PVE65" s="609"/>
      <c r="PVF65" s="609"/>
      <c r="PVG65" s="609"/>
      <c r="PVH65" s="609"/>
      <c r="PVI65" s="609"/>
      <c r="PVJ65" s="609"/>
      <c r="PVK65" s="609"/>
      <c r="PVL65" s="609"/>
      <c r="PVM65" s="609"/>
      <c r="PVN65" s="609"/>
      <c r="PVO65" s="609"/>
      <c r="PVP65" s="609"/>
      <c r="PVQ65" s="609"/>
      <c r="PVR65" s="609"/>
      <c r="PVS65" s="609"/>
      <c r="PVT65" s="609"/>
      <c r="PVU65" s="609"/>
      <c r="PVV65" s="609"/>
      <c r="PVW65" s="609"/>
      <c r="PVX65" s="609"/>
      <c r="PVY65" s="609"/>
      <c r="PVZ65" s="609"/>
      <c r="PWA65" s="609"/>
      <c r="PWB65" s="609"/>
      <c r="PWC65" s="609"/>
      <c r="PWD65" s="609"/>
      <c r="PWE65" s="609"/>
      <c r="PWF65" s="609"/>
      <c r="PWG65" s="609"/>
      <c r="PWH65" s="609"/>
      <c r="PWI65" s="609"/>
      <c r="PWJ65" s="609"/>
      <c r="PWK65" s="609"/>
      <c r="PWL65" s="609"/>
      <c r="PWM65" s="609"/>
      <c r="PWN65" s="609"/>
      <c r="PWO65" s="609"/>
      <c r="PWP65" s="609"/>
      <c r="PWQ65" s="609"/>
      <c r="PWR65" s="609"/>
      <c r="PWS65" s="609"/>
      <c r="PWT65" s="609"/>
      <c r="PWU65" s="609"/>
      <c r="PWV65" s="609"/>
      <c r="PWW65" s="609"/>
      <c r="PWX65" s="609"/>
      <c r="PWY65" s="609"/>
      <c r="PWZ65" s="609"/>
      <c r="PXA65" s="609"/>
      <c r="PXB65" s="609"/>
      <c r="PXC65" s="609"/>
      <c r="PXD65" s="609"/>
      <c r="PXE65" s="609"/>
      <c r="PXF65" s="609"/>
      <c r="PXG65" s="609"/>
      <c r="PXH65" s="609"/>
      <c r="PXI65" s="609"/>
      <c r="PXJ65" s="609"/>
      <c r="PXK65" s="609"/>
      <c r="PXL65" s="609"/>
      <c r="PXM65" s="609"/>
      <c r="PXN65" s="609"/>
      <c r="PXO65" s="609"/>
      <c r="PXP65" s="609"/>
      <c r="PXQ65" s="609"/>
      <c r="PXR65" s="609"/>
      <c r="PXS65" s="609"/>
      <c r="PXT65" s="609"/>
      <c r="PXU65" s="609"/>
      <c r="PXV65" s="609"/>
      <c r="PXW65" s="609"/>
      <c r="PXX65" s="609"/>
      <c r="PXY65" s="609"/>
      <c r="PXZ65" s="609"/>
      <c r="PYA65" s="609"/>
      <c r="PYB65" s="609"/>
      <c r="PYC65" s="609"/>
      <c r="PYD65" s="609"/>
      <c r="PYE65" s="609"/>
      <c r="PYF65" s="609"/>
      <c r="PYG65" s="609"/>
      <c r="PYH65" s="609"/>
      <c r="PYI65" s="609"/>
      <c r="PYJ65" s="609"/>
      <c r="PYK65" s="609"/>
      <c r="PYL65" s="609"/>
      <c r="PYM65" s="609"/>
      <c r="PYN65" s="609"/>
      <c r="PYO65" s="609"/>
      <c r="PYP65" s="609"/>
      <c r="PYQ65" s="609"/>
      <c r="PYR65" s="609"/>
      <c r="PYS65" s="609"/>
      <c r="PYT65" s="609"/>
      <c r="PYU65" s="609"/>
      <c r="PYV65" s="609"/>
      <c r="PYW65" s="609"/>
      <c r="PYX65" s="609"/>
      <c r="PYY65" s="609"/>
      <c r="PYZ65" s="609"/>
      <c r="PZA65" s="609"/>
      <c r="PZB65" s="609"/>
      <c r="PZC65" s="609"/>
      <c r="PZD65" s="609"/>
      <c r="PZE65" s="609"/>
      <c r="PZF65" s="609"/>
      <c r="PZG65" s="609"/>
      <c r="PZH65" s="609"/>
      <c r="PZI65" s="609"/>
      <c r="PZJ65" s="609"/>
      <c r="PZK65" s="609"/>
      <c r="PZL65" s="609"/>
      <c r="PZM65" s="609"/>
      <c r="PZN65" s="609"/>
      <c r="PZO65" s="609"/>
      <c r="PZP65" s="609"/>
      <c r="PZQ65" s="609"/>
      <c r="PZR65" s="609"/>
      <c r="PZS65" s="609"/>
      <c r="PZT65" s="609"/>
      <c r="PZU65" s="609"/>
      <c r="PZV65" s="609"/>
      <c r="PZW65" s="609"/>
      <c r="PZX65" s="609"/>
      <c r="PZY65" s="609"/>
      <c r="PZZ65" s="609"/>
      <c r="QAA65" s="609"/>
      <c r="QAB65" s="609"/>
      <c r="QAC65" s="609"/>
      <c r="QAD65" s="609"/>
      <c r="QAE65" s="609"/>
      <c r="QAF65" s="609"/>
      <c r="QAG65" s="609"/>
      <c r="QAH65" s="609"/>
      <c r="QAI65" s="609"/>
      <c r="QAJ65" s="609"/>
      <c r="QAK65" s="609"/>
      <c r="QAL65" s="609"/>
      <c r="QAM65" s="609"/>
      <c r="QAN65" s="609"/>
      <c r="QAO65" s="609"/>
      <c r="QAP65" s="609"/>
      <c r="QAQ65" s="609"/>
      <c r="QAR65" s="609"/>
      <c r="QAS65" s="609"/>
      <c r="QAT65" s="609"/>
      <c r="QAU65" s="609"/>
      <c r="QAV65" s="609"/>
      <c r="QAW65" s="609"/>
      <c r="QAX65" s="609"/>
      <c r="QAY65" s="609"/>
      <c r="QAZ65" s="609"/>
      <c r="QBA65" s="609"/>
      <c r="QBB65" s="609"/>
      <c r="QBC65" s="609"/>
      <c r="QBD65" s="609"/>
      <c r="QBE65" s="609"/>
      <c r="QBF65" s="609"/>
      <c r="QBG65" s="609"/>
      <c r="QBH65" s="609"/>
      <c r="QBI65" s="609"/>
      <c r="QBJ65" s="609"/>
      <c r="QBK65" s="609"/>
      <c r="QBL65" s="609"/>
      <c r="QBM65" s="609"/>
      <c r="QBN65" s="609"/>
      <c r="QBO65" s="609"/>
      <c r="QBP65" s="609"/>
      <c r="QBQ65" s="609"/>
      <c r="QBR65" s="609"/>
      <c r="QBS65" s="609"/>
      <c r="QBT65" s="609"/>
      <c r="QBU65" s="609"/>
      <c r="QBV65" s="609"/>
      <c r="QBW65" s="609"/>
      <c r="QBX65" s="609"/>
      <c r="QBY65" s="609"/>
      <c r="QBZ65" s="609"/>
      <c r="QCA65" s="609"/>
      <c r="QCB65" s="609"/>
      <c r="QCC65" s="609"/>
      <c r="QCD65" s="609"/>
      <c r="QCE65" s="609"/>
      <c r="QCF65" s="609"/>
      <c r="QCG65" s="609"/>
      <c r="QCH65" s="609"/>
      <c r="QCI65" s="609"/>
      <c r="QCJ65" s="609"/>
      <c r="QCK65" s="609"/>
      <c r="QCL65" s="609"/>
      <c r="QCM65" s="609"/>
      <c r="QCN65" s="609"/>
      <c r="QCO65" s="609"/>
      <c r="QCP65" s="609"/>
      <c r="QCQ65" s="609"/>
      <c r="QCR65" s="609"/>
      <c r="QCS65" s="609"/>
      <c r="QCT65" s="609"/>
      <c r="QCU65" s="609"/>
      <c r="QCV65" s="609"/>
      <c r="QCW65" s="609"/>
      <c r="QCX65" s="609"/>
      <c r="QCY65" s="609"/>
      <c r="QCZ65" s="609"/>
      <c r="QDA65" s="609"/>
      <c r="QDB65" s="609"/>
      <c r="QDC65" s="609"/>
      <c r="QDD65" s="609"/>
      <c r="QDE65" s="609"/>
      <c r="QDF65" s="609"/>
      <c r="QDG65" s="609"/>
      <c r="QDH65" s="609"/>
      <c r="QDI65" s="609"/>
      <c r="QDJ65" s="609"/>
      <c r="QDK65" s="609"/>
      <c r="QDL65" s="609"/>
      <c r="QDM65" s="609"/>
      <c r="QDN65" s="609"/>
      <c r="QDO65" s="609"/>
      <c r="QDP65" s="609"/>
      <c r="QDQ65" s="609"/>
      <c r="QDR65" s="609"/>
      <c r="QDS65" s="609"/>
      <c r="QDT65" s="609"/>
      <c r="QDU65" s="609"/>
      <c r="QDV65" s="609"/>
      <c r="QDW65" s="609"/>
      <c r="QDX65" s="609"/>
      <c r="QDY65" s="609"/>
      <c r="QDZ65" s="609"/>
      <c r="QEA65" s="609"/>
      <c r="QEB65" s="609"/>
      <c r="QEC65" s="609"/>
      <c r="QED65" s="609"/>
      <c r="QEE65" s="609"/>
      <c r="QEF65" s="609"/>
      <c r="QEG65" s="609"/>
      <c r="QEH65" s="609"/>
      <c r="QEI65" s="609"/>
      <c r="QEJ65" s="609"/>
      <c r="QEK65" s="609"/>
      <c r="QEL65" s="609"/>
      <c r="QEM65" s="609"/>
      <c r="QEN65" s="609"/>
      <c r="QEO65" s="609"/>
      <c r="QEP65" s="609"/>
      <c r="QEQ65" s="609"/>
      <c r="QER65" s="609"/>
      <c r="QES65" s="609"/>
      <c r="QET65" s="609"/>
      <c r="QEU65" s="609"/>
      <c r="QEV65" s="609"/>
      <c r="QEW65" s="609"/>
      <c r="QEX65" s="609"/>
      <c r="QEY65" s="609"/>
      <c r="QEZ65" s="609"/>
      <c r="QFA65" s="609"/>
      <c r="QFB65" s="609"/>
      <c r="QFC65" s="609"/>
      <c r="QFD65" s="609"/>
      <c r="QFE65" s="609"/>
      <c r="QFF65" s="609"/>
      <c r="QFG65" s="609"/>
      <c r="QFH65" s="609"/>
      <c r="QFI65" s="609"/>
      <c r="QFJ65" s="609"/>
      <c r="QFK65" s="609"/>
      <c r="QFL65" s="609"/>
      <c r="QFM65" s="609"/>
      <c r="QFN65" s="609"/>
      <c r="QFO65" s="609"/>
      <c r="QFP65" s="609"/>
      <c r="QFQ65" s="609"/>
      <c r="QFR65" s="609"/>
      <c r="QFS65" s="609"/>
      <c r="QFT65" s="609"/>
      <c r="QFU65" s="609"/>
      <c r="QFV65" s="609"/>
      <c r="QFW65" s="609"/>
      <c r="QFX65" s="609"/>
      <c r="QFY65" s="609"/>
      <c r="QFZ65" s="609"/>
      <c r="QGA65" s="609"/>
      <c r="QGB65" s="609"/>
      <c r="QGC65" s="609"/>
      <c r="QGD65" s="609"/>
      <c r="QGE65" s="609"/>
      <c r="QGF65" s="609"/>
      <c r="QGG65" s="609"/>
      <c r="QGH65" s="609"/>
      <c r="QGI65" s="609"/>
      <c r="QGJ65" s="609"/>
      <c r="QGK65" s="609"/>
      <c r="QGL65" s="609"/>
      <c r="QGM65" s="609"/>
      <c r="QGN65" s="609"/>
      <c r="QGO65" s="609"/>
      <c r="QGP65" s="609"/>
      <c r="QGQ65" s="609"/>
      <c r="QGR65" s="609"/>
      <c r="QGS65" s="609"/>
      <c r="QGT65" s="609"/>
      <c r="QGU65" s="609"/>
      <c r="QGV65" s="609"/>
      <c r="QGW65" s="609"/>
      <c r="QGX65" s="609"/>
      <c r="QGY65" s="609"/>
      <c r="QGZ65" s="609"/>
      <c r="QHA65" s="609"/>
      <c r="QHB65" s="609"/>
      <c r="QHC65" s="609"/>
      <c r="QHD65" s="609"/>
      <c r="QHE65" s="609"/>
      <c r="QHF65" s="609"/>
      <c r="QHG65" s="609"/>
      <c r="QHH65" s="609"/>
      <c r="QHI65" s="609"/>
      <c r="QHJ65" s="609"/>
      <c r="QHK65" s="609"/>
      <c r="QHL65" s="609"/>
      <c r="QHM65" s="609"/>
      <c r="QHN65" s="609"/>
      <c r="QHO65" s="609"/>
      <c r="QHP65" s="609"/>
      <c r="QHQ65" s="609"/>
      <c r="QHR65" s="609"/>
      <c r="QHS65" s="609"/>
      <c r="QHT65" s="609"/>
      <c r="QHU65" s="609"/>
      <c r="QHV65" s="609"/>
      <c r="QHW65" s="609"/>
      <c r="QHX65" s="609"/>
      <c r="QHY65" s="609"/>
      <c r="QHZ65" s="609"/>
      <c r="QIA65" s="609"/>
      <c r="QIB65" s="609"/>
      <c r="QIC65" s="609"/>
      <c r="QID65" s="609"/>
      <c r="QIE65" s="609"/>
      <c r="QIF65" s="609"/>
      <c r="QIG65" s="609"/>
      <c r="QIH65" s="609"/>
      <c r="QII65" s="609"/>
      <c r="QIJ65" s="609"/>
      <c r="QIK65" s="609"/>
      <c r="QIL65" s="609"/>
      <c r="QIM65" s="609"/>
      <c r="QIN65" s="609"/>
      <c r="QIO65" s="609"/>
      <c r="QIP65" s="609"/>
      <c r="QIQ65" s="609"/>
      <c r="QIR65" s="609"/>
      <c r="QIS65" s="609"/>
      <c r="QIT65" s="609"/>
      <c r="QIU65" s="609"/>
      <c r="QIV65" s="609"/>
      <c r="QIW65" s="609"/>
      <c r="QIX65" s="609"/>
      <c r="QIY65" s="609"/>
      <c r="QIZ65" s="609"/>
      <c r="QJA65" s="609"/>
      <c r="QJB65" s="609"/>
      <c r="QJC65" s="609"/>
      <c r="QJD65" s="609"/>
      <c r="QJE65" s="609"/>
      <c r="QJF65" s="609"/>
      <c r="QJG65" s="609"/>
      <c r="QJH65" s="609"/>
      <c r="QJI65" s="609"/>
      <c r="QJJ65" s="609"/>
      <c r="QJK65" s="609"/>
      <c r="QJL65" s="609"/>
      <c r="QJM65" s="609"/>
      <c r="QJN65" s="609"/>
      <c r="QJO65" s="609"/>
      <c r="QJP65" s="609"/>
      <c r="QJQ65" s="609"/>
      <c r="QJR65" s="609"/>
      <c r="QJS65" s="609"/>
      <c r="QJT65" s="609"/>
      <c r="QJU65" s="609"/>
      <c r="QJV65" s="609"/>
      <c r="QJW65" s="609"/>
      <c r="QJX65" s="609"/>
      <c r="QJY65" s="609"/>
      <c r="QJZ65" s="609"/>
      <c r="QKA65" s="609"/>
      <c r="QKB65" s="609"/>
      <c r="QKC65" s="609"/>
      <c r="QKD65" s="609"/>
      <c r="QKE65" s="609"/>
      <c r="QKF65" s="609"/>
      <c r="QKG65" s="609"/>
      <c r="QKH65" s="609"/>
      <c r="QKI65" s="609"/>
      <c r="QKJ65" s="609"/>
      <c r="QKK65" s="609"/>
      <c r="QKL65" s="609"/>
      <c r="QKM65" s="609"/>
      <c r="QKN65" s="609"/>
      <c r="QKO65" s="609"/>
      <c r="QKP65" s="609"/>
      <c r="QKQ65" s="609"/>
      <c r="QKR65" s="609"/>
      <c r="QKS65" s="609"/>
      <c r="QKT65" s="609"/>
      <c r="QKU65" s="609"/>
      <c r="QKV65" s="609"/>
      <c r="QKW65" s="609"/>
      <c r="QKX65" s="609"/>
      <c r="QKY65" s="609"/>
      <c r="QKZ65" s="609"/>
      <c r="QLA65" s="609"/>
      <c r="QLB65" s="609"/>
      <c r="QLC65" s="609"/>
      <c r="QLD65" s="609"/>
      <c r="QLE65" s="609"/>
      <c r="QLF65" s="609"/>
      <c r="QLG65" s="609"/>
      <c r="QLH65" s="609"/>
      <c r="QLI65" s="609"/>
      <c r="QLJ65" s="609"/>
      <c r="QLK65" s="609"/>
      <c r="QLL65" s="609"/>
      <c r="QLM65" s="609"/>
      <c r="QLN65" s="609"/>
      <c r="QLO65" s="609"/>
      <c r="QLP65" s="609"/>
      <c r="QLQ65" s="609"/>
      <c r="QLR65" s="609"/>
      <c r="QLS65" s="609"/>
      <c r="QLT65" s="609"/>
      <c r="QLU65" s="609"/>
      <c r="QLV65" s="609"/>
      <c r="QLW65" s="609"/>
      <c r="QLX65" s="609"/>
      <c r="QLY65" s="609"/>
      <c r="QLZ65" s="609"/>
      <c r="QMA65" s="609"/>
      <c r="QMB65" s="609"/>
      <c r="QMC65" s="609"/>
      <c r="QMD65" s="609"/>
      <c r="QME65" s="609"/>
      <c r="QMF65" s="609"/>
      <c r="QMG65" s="609"/>
      <c r="QMH65" s="609"/>
      <c r="QMI65" s="609"/>
      <c r="QMJ65" s="609"/>
      <c r="QMK65" s="609"/>
      <c r="QML65" s="609"/>
      <c r="QMM65" s="609"/>
      <c r="QMN65" s="609"/>
      <c r="QMO65" s="609"/>
      <c r="QMP65" s="609"/>
      <c r="QMQ65" s="609"/>
      <c r="QMR65" s="609"/>
      <c r="QMS65" s="609"/>
      <c r="QMT65" s="609"/>
      <c r="QMU65" s="609"/>
      <c r="QMV65" s="609"/>
      <c r="QMW65" s="609"/>
      <c r="QMX65" s="609"/>
      <c r="QMY65" s="609"/>
      <c r="QMZ65" s="609"/>
      <c r="QNA65" s="609"/>
      <c r="QNB65" s="609"/>
      <c r="QNC65" s="609"/>
      <c r="QND65" s="609"/>
      <c r="QNE65" s="609"/>
      <c r="QNF65" s="609"/>
      <c r="QNG65" s="609"/>
      <c r="QNH65" s="609"/>
      <c r="QNI65" s="609"/>
      <c r="QNJ65" s="609"/>
      <c r="QNK65" s="609"/>
      <c r="QNL65" s="609"/>
      <c r="QNM65" s="609"/>
      <c r="QNN65" s="609"/>
      <c r="QNO65" s="609"/>
      <c r="QNP65" s="609"/>
      <c r="QNQ65" s="609"/>
      <c r="QNR65" s="609"/>
      <c r="QNS65" s="609"/>
      <c r="QNT65" s="609"/>
      <c r="QNU65" s="609"/>
      <c r="QNV65" s="609"/>
      <c r="QNW65" s="609"/>
      <c r="QNX65" s="609"/>
      <c r="QNY65" s="609"/>
      <c r="QNZ65" s="609"/>
      <c r="QOA65" s="609"/>
      <c r="QOB65" s="609"/>
      <c r="QOC65" s="609"/>
      <c r="QOD65" s="609"/>
      <c r="QOE65" s="609"/>
      <c r="QOF65" s="609"/>
      <c r="QOG65" s="609"/>
      <c r="QOH65" s="609"/>
      <c r="QOI65" s="609"/>
      <c r="QOJ65" s="609"/>
      <c r="QOK65" s="609"/>
      <c r="QOL65" s="609"/>
      <c r="QOM65" s="609"/>
      <c r="QON65" s="609"/>
      <c r="QOO65" s="609"/>
      <c r="QOP65" s="609"/>
      <c r="QOQ65" s="609"/>
      <c r="QOR65" s="609"/>
      <c r="QOS65" s="609"/>
      <c r="QOT65" s="609"/>
      <c r="QOU65" s="609"/>
      <c r="QOV65" s="609"/>
      <c r="QOW65" s="609"/>
      <c r="QOX65" s="609"/>
      <c r="QOY65" s="609"/>
      <c r="QOZ65" s="609"/>
      <c r="QPA65" s="609"/>
      <c r="QPB65" s="609"/>
      <c r="QPC65" s="609"/>
      <c r="QPD65" s="609"/>
      <c r="QPE65" s="609"/>
      <c r="QPF65" s="609"/>
      <c r="QPG65" s="609"/>
      <c r="QPH65" s="609"/>
      <c r="QPI65" s="609"/>
      <c r="QPJ65" s="609"/>
      <c r="QPK65" s="609"/>
      <c r="QPL65" s="609"/>
      <c r="QPM65" s="609"/>
      <c r="QPN65" s="609"/>
      <c r="QPO65" s="609"/>
      <c r="QPP65" s="609"/>
      <c r="QPQ65" s="609"/>
      <c r="QPR65" s="609"/>
      <c r="QPS65" s="609"/>
      <c r="QPT65" s="609"/>
      <c r="QPU65" s="609"/>
      <c r="QPV65" s="609"/>
      <c r="QPW65" s="609"/>
      <c r="QPX65" s="609"/>
      <c r="QPY65" s="609"/>
      <c r="QPZ65" s="609"/>
      <c r="QQA65" s="609"/>
      <c r="QQB65" s="609"/>
      <c r="QQC65" s="609"/>
      <c r="QQD65" s="609"/>
      <c r="QQE65" s="609"/>
      <c r="QQF65" s="609"/>
      <c r="QQG65" s="609"/>
      <c r="QQH65" s="609"/>
      <c r="QQI65" s="609"/>
      <c r="QQJ65" s="609"/>
      <c r="QQK65" s="609"/>
      <c r="QQL65" s="609"/>
      <c r="QQM65" s="609"/>
      <c r="QQN65" s="609"/>
      <c r="QQO65" s="609"/>
      <c r="QQP65" s="609"/>
      <c r="QQQ65" s="609"/>
      <c r="QQR65" s="609"/>
      <c r="QQS65" s="609"/>
      <c r="QQT65" s="609"/>
      <c r="QQU65" s="609"/>
      <c r="QQV65" s="609"/>
      <c r="QQW65" s="609"/>
      <c r="QQX65" s="609"/>
      <c r="QQY65" s="609"/>
      <c r="QQZ65" s="609"/>
      <c r="QRA65" s="609"/>
      <c r="QRB65" s="609"/>
      <c r="QRC65" s="609"/>
      <c r="QRD65" s="609"/>
      <c r="QRE65" s="609"/>
      <c r="QRF65" s="609"/>
      <c r="QRG65" s="609"/>
      <c r="QRH65" s="609"/>
      <c r="QRI65" s="609"/>
      <c r="QRJ65" s="609"/>
      <c r="QRK65" s="609"/>
      <c r="QRL65" s="609"/>
      <c r="QRM65" s="609"/>
      <c r="QRN65" s="609"/>
      <c r="QRO65" s="609"/>
      <c r="QRP65" s="609"/>
      <c r="QRQ65" s="609"/>
      <c r="QRR65" s="609"/>
      <c r="QRS65" s="609"/>
      <c r="QRT65" s="609"/>
      <c r="QRU65" s="609"/>
      <c r="QRV65" s="609"/>
      <c r="QRW65" s="609"/>
      <c r="QRX65" s="609"/>
      <c r="QRY65" s="609"/>
      <c r="QRZ65" s="609"/>
      <c r="QSA65" s="609"/>
      <c r="QSB65" s="609"/>
      <c r="QSC65" s="609"/>
      <c r="QSD65" s="609"/>
      <c r="QSE65" s="609"/>
      <c r="QSF65" s="609"/>
      <c r="QSG65" s="609"/>
      <c r="QSH65" s="609"/>
      <c r="QSI65" s="609"/>
      <c r="QSJ65" s="609"/>
      <c r="QSK65" s="609"/>
      <c r="QSL65" s="609"/>
      <c r="QSM65" s="609"/>
      <c r="QSN65" s="609"/>
      <c r="QSO65" s="609"/>
      <c r="QSP65" s="609"/>
      <c r="QSQ65" s="609"/>
      <c r="QSR65" s="609"/>
      <c r="QSS65" s="609"/>
      <c r="QST65" s="609"/>
      <c r="QSU65" s="609"/>
      <c r="QSV65" s="609"/>
      <c r="QSW65" s="609"/>
      <c r="QSX65" s="609"/>
      <c r="QSY65" s="609"/>
      <c r="QSZ65" s="609"/>
      <c r="QTA65" s="609"/>
      <c r="QTB65" s="609"/>
      <c r="QTC65" s="609"/>
      <c r="QTD65" s="609"/>
      <c r="QTE65" s="609"/>
      <c r="QTF65" s="609"/>
      <c r="QTG65" s="609"/>
      <c r="QTH65" s="609"/>
      <c r="QTI65" s="609"/>
      <c r="QTJ65" s="609"/>
      <c r="QTK65" s="609"/>
      <c r="QTL65" s="609"/>
      <c r="QTM65" s="609"/>
      <c r="QTN65" s="609"/>
      <c r="QTO65" s="609"/>
      <c r="QTP65" s="609"/>
      <c r="QTQ65" s="609"/>
      <c r="QTR65" s="609"/>
      <c r="QTS65" s="609"/>
      <c r="QTT65" s="609"/>
      <c r="QTU65" s="609"/>
      <c r="QTV65" s="609"/>
      <c r="QTW65" s="609"/>
      <c r="QTX65" s="609"/>
      <c r="QTY65" s="609"/>
      <c r="QTZ65" s="609"/>
      <c r="QUA65" s="609"/>
      <c r="QUB65" s="609"/>
      <c r="QUC65" s="609"/>
      <c r="QUD65" s="609"/>
      <c r="QUE65" s="609"/>
      <c r="QUF65" s="609"/>
      <c r="QUG65" s="609"/>
      <c r="QUH65" s="609"/>
      <c r="QUI65" s="609"/>
      <c r="QUJ65" s="609"/>
      <c r="QUK65" s="609"/>
      <c r="QUL65" s="609"/>
      <c r="QUM65" s="609"/>
      <c r="QUN65" s="609"/>
      <c r="QUO65" s="609"/>
      <c r="QUP65" s="609"/>
      <c r="QUQ65" s="609"/>
      <c r="QUR65" s="609"/>
      <c r="QUS65" s="609"/>
      <c r="QUT65" s="609"/>
      <c r="QUU65" s="609"/>
      <c r="QUV65" s="609"/>
      <c r="QUW65" s="609"/>
      <c r="QUX65" s="609"/>
      <c r="QUY65" s="609"/>
      <c r="QUZ65" s="609"/>
      <c r="QVA65" s="609"/>
      <c r="QVB65" s="609"/>
      <c r="QVC65" s="609"/>
      <c r="QVD65" s="609"/>
      <c r="QVE65" s="609"/>
      <c r="QVF65" s="609"/>
      <c r="QVG65" s="609"/>
      <c r="QVH65" s="609"/>
      <c r="QVI65" s="609"/>
      <c r="QVJ65" s="609"/>
      <c r="QVK65" s="609"/>
      <c r="QVL65" s="609"/>
      <c r="QVM65" s="609"/>
      <c r="QVN65" s="609"/>
      <c r="QVO65" s="609"/>
      <c r="QVP65" s="609"/>
      <c r="QVQ65" s="609"/>
      <c r="QVR65" s="609"/>
      <c r="QVS65" s="609"/>
      <c r="QVT65" s="609"/>
      <c r="QVU65" s="609"/>
      <c r="QVV65" s="609"/>
      <c r="QVW65" s="609"/>
      <c r="QVX65" s="609"/>
      <c r="QVY65" s="609"/>
      <c r="QVZ65" s="609"/>
      <c r="QWA65" s="609"/>
      <c r="QWB65" s="609"/>
      <c r="QWC65" s="609"/>
      <c r="QWD65" s="609"/>
      <c r="QWE65" s="609"/>
      <c r="QWF65" s="609"/>
      <c r="QWG65" s="609"/>
      <c r="QWH65" s="609"/>
      <c r="QWI65" s="609"/>
      <c r="QWJ65" s="609"/>
      <c r="QWK65" s="609"/>
      <c r="QWL65" s="609"/>
      <c r="QWM65" s="609"/>
      <c r="QWN65" s="609"/>
      <c r="QWO65" s="609"/>
      <c r="QWP65" s="609"/>
      <c r="QWQ65" s="609"/>
      <c r="QWR65" s="609"/>
      <c r="QWS65" s="609"/>
      <c r="QWT65" s="609"/>
      <c r="QWU65" s="609"/>
      <c r="QWV65" s="609"/>
      <c r="QWW65" s="609"/>
      <c r="QWX65" s="609"/>
      <c r="QWY65" s="609"/>
      <c r="QWZ65" s="609"/>
      <c r="QXA65" s="609"/>
      <c r="QXB65" s="609"/>
      <c r="QXC65" s="609"/>
      <c r="QXD65" s="609"/>
      <c r="QXE65" s="609"/>
      <c r="QXF65" s="609"/>
      <c r="QXG65" s="609"/>
      <c r="QXH65" s="609"/>
      <c r="QXI65" s="609"/>
      <c r="QXJ65" s="609"/>
      <c r="QXK65" s="609"/>
      <c r="QXL65" s="609"/>
      <c r="QXM65" s="609"/>
      <c r="QXN65" s="609"/>
      <c r="QXO65" s="609"/>
      <c r="QXP65" s="609"/>
      <c r="QXQ65" s="609"/>
      <c r="QXR65" s="609"/>
      <c r="QXS65" s="609"/>
      <c r="QXT65" s="609"/>
      <c r="QXU65" s="609"/>
      <c r="QXV65" s="609"/>
      <c r="QXW65" s="609"/>
      <c r="QXX65" s="609"/>
      <c r="QXY65" s="609"/>
      <c r="QXZ65" s="609"/>
      <c r="QYA65" s="609"/>
      <c r="QYB65" s="609"/>
      <c r="QYC65" s="609"/>
      <c r="QYD65" s="609"/>
      <c r="QYE65" s="609"/>
      <c r="QYF65" s="609"/>
      <c r="QYG65" s="609"/>
      <c r="QYH65" s="609"/>
      <c r="QYI65" s="609"/>
      <c r="QYJ65" s="609"/>
      <c r="QYK65" s="609"/>
      <c r="QYL65" s="609"/>
      <c r="QYM65" s="609"/>
      <c r="QYN65" s="609"/>
      <c r="QYO65" s="609"/>
      <c r="QYP65" s="609"/>
      <c r="QYQ65" s="609"/>
      <c r="QYR65" s="609"/>
      <c r="QYS65" s="609"/>
      <c r="QYT65" s="609"/>
      <c r="QYU65" s="609"/>
      <c r="QYV65" s="609"/>
      <c r="QYW65" s="609"/>
      <c r="QYX65" s="609"/>
      <c r="QYY65" s="609"/>
      <c r="QYZ65" s="609"/>
      <c r="QZA65" s="609"/>
      <c r="QZB65" s="609"/>
      <c r="QZC65" s="609"/>
      <c r="QZD65" s="609"/>
      <c r="QZE65" s="609"/>
      <c r="QZF65" s="609"/>
      <c r="QZG65" s="609"/>
      <c r="QZH65" s="609"/>
      <c r="QZI65" s="609"/>
      <c r="QZJ65" s="609"/>
      <c r="QZK65" s="609"/>
      <c r="QZL65" s="609"/>
      <c r="QZM65" s="609"/>
      <c r="QZN65" s="609"/>
      <c r="QZO65" s="609"/>
      <c r="QZP65" s="609"/>
      <c r="QZQ65" s="609"/>
      <c r="QZR65" s="609"/>
      <c r="QZS65" s="609"/>
      <c r="QZT65" s="609"/>
      <c r="QZU65" s="609"/>
      <c r="QZV65" s="609"/>
      <c r="QZW65" s="609"/>
      <c r="QZX65" s="609"/>
      <c r="QZY65" s="609"/>
      <c r="QZZ65" s="609"/>
      <c r="RAA65" s="609"/>
      <c r="RAB65" s="609"/>
      <c r="RAC65" s="609"/>
      <c r="RAD65" s="609"/>
      <c r="RAE65" s="609"/>
      <c r="RAF65" s="609"/>
      <c r="RAG65" s="609"/>
      <c r="RAH65" s="609"/>
      <c r="RAI65" s="609"/>
      <c r="RAJ65" s="609"/>
      <c r="RAK65" s="609"/>
      <c r="RAL65" s="609"/>
      <c r="RAM65" s="609"/>
      <c r="RAN65" s="609"/>
      <c r="RAO65" s="609"/>
      <c r="RAP65" s="609"/>
      <c r="RAQ65" s="609"/>
      <c r="RAR65" s="609"/>
      <c r="RAS65" s="609"/>
      <c r="RAT65" s="609"/>
      <c r="RAU65" s="609"/>
      <c r="RAV65" s="609"/>
      <c r="RAW65" s="609"/>
      <c r="RAX65" s="609"/>
      <c r="RAY65" s="609"/>
      <c r="RAZ65" s="609"/>
      <c r="RBA65" s="609"/>
      <c r="RBB65" s="609"/>
      <c r="RBC65" s="609"/>
      <c r="RBD65" s="609"/>
      <c r="RBE65" s="609"/>
      <c r="RBF65" s="609"/>
      <c r="RBG65" s="609"/>
      <c r="RBH65" s="609"/>
      <c r="RBI65" s="609"/>
      <c r="RBJ65" s="609"/>
      <c r="RBK65" s="609"/>
      <c r="RBL65" s="609"/>
      <c r="RBM65" s="609"/>
      <c r="RBN65" s="609"/>
      <c r="RBO65" s="609"/>
      <c r="RBP65" s="609"/>
      <c r="RBQ65" s="609"/>
      <c r="RBR65" s="609"/>
      <c r="RBS65" s="609"/>
      <c r="RBT65" s="609"/>
      <c r="RBU65" s="609"/>
      <c r="RBV65" s="609"/>
      <c r="RBW65" s="609"/>
      <c r="RBX65" s="609"/>
      <c r="RBY65" s="609"/>
      <c r="RBZ65" s="609"/>
      <c r="RCA65" s="609"/>
      <c r="RCB65" s="609"/>
      <c r="RCC65" s="609"/>
      <c r="RCD65" s="609"/>
      <c r="RCE65" s="609"/>
      <c r="RCF65" s="609"/>
      <c r="RCG65" s="609"/>
      <c r="RCH65" s="609"/>
      <c r="RCI65" s="609"/>
      <c r="RCJ65" s="609"/>
      <c r="RCK65" s="609"/>
      <c r="RCL65" s="609"/>
      <c r="RCM65" s="609"/>
      <c r="RCN65" s="609"/>
      <c r="RCO65" s="609"/>
      <c r="RCP65" s="609"/>
      <c r="RCQ65" s="609"/>
      <c r="RCR65" s="609"/>
      <c r="RCS65" s="609"/>
      <c r="RCT65" s="609"/>
      <c r="RCU65" s="609"/>
      <c r="RCV65" s="609"/>
      <c r="RCW65" s="609"/>
      <c r="RCX65" s="609"/>
      <c r="RCY65" s="609"/>
      <c r="RCZ65" s="609"/>
      <c r="RDA65" s="609"/>
      <c r="RDB65" s="609"/>
      <c r="RDC65" s="609"/>
      <c r="RDD65" s="609"/>
      <c r="RDE65" s="609"/>
      <c r="RDF65" s="609"/>
      <c r="RDG65" s="609"/>
      <c r="RDH65" s="609"/>
      <c r="RDI65" s="609"/>
      <c r="RDJ65" s="609"/>
      <c r="RDK65" s="609"/>
      <c r="RDL65" s="609"/>
      <c r="RDM65" s="609"/>
      <c r="RDN65" s="609"/>
      <c r="RDO65" s="609"/>
      <c r="RDP65" s="609"/>
      <c r="RDQ65" s="609"/>
      <c r="RDR65" s="609"/>
      <c r="RDS65" s="609"/>
      <c r="RDT65" s="609"/>
      <c r="RDU65" s="609"/>
      <c r="RDV65" s="609"/>
      <c r="RDW65" s="609"/>
      <c r="RDX65" s="609"/>
      <c r="RDY65" s="609"/>
      <c r="RDZ65" s="609"/>
      <c r="REA65" s="609"/>
      <c r="REB65" s="609"/>
      <c r="REC65" s="609"/>
      <c r="RED65" s="609"/>
      <c r="REE65" s="609"/>
      <c r="REF65" s="609"/>
      <c r="REG65" s="609"/>
      <c r="REH65" s="609"/>
      <c r="REI65" s="609"/>
      <c r="REJ65" s="609"/>
      <c r="REK65" s="609"/>
      <c r="REL65" s="609"/>
      <c r="REM65" s="609"/>
      <c r="REN65" s="609"/>
      <c r="REO65" s="609"/>
      <c r="REP65" s="609"/>
      <c r="REQ65" s="609"/>
      <c r="RER65" s="609"/>
      <c r="RES65" s="609"/>
      <c r="RET65" s="609"/>
      <c r="REU65" s="609"/>
      <c r="REV65" s="609"/>
      <c r="REW65" s="609"/>
      <c r="REX65" s="609"/>
      <c r="REY65" s="609"/>
      <c r="REZ65" s="609"/>
      <c r="RFA65" s="609"/>
      <c r="RFB65" s="609"/>
      <c r="RFC65" s="609"/>
      <c r="RFD65" s="609"/>
      <c r="RFE65" s="609"/>
      <c r="RFF65" s="609"/>
      <c r="RFG65" s="609"/>
      <c r="RFH65" s="609"/>
      <c r="RFI65" s="609"/>
      <c r="RFJ65" s="609"/>
      <c r="RFK65" s="609"/>
      <c r="RFL65" s="609"/>
      <c r="RFM65" s="609"/>
      <c r="RFN65" s="609"/>
      <c r="RFO65" s="609"/>
      <c r="RFP65" s="609"/>
      <c r="RFQ65" s="609"/>
      <c r="RFR65" s="609"/>
      <c r="RFS65" s="609"/>
      <c r="RFT65" s="609"/>
      <c r="RFU65" s="609"/>
      <c r="RFV65" s="609"/>
      <c r="RFW65" s="609"/>
      <c r="RFX65" s="609"/>
      <c r="RFY65" s="609"/>
      <c r="RFZ65" s="609"/>
      <c r="RGA65" s="609"/>
      <c r="RGB65" s="609"/>
      <c r="RGC65" s="609"/>
      <c r="RGD65" s="609"/>
      <c r="RGE65" s="609"/>
      <c r="RGF65" s="609"/>
      <c r="RGG65" s="609"/>
      <c r="RGH65" s="609"/>
      <c r="RGI65" s="609"/>
      <c r="RGJ65" s="609"/>
      <c r="RGK65" s="609"/>
      <c r="RGL65" s="609"/>
      <c r="RGM65" s="609"/>
      <c r="RGN65" s="609"/>
      <c r="RGO65" s="609"/>
      <c r="RGP65" s="609"/>
      <c r="RGQ65" s="609"/>
      <c r="RGR65" s="609"/>
      <c r="RGS65" s="609"/>
      <c r="RGT65" s="609"/>
      <c r="RGU65" s="609"/>
      <c r="RGV65" s="609"/>
      <c r="RGW65" s="609"/>
      <c r="RGX65" s="609"/>
      <c r="RGY65" s="609"/>
      <c r="RGZ65" s="609"/>
      <c r="RHA65" s="609"/>
      <c r="RHB65" s="609"/>
      <c r="RHC65" s="609"/>
      <c r="RHD65" s="609"/>
      <c r="RHE65" s="609"/>
      <c r="RHF65" s="609"/>
      <c r="RHG65" s="609"/>
      <c r="RHH65" s="609"/>
      <c r="RHI65" s="609"/>
      <c r="RHJ65" s="609"/>
      <c r="RHK65" s="609"/>
      <c r="RHL65" s="609"/>
      <c r="RHM65" s="609"/>
      <c r="RHN65" s="609"/>
      <c r="RHO65" s="609"/>
      <c r="RHP65" s="609"/>
      <c r="RHQ65" s="609"/>
      <c r="RHR65" s="609"/>
      <c r="RHS65" s="609"/>
      <c r="RHT65" s="609"/>
      <c r="RHU65" s="609"/>
      <c r="RHV65" s="609"/>
      <c r="RHW65" s="609"/>
      <c r="RHX65" s="609"/>
      <c r="RHY65" s="609"/>
      <c r="RHZ65" s="609"/>
      <c r="RIA65" s="609"/>
      <c r="RIB65" s="609"/>
      <c r="RIC65" s="609"/>
      <c r="RID65" s="609"/>
      <c r="RIE65" s="609"/>
      <c r="RIF65" s="609"/>
      <c r="RIG65" s="609"/>
      <c r="RIH65" s="609"/>
      <c r="RII65" s="609"/>
      <c r="RIJ65" s="609"/>
      <c r="RIK65" s="609"/>
      <c r="RIL65" s="609"/>
      <c r="RIM65" s="609"/>
      <c r="RIN65" s="609"/>
      <c r="RIO65" s="609"/>
      <c r="RIP65" s="609"/>
      <c r="RIQ65" s="609"/>
      <c r="RIR65" s="609"/>
      <c r="RIS65" s="609"/>
      <c r="RIT65" s="609"/>
      <c r="RIU65" s="609"/>
      <c r="RIV65" s="609"/>
      <c r="RIW65" s="609"/>
      <c r="RIX65" s="609"/>
      <c r="RIY65" s="609"/>
      <c r="RIZ65" s="609"/>
      <c r="RJA65" s="609"/>
      <c r="RJB65" s="609"/>
      <c r="RJC65" s="609"/>
      <c r="RJD65" s="609"/>
      <c r="RJE65" s="609"/>
      <c r="RJF65" s="609"/>
      <c r="RJG65" s="609"/>
      <c r="RJH65" s="609"/>
      <c r="RJI65" s="609"/>
      <c r="RJJ65" s="609"/>
      <c r="RJK65" s="609"/>
      <c r="RJL65" s="609"/>
      <c r="RJM65" s="609"/>
      <c r="RJN65" s="609"/>
      <c r="RJO65" s="609"/>
      <c r="RJP65" s="609"/>
      <c r="RJQ65" s="609"/>
      <c r="RJR65" s="609"/>
      <c r="RJS65" s="609"/>
      <c r="RJT65" s="609"/>
      <c r="RJU65" s="609"/>
      <c r="RJV65" s="609"/>
      <c r="RJW65" s="609"/>
      <c r="RJX65" s="609"/>
      <c r="RJY65" s="609"/>
      <c r="RJZ65" s="609"/>
      <c r="RKA65" s="609"/>
      <c r="RKB65" s="609"/>
      <c r="RKC65" s="609"/>
      <c r="RKD65" s="609"/>
      <c r="RKE65" s="609"/>
      <c r="RKF65" s="609"/>
      <c r="RKG65" s="609"/>
      <c r="RKH65" s="609"/>
      <c r="RKI65" s="609"/>
      <c r="RKJ65" s="609"/>
      <c r="RKK65" s="609"/>
      <c r="RKL65" s="609"/>
      <c r="RKM65" s="609"/>
      <c r="RKN65" s="609"/>
      <c r="RKO65" s="609"/>
      <c r="RKP65" s="609"/>
      <c r="RKQ65" s="609"/>
      <c r="RKR65" s="609"/>
      <c r="RKS65" s="609"/>
      <c r="RKT65" s="609"/>
      <c r="RKU65" s="609"/>
      <c r="RKV65" s="609"/>
      <c r="RKW65" s="609"/>
      <c r="RKX65" s="609"/>
      <c r="RKY65" s="609"/>
      <c r="RKZ65" s="609"/>
      <c r="RLA65" s="609"/>
      <c r="RLB65" s="609"/>
      <c r="RLC65" s="609"/>
      <c r="RLD65" s="609"/>
      <c r="RLE65" s="609"/>
      <c r="RLF65" s="609"/>
      <c r="RLG65" s="609"/>
      <c r="RLH65" s="609"/>
      <c r="RLI65" s="609"/>
      <c r="RLJ65" s="609"/>
      <c r="RLK65" s="609"/>
      <c r="RLL65" s="609"/>
      <c r="RLM65" s="609"/>
      <c r="RLN65" s="609"/>
      <c r="RLO65" s="609"/>
      <c r="RLP65" s="609"/>
      <c r="RLQ65" s="609"/>
      <c r="RLR65" s="609"/>
      <c r="RLS65" s="609"/>
      <c r="RLT65" s="609"/>
      <c r="RLU65" s="609"/>
      <c r="RLV65" s="609"/>
      <c r="RLW65" s="609"/>
      <c r="RLX65" s="609"/>
      <c r="RLY65" s="609"/>
      <c r="RLZ65" s="609"/>
      <c r="RMA65" s="609"/>
      <c r="RMB65" s="609"/>
      <c r="RMC65" s="609"/>
      <c r="RMD65" s="609"/>
      <c r="RME65" s="609"/>
      <c r="RMF65" s="609"/>
      <c r="RMG65" s="609"/>
      <c r="RMH65" s="609"/>
      <c r="RMI65" s="609"/>
      <c r="RMJ65" s="609"/>
      <c r="RMK65" s="609"/>
      <c r="RML65" s="609"/>
      <c r="RMM65" s="609"/>
      <c r="RMN65" s="609"/>
      <c r="RMO65" s="609"/>
      <c r="RMP65" s="609"/>
      <c r="RMQ65" s="609"/>
      <c r="RMR65" s="609"/>
      <c r="RMS65" s="609"/>
      <c r="RMT65" s="609"/>
      <c r="RMU65" s="609"/>
      <c r="RMV65" s="609"/>
      <c r="RMW65" s="609"/>
      <c r="RMX65" s="609"/>
      <c r="RMY65" s="609"/>
      <c r="RMZ65" s="609"/>
      <c r="RNA65" s="609"/>
      <c r="RNB65" s="609"/>
      <c r="RNC65" s="609"/>
      <c r="RND65" s="609"/>
      <c r="RNE65" s="609"/>
      <c r="RNF65" s="609"/>
      <c r="RNG65" s="609"/>
      <c r="RNH65" s="609"/>
      <c r="RNI65" s="609"/>
      <c r="RNJ65" s="609"/>
      <c r="RNK65" s="609"/>
      <c r="RNL65" s="609"/>
      <c r="RNM65" s="609"/>
      <c r="RNN65" s="609"/>
      <c r="RNO65" s="609"/>
      <c r="RNP65" s="609"/>
      <c r="RNQ65" s="609"/>
      <c r="RNR65" s="609"/>
      <c r="RNS65" s="609"/>
      <c r="RNT65" s="609"/>
      <c r="RNU65" s="609"/>
      <c r="RNV65" s="609"/>
      <c r="RNW65" s="609"/>
      <c r="RNX65" s="609"/>
      <c r="RNY65" s="609"/>
      <c r="RNZ65" s="609"/>
      <c r="ROA65" s="609"/>
      <c r="ROB65" s="609"/>
      <c r="ROC65" s="609"/>
      <c r="ROD65" s="609"/>
      <c r="ROE65" s="609"/>
      <c r="ROF65" s="609"/>
      <c r="ROG65" s="609"/>
      <c r="ROH65" s="609"/>
      <c r="ROI65" s="609"/>
      <c r="ROJ65" s="609"/>
      <c r="ROK65" s="609"/>
      <c r="ROL65" s="609"/>
      <c r="ROM65" s="609"/>
      <c r="RON65" s="609"/>
      <c r="ROO65" s="609"/>
      <c r="ROP65" s="609"/>
      <c r="ROQ65" s="609"/>
      <c r="ROR65" s="609"/>
      <c r="ROS65" s="609"/>
      <c r="ROT65" s="609"/>
      <c r="ROU65" s="609"/>
      <c r="ROV65" s="609"/>
      <c r="ROW65" s="609"/>
      <c r="ROX65" s="609"/>
      <c r="ROY65" s="609"/>
      <c r="ROZ65" s="609"/>
      <c r="RPA65" s="609"/>
      <c r="RPB65" s="609"/>
      <c r="RPC65" s="609"/>
      <c r="RPD65" s="609"/>
      <c r="RPE65" s="609"/>
      <c r="RPF65" s="609"/>
      <c r="RPG65" s="609"/>
      <c r="RPH65" s="609"/>
      <c r="RPI65" s="609"/>
      <c r="RPJ65" s="609"/>
      <c r="RPK65" s="609"/>
      <c r="RPL65" s="609"/>
      <c r="RPM65" s="609"/>
      <c r="RPN65" s="609"/>
      <c r="RPO65" s="609"/>
      <c r="RPP65" s="609"/>
      <c r="RPQ65" s="609"/>
      <c r="RPR65" s="609"/>
      <c r="RPS65" s="609"/>
      <c r="RPT65" s="609"/>
      <c r="RPU65" s="609"/>
      <c r="RPV65" s="609"/>
      <c r="RPW65" s="609"/>
      <c r="RPX65" s="609"/>
      <c r="RPY65" s="609"/>
      <c r="RPZ65" s="609"/>
      <c r="RQA65" s="609"/>
      <c r="RQB65" s="609"/>
      <c r="RQC65" s="609"/>
      <c r="RQD65" s="609"/>
      <c r="RQE65" s="609"/>
      <c r="RQF65" s="609"/>
      <c r="RQG65" s="609"/>
      <c r="RQH65" s="609"/>
      <c r="RQI65" s="609"/>
      <c r="RQJ65" s="609"/>
      <c r="RQK65" s="609"/>
      <c r="RQL65" s="609"/>
      <c r="RQM65" s="609"/>
      <c r="RQN65" s="609"/>
      <c r="RQO65" s="609"/>
      <c r="RQP65" s="609"/>
      <c r="RQQ65" s="609"/>
      <c r="RQR65" s="609"/>
      <c r="RQS65" s="609"/>
      <c r="RQT65" s="609"/>
      <c r="RQU65" s="609"/>
      <c r="RQV65" s="609"/>
      <c r="RQW65" s="609"/>
      <c r="RQX65" s="609"/>
      <c r="RQY65" s="609"/>
      <c r="RQZ65" s="609"/>
      <c r="RRA65" s="609"/>
      <c r="RRB65" s="609"/>
      <c r="RRC65" s="609"/>
      <c r="RRD65" s="609"/>
      <c r="RRE65" s="609"/>
      <c r="RRF65" s="609"/>
      <c r="RRG65" s="609"/>
      <c r="RRH65" s="609"/>
      <c r="RRI65" s="609"/>
      <c r="RRJ65" s="609"/>
      <c r="RRK65" s="609"/>
      <c r="RRL65" s="609"/>
      <c r="RRM65" s="609"/>
      <c r="RRN65" s="609"/>
      <c r="RRO65" s="609"/>
      <c r="RRP65" s="609"/>
      <c r="RRQ65" s="609"/>
      <c r="RRR65" s="609"/>
      <c r="RRS65" s="609"/>
      <c r="RRT65" s="609"/>
      <c r="RRU65" s="609"/>
      <c r="RRV65" s="609"/>
      <c r="RRW65" s="609"/>
      <c r="RRX65" s="609"/>
      <c r="RRY65" s="609"/>
      <c r="RRZ65" s="609"/>
      <c r="RSA65" s="609"/>
      <c r="RSB65" s="609"/>
      <c r="RSC65" s="609"/>
      <c r="RSD65" s="609"/>
      <c r="RSE65" s="609"/>
      <c r="RSF65" s="609"/>
      <c r="RSG65" s="609"/>
      <c r="RSH65" s="609"/>
      <c r="RSI65" s="609"/>
      <c r="RSJ65" s="609"/>
      <c r="RSK65" s="609"/>
      <c r="RSL65" s="609"/>
      <c r="RSM65" s="609"/>
      <c r="RSN65" s="609"/>
      <c r="RSO65" s="609"/>
      <c r="RSP65" s="609"/>
      <c r="RSQ65" s="609"/>
      <c r="RSR65" s="609"/>
      <c r="RSS65" s="609"/>
      <c r="RST65" s="609"/>
      <c r="RSU65" s="609"/>
      <c r="RSV65" s="609"/>
      <c r="RSW65" s="609"/>
      <c r="RSX65" s="609"/>
      <c r="RSY65" s="609"/>
      <c r="RSZ65" s="609"/>
      <c r="RTA65" s="609"/>
      <c r="RTB65" s="609"/>
      <c r="RTC65" s="609"/>
      <c r="RTD65" s="609"/>
      <c r="RTE65" s="609"/>
      <c r="RTF65" s="609"/>
      <c r="RTG65" s="609"/>
      <c r="RTH65" s="609"/>
      <c r="RTI65" s="609"/>
      <c r="RTJ65" s="609"/>
      <c r="RTK65" s="609"/>
      <c r="RTL65" s="609"/>
      <c r="RTM65" s="609"/>
      <c r="RTN65" s="609"/>
      <c r="RTO65" s="609"/>
      <c r="RTP65" s="609"/>
      <c r="RTQ65" s="609"/>
      <c r="RTR65" s="609"/>
      <c r="RTS65" s="609"/>
      <c r="RTT65" s="609"/>
      <c r="RTU65" s="609"/>
      <c r="RTV65" s="609"/>
      <c r="RTW65" s="609"/>
      <c r="RTX65" s="609"/>
      <c r="RTY65" s="609"/>
      <c r="RTZ65" s="609"/>
      <c r="RUA65" s="609"/>
      <c r="RUB65" s="609"/>
      <c r="RUC65" s="609"/>
      <c r="RUD65" s="609"/>
      <c r="RUE65" s="609"/>
      <c r="RUF65" s="609"/>
      <c r="RUG65" s="609"/>
      <c r="RUH65" s="609"/>
      <c r="RUI65" s="609"/>
      <c r="RUJ65" s="609"/>
      <c r="RUK65" s="609"/>
      <c r="RUL65" s="609"/>
      <c r="RUM65" s="609"/>
      <c r="RUN65" s="609"/>
      <c r="RUO65" s="609"/>
      <c r="RUP65" s="609"/>
      <c r="RUQ65" s="609"/>
      <c r="RUR65" s="609"/>
      <c r="RUS65" s="609"/>
      <c r="RUT65" s="609"/>
      <c r="RUU65" s="609"/>
      <c r="RUV65" s="609"/>
      <c r="RUW65" s="609"/>
      <c r="RUX65" s="609"/>
      <c r="RUY65" s="609"/>
      <c r="RUZ65" s="609"/>
      <c r="RVA65" s="609"/>
      <c r="RVB65" s="609"/>
      <c r="RVC65" s="609"/>
      <c r="RVD65" s="609"/>
      <c r="RVE65" s="609"/>
      <c r="RVF65" s="609"/>
      <c r="RVG65" s="609"/>
      <c r="RVH65" s="609"/>
      <c r="RVI65" s="609"/>
      <c r="RVJ65" s="609"/>
      <c r="RVK65" s="609"/>
      <c r="RVL65" s="609"/>
      <c r="RVM65" s="609"/>
      <c r="RVN65" s="609"/>
      <c r="RVO65" s="609"/>
      <c r="RVP65" s="609"/>
      <c r="RVQ65" s="609"/>
      <c r="RVR65" s="609"/>
      <c r="RVS65" s="609"/>
      <c r="RVT65" s="609"/>
      <c r="RVU65" s="609"/>
      <c r="RVV65" s="609"/>
      <c r="RVW65" s="609"/>
      <c r="RVX65" s="609"/>
      <c r="RVY65" s="609"/>
      <c r="RVZ65" s="609"/>
      <c r="RWA65" s="609"/>
      <c r="RWB65" s="609"/>
      <c r="RWC65" s="609"/>
      <c r="RWD65" s="609"/>
      <c r="RWE65" s="609"/>
      <c r="RWF65" s="609"/>
      <c r="RWG65" s="609"/>
      <c r="RWH65" s="609"/>
      <c r="RWI65" s="609"/>
      <c r="RWJ65" s="609"/>
      <c r="RWK65" s="609"/>
      <c r="RWL65" s="609"/>
      <c r="RWM65" s="609"/>
      <c r="RWN65" s="609"/>
      <c r="RWO65" s="609"/>
      <c r="RWP65" s="609"/>
      <c r="RWQ65" s="609"/>
      <c r="RWR65" s="609"/>
      <c r="RWS65" s="609"/>
      <c r="RWT65" s="609"/>
      <c r="RWU65" s="609"/>
      <c r="RWV65" s="609"/>
      <c r="RWW65" s="609"/>
      <c r="RWX65" s="609"/>
      <c r="RWY65" s="609"/>
      <c r="RWZ65" s="609"/>
      <c r="RXA65" s="609"/>
      <c r="RXB65" s="609"/>
      <c r="RXC65" s="609"/>
      <c r="RXD65" s="609"/>
      <c r="RXE65" s="609"/>
      <c r="RXF65" s="609"/>
      <c r="RXG65" s="609"/>
      <c r="RXH65" s="609"/>
      <c r="RXI65" s="609"/>
      <c r="RXJ65" s="609"/>
      <c r="RXK65" s="609"/>
      <c r="RXL65" s="609"/>
      <c r="RXM65" s="609"/>
      <c r="RXN65" s="609"/>
      <c r="RXO65" s="609"/>
      <c r="RXP65" s="609"/>
      <c r="RXQ65" s="609"/>
      <c r="RXR65" s="609"/>
      <c r="RXS65" s="609"/>
      <c r="RXT65" s="609"/>
      <c r="RXU65" s="609"/>
      <c r="RXV65" s="609"/>
      <c r="RXW65" s="609"/>
      <c r="RXX65" s="609"/>
      <c r="RXY65" s="609"/>
      <c r="RXZ65" s="609"/>
      <c r="RYA65" s="609"/>
      <c r="RYB65" s="609"/>
      <c r="RYC65" s="609"/>
      <c r="RYD65" s="609"/>
      <c r="RYE65" s="609"/>
      <c r="RYF65" s="609"/>
      <c r="RYG65" s="609"/>
      <c r="RYH65" s="609"/>
      <c r="RYI65" s="609"/>
      <c r="RYJ65" s="609"/>
      <c r="RYK65" s="609"/>
      <c r="RYL65" s="609"/>
      <c r="RYM65" s="609"/>
      <c r="RYN65" s="609"/>
      <c r="RYO65" s="609"/>
      <c r="RYP65" s="609"/>
      <c r="RYQ65" s="609"/>
      <c r="RYR65" s="609"/>
      <c r="RYS65" s="609"/>
      <c r="RYT65" s="609"/>
      <c r="RYU65" s="609"/>
      <c r="RYV65" s="609"/>
      <c r="RYW65" s="609"/>
      <c r="RYX65" s="609"/>
      <c r="RYY65" s="609"/>
      <c r="RYZ65" s="609"/>
      <c r="RZA65" s="609"/>
      <c r="RZB65" s="609"/>
      <c r="RZC65" s="609"/>
      <c r="RZD65" s="609"/>
      <c r="RZE65" s="609"/>
      <c r="RZF65" s="609"/>
      <c r="RZG65" s="609"/>
      <c r="RZH65" s="609"/>
      <c r="RZI65" s="609"/>
      <c r="RZJ65" s="609"/>
      <c r="RZK65" s="609"/>
      <c r="RZL65" s="609"/>
      <c r="RZM65" s="609"/>
      <c r="RZN65" s="609"/>
      <c r="RZO65" s="609"/>
      <c r="RZP65" s="609"/>
      <c r="RZQ65" s="609"/>
      <c r="RZR65" s="609"/>
      <c r="RZS65" s="609"/>
      <c r="RZT65" s="609"/>
      <c r="RZU65" s="609"/>
      <c r="RZV65" s="609"/>
      <c r="RZW65" s="609"/>
      <c r="RZX65" s="609"/>
      <c r="RZY65" s="609"/>
      <c r="RZZ65" s="609"/>
      <c r="SAA65" s="609"/>
      <c r="SAB65" s="609"/>
      <c r="SAC65" s="609"/>
      <c r="SAD65" s="609"/>
      <c r="SAE65" s="609"/>
      <c r="SAF65" s="609"/>
      <c r="SAG65" s="609"/>
      <c r="SAH65" s="609"/>
      <c r="SAI65" s="609"/>
      <c r="SAJ65" s="609"/>
      <c r="SAK65" s="609"/>
      <c r="SAL65" s="609"/>
      <c r="SAM65" s="609"/>
      <c r="SAN65" s="609"/>
      <c r="SAO65" s="609"/>
      <c r="SAP65" s="609"/>
      <c r="SAQ65" s="609"/>
      <c r="SAR65" s="609"/>
      <c r="SAS65" s="609"/>
      <c r="SAT65" s="609"/>
      <c r="SAU65" s="609"/>
      <c r="SAV65" s="609"/>
      <c r="SAW65" s="609"/>
      <c r="SAX65" s="609"/>
      <c r="SAY65" s="609"/>
      <c r="SAZ65" s="609"/>
      <c r="SBA65" s="609"/>
      <c r="SBB65" s="609"/>
      <c r="SBC65" s="609"/>
      <c r="SBD65" s="609"/>
      <c r="SBE65" s="609"/>
      <c r="SBF65" s="609"/>
      <c r="SBG65" s="609"/>
      <c r="SBH65" s="609"/>
      <c r="SBI65" s="609"/>
      <c r="SBJ65" s="609"/>
      <c r="SBK65" s="609"/>
      <c r="SBL65" s="609"/>
      <c r="SBM65" s="609"/>
      <c r="SBN65" s="609"/>
      <c r="SBO65" s="609"/>
      <c r="SBP65" s="609"/>
      <c r="SBQ65" s="609"/>
      <c r="SBR65" s="609"/>
      <c r="SBS65" s="609"/>
      <c r="SBT65" s="609"/>
      <c r="SBU65" s="609"/>
      <c r="SBV65" s="609"/>
      <c r="SBW65" s="609"/>
      <c r="SBX65" s="609"/>
      <c r="SBY65" s="609"/>
      <c r="SBZ65" s="609"/>
      <c r="SCA65" s="609"/>
      <c r="SCB65" s="609"/>
      <c r="SCC65" s="609"/>
      <c r="SCD65" s="609"/>
      <c r="SCE65" s="609"/>
      <c r="SCF65" s="609"/>
      <c r="SCG65" s="609"/>
      <c r="SCH65" s="609"/>
      <c r="SCI65" s="609"/>
      <c r="SCJ65" s="609"/>
      <c r="SCK65" s="609"/>
      <c r="SCL65" s="609"/>
      <c r="SCM65" s="609"/>
      <c r="SCN65" s="609"/>
      <c r="SCO65" s="609"/>
      <c r="SCP65" s="609"/>
      <c r="SCQ65" s="609"/>
      <c r="SCR65" s="609"/>
      <c r="SCS65" s="609"/>
      <c r="SCT65" s="609"/>
      <c r="SCU65" s="609"/>
      <c r="SCV65" s="609"/>
      <c r="SCW65" s="609"/>
      <c r="SCX65" s="609"/>
      <c r="SCY65" s="609"/>
      <c r="SCZ65" s="609"/>
      <c r="SDA65" s="609"/>
      <c r="SDB65" s="609"/>
      <c r="SDC65" s="609"/>
      <c r="SDD65" s="609"/>
      <c r="SDE65" s="609"/>
      <c r="SDF65" s="609"/>
      <c r="SDG65" s="609"/>
      <c r="SDH65" s="609"/>
      <c r="SDI65" s="609"/>
      <c r="SDJ65" s="609"/>
      <c r="SDK65" s="609"/>
      <c r="SDL65" s="609"/>
      <c r="SDM65" s="609"/>
      <c r="SDN65" s="609"/>
      <c r="SDO65" s="609"/>
      <c r="SDP65" s="609"/>
      <c r="SDQ65" s="609"/>
      <c r="SDR65" s="609"/>
      <c r="SDS65" s="609"/>
      <c r="SDT65" s="609"/>
      <c r="SDU65" s="609"/>
      <c r="SDV65" s="609"/>
      <c r="SDW65" s="609"/>
      <c r="SDX65" s="609"/>
      <c r="SDY65" s="609"/>
      <c r="SDZ65" s="609"/>
      <c r="SEA65" s="609"/>
      <c r="SEB65" s="609"/>
      <c r="SEC65" s="609"/>
      <c r="SED65" s="609"/>
      <c r="SEE65" s="609"/>
      <c r="SEF65" s="609"/>
      <c r="SEG65" s="609"/>
      <c r="SEH65" s="609"/>
      <c r="SEI65" s="609"/>
      <c r="SEJ65" s="609"/>
      <c r="SEK65" s="609"/>
      <c r="SEL65" s="609"/>
      <c r="SEM65" s="609"/>
      <c r="SEN65" s="609"/>
      <c r="SEO65" s="609"/>
      <c r="SEP65" s="609"/>
      <c r="SEQ65" s="609"/>
      <c r="SER65" s="609"/>
      <c r="SES65" s="609"/>
      <c r="SET65" s="609"/>
      <c r="SEU65" s="609"/>
      <c r="SEV65" s="609"/>
      <c r="SEW65" s="609"/>
      <c r="SEX65" s="609"/>
      <c r="SEY65" s="609"/>
      <c r="SEZ65" s="609"/>
      <c r="SFA65" s="609"/>
      <c r="SFB65" s="609"/>
      <c r="SFC65" s="609"/>
      <c r="SFD65" s="609"/>
      <c r="SFE65" s="609"/>
      <c r="SFF65" s="609"/>
      <c r="SFG65" s="609"/>
      <c r="SFH65" s="609"/>
      <c r="SFI65" s="609"/>
      <c r="SFJ65" s="609"/>
      <c r="SFK65" s="609"/>
      <c r="SFL65" s="609"/>
      <c r="SFM65" s="609"/>
      <c r="SFN65" s="609"/>
      <c r="SFO65" s="609"/>
      <c r="SFP65" s="609"/>
      <c r="SFQ65" s="609"/>
      <c r="SFR65" s="609"/>
      <c r="SFS65" s="609"/>
      <c r="SFT65" s="609"/>
      <c r="SFU65" s="609"/>
      <c r="SFV65" s="609"/>
      <c r="SFW65" s="609"/>
      <c r="SFX65" s="609"/>
      <c r="SFY65" s="609"/>
      <c r="SFZ65" s="609"/>
      <c r="SGA65" s="609"/>
      <c r="SGB65" s="609"/>
      <c r="SGC65" s="609"/>
      <c r="SGD65" s="609"/>
      <c r="SGE65" s="609"/>
      <c r="SGF65" s="609"/>
      <c r="SGG65" s="609"/>
      <c r="SGH65" s="609"/>
      <c r="SGI65" s="609"/>
      <c r="SGJ65" s="609"/>
      <c r="SGK65" s="609"/>
      <c r="SGL65" s="609"/>
      <c r="SGM65" s="609"/>
      <c r="SGN65" s="609"/>
      <c r="SGO65" s="609"/>
      <c r="SGP65" s="609"/>
      <c r="SGQ65" s="609"/>
      <c r="SGR65" s="609"/>
      <c r="SGS65" s="609"/>
      <c r="SGT65" s="609"/>
      <c r="SGU65" s="609"/>
      <c r="SGV65" s="609"/>
      <c r="SGW65" s="609"/>
      <c r="SGX65" s="609"/>
      <c r="SGY65" s="609"/>
      <c r="SGZ65" s="609"/>
      <c r="SHA65" s="609"/>
      <c r="SHB65" s="609"/>
      <c r="SHC65" s="609"/>
      <c r="SHD65" s="609"/>
      <c r="SHE65" s="609"/>
      <c r="SHF65" s="609"/>
      <c r="SHG65" s="609"/>
      <c r="SHH65" s="609"/>
      <c r="SHI65" s="609"/>
      <c r="SHJ65" s="609"/>
      <c r="SHK65" s="609"/>
      <c r="SHL65" s="609"/>
      <c r="SHM65" s="609"/>
      <c r="SHN65" s="609"/>
      <c r="SHO65" s="609"/>
      <c r="SHP65" s="609"/>
      <c r="SHQ65" s="609"/>
      <c r="SHR65" s="609"/>
      <c r="SHS65" s="609"/>
      <c r="SHT65" s="609"/>
      <c r="SHU65" s="609"/>
      <c r="SHV65" s="609"/>
      <c r="SHW65" s="609"/>
      <c r="SHX65" s="609"/>
      <c r="SHY65" s="609"/>
      <c r="SHZ65" s="609"/>
      <c r="SIA65" s="609"/>
      <c r="SIB65" s="609"/>
      <c r="SIC65" s="609"/>
      <c r="SID65" s="609"/>
      <c r="SIE65" s="609"/>
      <c r="SIF65" s="609"/>
      <c r="SIG65" s="609"/>
      <c r="SIH65" s="609"/>
      <c r="SII65" s="609"/>
      <c r="SIJ65" s="609"/>
      <c r="SIK65" s="609"/>
      <c r="SIL65" s="609"/>
      <c r="SIM65" s="609"/>
      <c r="SIN65" s="609"/>
      <c r="SIO65" s="609"/>
      <c r="SIP65" s="609"/>
      <c r="SIQ65" s="609"/>
      <c r="SIR65" s="609"/>
      <c r="SIS65" s="609"/>
      <c r="SIT65" s="609"/>
      <c r="SIU65" s="609"/>
      <c r="SIV65" s="609"/>
      <c r="SIW65" s="609"/>
      <c r="SIX65" s="609"/>
      <c r="SIY65" s="609"/>
      <c r="SIZ65" s="609"/>
      <c r="SJA65" s="609"/>
      <c r="SJB65" s="609"/>
      <c r="SJC65" s="609"/>
      <c r="SJD65" s="609"/>
      <c r="SJE65" s="609"/>
      <c r="SJF65" s="609"/>
      <c r="SJG65" s="609"/>
      <c r="SJH65" s="609"/>
      <c r="SJI65" s="609"/>
      <c r="SJJ65" s="609"/>
      <c r="SJK65" s="609"/>
      <c r="SJL65" s="609"/>
      <c r="SJM65" s="609"/>
      <c r="SJN65" s="609"/>
      <c r="SJO65" s="609"/>
      <c r="SJP65" s="609"/>
      <c r="SJQ65" s="609"/>
      <c r="SJR65" s="609"/>
      <c r="SJS65" s="609"/>
      <c r="SJT65" s="609"/>
      <c r="SJU65" s="609"/>
      <c r="SJV65" s="609"/>
      <c r="SJW65" s="609"/>
      <c r="SJX65" s="609"/>
      <c r="SJY65" s="609"/>
      <c r="SJZ65" s="609"/>
      <c r="SKA65" s="609"/>
      <c r="SKB65" s="609"/>
      <c r="SKC65" s="609"/>
      <c r="SKD65" s="609"/>
      <c r="SKE65" s="609"/>
      <c r="SKF65" s="609"/>
      <c r="SKG65" s="609"/>
      <c r="SKH65" s="609"/>
      <c r="SKI65" s="609"/>
      <c r="SKJ65" s="609"/>
      <c r="SKK65" s="609"/>
      <c r="SKL65" s="609"/>
      <c r="SKM65" s="609"/>
      <c r="SKN65" s="609"/>
      <c r="SKO65" s="609"/>
      <c r="SKP65" s="609"/>
      <c r="SKQ65" s="609"/>
      <c r="SKR65" s="609"/>
      <c r="SKS65" s="609"/>
      <c r="SKT65" s="609"/>
      <c r="SKU65" s="609"/>
      <c r="SKV65" s="609"/>
      <c r="SKW65" s="609"/>
      <c r="SKX65" s="609"/>
      <c r="SKY65" s="609"/>
      <c r="SKZ65" s="609"/>
      <c r="SLA65" s="609"/>
      <c r="SLB65" s="609"/>
      <c r="SLC65" s="609"/>
      <c r="SLD65" s="609"/>
      <c r="SLE65" s="609"/>
      <c r="SLF65" s="609"/>
      <c r="SLG65" s="609"/>
      <c r="SLH65" s="609"/>
      <c r="SLI65" s="609"/>
      <c r="SLJ65" s="609"/>
      <c r="SLK65" s="609"/>
      <c r="SLL65" s="609"/>
      <c r="SLM65" s="609"/>
      <c r="SLN65" s="609"/>
      <c r="SLO65" s="609"/>
      <c r="SLP65" s="609"/>
      <c r="SLQ65" s="609"/>
      <c r="SLR65" s="609"/>
      <c r="SLS65" s="609"/>
      <c r="SLT65" s="609"/>
      <c r="SLU65" s="609"/>
      <c r="SLV65" s="609"/>
      <c r="SLW65" s="609"/>
      <c r="SLX65" s="609"/>
      <c r="SLY65" s="609"/>
      <c r="SLZ65" s="609"/>
      <c r="SMA65" s="609"/>
      <c r="SMB65" s="609"/>
      <c r="SMC65" s="609"/>
      <c r="SMD65" s="609"/>
      <c r="SME65" s="609"/>
      <c r="SMF65" s="609"/>
      <c r="SMG65" s="609"/>
      <c r="SMH65" s="609"/>
      <c r="SMI65" s="609"/>
      <c r="SMJ65" s="609"/>
      <c r="SMK65" s="609"/>
      <c r="SML65" s="609"/>
      <c r="SMM65" s="609"/>
      <c r="SMN65" s="609"/>
      <c r="SMO65" s="609"/>
      <c r="SMP65" s="609"/>
      <c r="SMQ65" s="609"/>
      <c r="SMR65" s="609"/>
      <c r="SMS65" s="609"/>
      <c r="SMT65" s="609"/>
      <c r="SMU65" s="609"/>
      <c r="SMV65" s="609"/>
      <c r="SMW65" s="609"/>
      <c r="SMX65" s="609"/>
      <c r="SMY65" s="609"/>
      <c r="SMZ65" s="609"/>
      <c r="SNA65" s="609"/>
      <c r="SNB65" s="609"/>
      <c r="SNC65" s="609"/>
      <c r="SND65" s="609"/>
      <c r="SNE65" s="609"/>
      <c r="SNF65" s="609"/>
      <c r="SNG65" s="609"/>
      <c r="SNH65" s="609"/>
      <c r="SNI65" s="609"/>
      <c r="SNJ65" s="609"/>
      <c r="SNK65" s="609"/>
      <c r="SNL65" s="609"/>
      <c r="SNM65" s="609"/>
      <c r="SNN65" s="609"/>
      <c r="SNO65" s="609"/>
      <c r="SNP65" s="609"/>
      <c r="SNQ65" s="609"/>
      <c r="SNR65" s="609"/>
      <c r="SNS65" s="609"/>
      <c r="SNT65" s="609"/>
      <c r="SNU65" s="609"/>
      <c r="SNV65" s="609"/>
      <c r="SNW65" s="609"/>
      <c r="SNX65" s="609"/>
      <c r="SNY65" s="609"/>
      <c r="SNZ65" s="609"/>
      <c r="SOA65" s="609"/>
      <c r="SOB65" s="609"/>
      <c r="SOC65" s="609"/>
      <c r="SOD65" s="609"/>
      <c r="SOE65" s="609"/>
      <c r="SOF65" s="609"/>
      <c r="SOG65" s="609"/>
      <c r="SOH65" s="609"/>
      <c r="SOI65" s="609"/>
      <c r="SOJ65" s="609"/>
      <c r="SOK65" s="609"/>
      <c r="SOL65" s="609"/>
      <c r="SOM65" s="609"/>
      <c r="SON65" s="609"/>
      <c r="SOO65" s="609"/>
      <c r="SOP65" s="609"/>
      <c r="SOQ65" s="609"/>
      <c r="SOR65" s="609"/>
      <c r="SOS65" s="609"/>
      <c r="SOT65" s="609"/>
      <c r="SOU65" s="609"/>
      <c r="SOV65" s="609"/>
      <c r="SOW65" s="609"/>
      <c r="SOX65" s="609"/>
      <c r="SOY65" s="609"/>
      <c r="SOZ65" s="609"/>
      <c r="SPA65" s="609"/>
      <c r="SPB65" s="609"/>
      <c r="SPC65" s="609"/>
      <c r="SPD65" s="609"/>
      <c r="SPE65" s="609"/>
      <c r="SPF65" s="609"/>
      <c r="SPG65" s="609"/>
      <c r="SPH65" s="609"/>
      <c r="SPI65" s="609"/>
      <c r="SPJ65" s="609"/>
      <c r="SPK65" s="609"/>
      <c r="SPL65" s="609"/>
      <c r="SPM65" s="609"/>
      <c r="SPN65" s="609"/>
      <c r="SPO65" s="609"/>
      <c r="SPP65" s="609"/>
      <c r="SPQ65" s="609"/>
      <c r="SPR65" s="609"/>
      <c r="SPS65" s="609"/>
      <c r="SPT65" s="609"/>
      <c r="SPU65" s="609"/>
      <c r="SPV65" s="609"/>
      <c r="SPW65" s="609"/>
      <c r="SPX65" s="609"/>
      <c r="SPY65" s="609"/>
      <c r="SPZ65" s="609"/>
      <c r="SQA65" s="609"/>
      <c r="SQB65" s="609"/>
      <c r="SQC65" s="609"/>
      <c r="SQD65" s="609"/>
      <c r="SQE65" s="609"/>
      <c r="SQF65" s="609"/>
      <c r="SQG65" s="609"/>
      <c r="SQH65" s="609"/>
      <c r="SQI65" s="609"/>
      <c r="SQJ65" s="609"/>
      <c r="SQK65" s="609"/>
      <c r="SQL65" s="609"/>
      <c r="SQM65" s="609"/>
      <c r="SQN65" s="609"/>
      <c r="SQO65" s="609"/>
      <c r="SQP65" s="609"/>
      <c r="SQQ65" s="609"/>
      <c r="SQR65" s="609"/>
      <c r="SQS65" s="609"/>
      <c r="SQT65" s="609"/>
      <c r="SQU65" s="609"/>
      <c r="SQV65" s="609"/>
      <c r="SQW65" s="609"/>
      <c r="SQX65" s="609"/>
      <c r="SQY65" s="609"/>
      <c r="SQZ65" s="609"/>
      <c r="SRA65" s="609"/>
      <c r="SRB65" s="609"/>
      <c r="SRC65" s="609"/>
      <c r="SRD65" s="609"/>
      <c r="SRE65" s="609"/>
      <c r="SRF65" s="609"/>
      <c r="SRG65" s="609"/>
      <c r="SRH65" s="609"/>
      <c r="SRI65" s="609"/>
      <c r="SRJ65" s="609"/>
      <c r="SRK65" s="609"/>
      <c r="SRL65" s="609"/>
      <c r="SRM65" s="609"/>
      <c r="SRN65" s="609"/>
      <c r="SRO65" s="609"/>
      <c r="SRP65" s="609"/>
      <c r="SRQ65" s="609"/>
      <c r="SRR65" s="609"/>
      <c r="SRS65" s="609"/>
      <c r="SRT65" s="609"/>
      <c r="SRU65" s="609"/>
      <c r="SRV65" s="609"/>
      <c r="SRW65" s="609"/>
      <c r="SRX65" s="609"/>
      <c r="SRY65" s="609"/>
      <c r="SRZ65" s="609"/>
      <c r="SSA65" s="609"/>
      <c r="SSB65" s="609"/>
      <c r="SSC65" s="609"/>
      <c r="SSD65" s="609"/>
      <c r="SSE65" s="609"/>
      <c r="SSF65" s="609"/>
      <c r="SSG65" s="609"/>
      <c r="SSH65" s="609"/>
      <c r="SSI65" s="609"/>
      <c r="SSJ65" s="609"/>
      <c r="SSK65" s="609"/>
      <c r="SSL65" s="609"/>
      <c r="SSM65" s="609"/>
      <c r="SSN65" s="609"/>
      <c r="SSO65" s="609"/>
      <c r="SSP65" s="609"/>
      <c r="SSQ65" s="609"/>
      <c r="SSR65" s="609"/>
      <c r="SSS65" s="609"/>
      <c r="SST65" s="609"/>
      <c r="SSU65" s="609"/>
      <c r="SSV65" s="609"/>
      <c r="SSW65" s="609"/>
      <c r="SSX65" s="609"/>
      <c r="SSY65" s="609"/>
      <c r="SSZ65" s="609"/>
      <c r="STA65" s="609"/>
      <c r="STB65" s="609"/>
      <c r="STC65" s="609"/>
      <c r="STD65" s="609"/>
      <c r="STE65" s="609"/>
      <c r="STF65" s="609"/>
      <c r="STG65" s="609"/>
      <c r="STH65" s="609"/>
      <c r="STI65" s="609"/>
      <c r="STJ65" s="609"/>
      <c r="STK65" s="609"/>
      <c r="STL65" s="609"/>
      <c r="STM65" s="609"/>
      <c r="STN65" s="609"/>
      <c r="STO65" s="609"/>
      <c r="STP65" s="609"/>
      <c r="STQ65" s="609"/>
      <c r="STR65" s="609"/>
      <c r="STS65" s="609"/>
      <c r="STT65" s="609"/>
      <c r="STU65" s="609"/>
      <c r="STV65" s="609"/>
      <c r="STW65" s="609"/>
      <c r="STX65" s="609"/>
      <c r="STY65" s="609"/>
      <c r="STZ65" s="609"/>
      <c r="SUA65" s="609"/>
      <c r="SUB65" s="609"/>
      <c r="SUC65" s="609"/>
      <c r="SUD65" s="609"/>
      <c r="SUE65" s="609"/>
      <c r="SUF65" s="609"/>
      <c r="SUG65" s="609"/>
      <c r="SUH65" s="609"/>
      <c r="SUI65" s="609"/>
      <c r="SUJ65" s="609"/>
      <c r="SUK65" s="609"/>
      <c r="SUL65" s="609"/>
      <c r="SUM65" s="609"/>
      <c r="SUN65" s="609"/>
      <c r="SUO65" s="609"/>
      <c r="SUP65" s="609"/>
      <c r="SUQ65" s="609"/>
      <c r="SUR65" s="609"/>
      <c r="SUS65" s="609"/>
      <c r="SUT65" s="609"/>
      <c r="SUU65" s="609"/>
      <c r="SUV65" s="609"/>
      <c r="SUW65" s="609"/>
      <c r="SUX65" s="609"/>
      <c r="SUY65" s="609"/>
      <c r="SUZ65" s="609"/>
      <c r="SVA65" s="609"/>
      <c r="SVB65" s="609"/>
      <c r="SVC65" s="609"/>
      <c r="SVD65" s="609"/>
      <c r="SVE65" s="609"/>
      <c r="SVF65" s="609"/>
      <c r="SVG65" s="609"/>
      <c r="SVH65" s="609"/>
      <c r="SVI65" s="609"/>
      <c r="SVJ65" s="609"/>
      <c r="SVK65" s="609"/>
      <c r="SVL65" s="609"/>
      <c r="SVM65" s="609"/>
      <c r="SVN65" s="609"/>
      <c r="SVO65" s="609"/>
      <c r="SVP65" s="609"/>
      <c r="SVQ65" s="609"/>
      <c r="SVR65" s="609"/>
      <c r="SVS65" s="609"/>
      <c r="SVT65" s="609"/>
      <c r="SVU65" s="609"/>
      <c r="SVV65" s="609"/>
      <c r="SVW65" s="609"/>
      <c r="SVX65" s="609"/>
      <c r="SVY65" s="609"/>
      <c r="SVZ65" s="609"/>
      <c r="SWA65" s="609"/>
      <c r="SWB65" s="609"/>
      <c r="SWC65" s="609"/>
      <c r="SWD65" s="609"/>
      <c r="SWE65" s="609"/>
      <c r="SWF65" s="609"/>
      <c r="SWG65" s="609"/>
      <c r="SWH65" s="609"/>
      <c r="SWI65" s="609"/>
      <c r="SWJ65" s="609"/>
      <c r="SWK65" s="609"/>
      <c r="SWL65" s="609"/>
      <c r="SWM65" s="609"/>
      <c r="SWN65" s="609"/>
      <c r="SWO65" s="609"/>
      <c r="SWP65" s="609"/>
      <c r="SWQ65" s="609"/>
      <c r="SWR65" s="609"/>
      <c r="SWS65" s="609"/>
      <c r="SWT65" s="609"/>
      <c r="SWU65" s="609"/>
      <c r="SWV65" s="609"/>
      <c r="SWW65" s="609"/>
      <c r="SWX65" s="609"/>
      <c r="SWY65" s="609"/>
      <c r="SWZ65" s="609"/>
      <c r="SXA65" s="609"/>
      <c r="SXB65" s="609"/>
      <c r="SXC65" s="609"/>
      <c r="SXD65" s="609"/>
      <c r="SXE65" s="609"/>
      <c r="SXF65" s="609"/>
      <c r="SXG65" s="609"/>
      <c r="SXH65" s="609"/>
      <c r="SXI65" s="609"/>
      <c r="SXJ65" s="609"/>
      <c r="SXK65" s="609"/>
      <c r="SXL65" s="609"/>
      <c r="SXM65" s="609"/>
      <c r="SXN65" s="609"/>
      <c r="SXO65" s="609"/>
      <c r="SXP65" s="609"/>
      <c r="SXQ65" s="609"/>
      <c r="SXR65" s="609"/>
      <c r="SXS65" s="609"/>
      <c r="SXT65" s="609"/>
      <c r="SXU65" s="609"/>
      <c r="SXV65" s="609"/>
      <c r="SXW65" s="609"/>
      <c r="SXX65" s="609"/>
      <c r="SXY65" s="609"/>
      <c r="SXZ65" s="609"/>
      <c r="SYA65" s="609"/>
      <c r="SYB65" s="609"/>
      <c r="SYC65" s="609"/>
      <c r="SYD65" s="609"/>
      <c r="SYE65" s="609"/>
      <c r="SYF65" s="609"/>
      <c r="SYG65" s="609"/>
      <c r="SYH65" s="609"/>
      <c r="SYI65" s="609"/>
      <c r="SYJ65" s="609"/>
      <c r="SYK65" s="609"/>
      <c r="SYL65" s="609"/>
      <c r="SYM65" s="609"/>
      <c r="SYN65" s="609"/>
      <c r="SYO65" s="609"/>
      <c r="SYP65" s="609"/>
      <c r="SYQ65" s="609"/>
      <c r="SYR65" s="609"/>
      <c r="SYS65" s="609"/>
      <c r="SYT65" s="609"/>
      <c r="SYU65" s="609"/>
      <c r="SYV65" s="609"/>
      <c r="SYW65" s="609"/>
      <c r="SYX65" s="609"/>
      <c r="SYY65" s="609"/>
      <c r="SYZ65" s="609"/>
      <c r="SZA65" s="609"/>
      <c r="SZB65" s="609"/>
      <c r="SZC65" s="609"/>
      <c r="SZD65" s="609"/>
      <c r="SZE65" s="609"/>
      <c r="SZF65" s="609"/>
      <c r="SZG65" s="609"/>
      <c r="SZH65" s="609"/>
      <c r="SZI65" s="609"/>
      <c r="SZJ65" s="609"/>
      <c r="SZK65" s="609"/>
      <c r="SZL65" s="609"/>
      <c r="SZM65" s="609"/>
      <c r="SZN65" s="609"/>
      <c r="SZO65" s="609"/>
      <c r="SZP65" s="609"/>
      <c r="SZQ65" s="609"/>
      <c r="SZR65" s="609"/>
      <c r="SZS65" s="609"/>
      <c r="SZT65" s="609"/>
      <c r="SZU65" s="609"/>
      <c r="SZV65" s="609"/>
      <c r="SZW65" s="609"/>
      <c r="SZX65" s="609"/>
      <c r="SZY65" s="609"/>
      <c r="SZZ65" s="609"/>
      <c r="TAA65" s="609"/>
      <c r="TAB65" s="609"/>
      <c r="TAC65" s="609"/>
      <c r="TAD65" s="609"/>
      <c r="TAE65" s="609"/>
      <c r="TAF65" s="609"/>
      <c r="TAG65" s="609"/>
      <c r="TAH65" s="609"/>
      <c r="TAI65" s="609"/>
      <c r="TAJ65" s="609"/>
      <c r="TAK65" s="609"/>
      <c r="TAL65" s="609"/>
      <c r="TAM65" s="609"/>
      <c r="TAN65" s="609"/>
      <c r="TAO65" s="609"/>
      <c r="TAP65" s="609"/>
      <c r="TAQ65" s="609"/>
      <c r="TAR65" s="609"/>
      <c r="TAS65" s="609"/>
      <c r="TAT65" s="609"/>
      <c r="TAU65" s="609"/>
      <c r="TAV65" s="609"/>
      <c r="TAW65" s="609"/>
      <c r="TAX65" s="609"/>
      <c r="TAY65" s="609"/>
      <c r="TAZ65" s="609"/>
      <c r="TBA65" s="609"/>
      <c r="TBB65" s="609"/>
      <c r="TBC65" s="609"/>
      <c r="TBD65" s="609"/>
      <c r="TBE65" s="609"/>
      <c r="TBF65" s="609"/>
      <c r="TBG65" s="609"/>
      <c r="TBH65" s="609"/>
      <c r="TBI65" s="609"/>
      <c r="TBJ65" s="609"/>
      <c r="TBK65" s="609"/>
      <c r="TBL65" s="609"/>
      <c r="TBM65" s="609"/>
      <c r="TBN65" s="609"/>
      <c r="TBO65" s="609"/>
      <c r="TBP65" s="609"/>
      <c r="TBQ65" s="609"/>
      <c r="TBR65" s="609"/>
      <c r="TBS65" s="609"/>
      <c r="TBT65" s="609"/>
      <c r="TBU65" s="609"/>
      <c r="TBV65" s="609"/>
      <c r="TBW65" s="609"/>
      <c r="TBX65" s="609"/>
      <c r="TBY65" s="609"/>
      <c r="TBZ65" s="609"/>
      <c r="TCA65" s="609"/>
      <c r="TCB65" s="609"/>
      <c r="TCC65" s="609"/>
      <c r="TCD65" s="609"/>
      <c r="TCE65" s="609"/>
      <c r="TCF65" s="609"/>
      <c r="TCG65" s="609"/>
      <c r="TCH65" s="609"/>
      <c r="TCI65" s="609"/>
      <c r="TCJ65" s="609"/>
      <c r="TCK65" s="609"/>
      <c r="TCL65" s="609"/>
      <c r="TCM65" s="609"/>
      <c r="TCN65" s="609"/>
      <c r="TCO65" s="609"/>
      <c r="TCP65" s="609"/>
      <c r="TCQ65" s="609"/>
      <c r="TCR65" s="609"/>
      <c r="TCS65" s="609"/>
      <c r="TCT65" s="609"/>
      <c r="TCU65" s="609"/>
      <c r="TCV65" s="609"/>
      <c r="TCW65" s="609"/>
      <c r="TCX65" s="609"/>
      <c r="TCY65" s="609"/>
      <c r="TCZ65" s="609"/>
      <c r="TDA65" s="609"/>
      <c r="TDB65" s="609"/>
      <c r="TDC65" s="609"/>
      <c r="TDD65" s="609"/>
      <c r="TDE65" s="609"/>
      <c r="TDF65" s="609"/>
      <c r="TDG65" s="609"/>
      <c r="TDH65" s="609"/>
      <c r="TDI65" s="609"/>
      <c r="TDJ65" s="609"/>
      <c r="TDK65" s="609"/>
      <c r="TDL65" s="609"/>
      <c r="TDM65" s="609"/>
      <c r="TDN65" s="609"/>
      <c r="TDO65" s="609"/>
      <c r="TDP65" s="609"/>
      <c r="TDQ65" s="609"/>
      <c r="TDR65" s="609"/>
      <c r="TDS65" s="609"/>
      <c r="TDT65" s="609"/>
      <c r="TDU65" s="609"/>
      <c r="TDV65" s="609"/>
      <c r="TDW65" s="609"/>
      <c r="TDX65" s="609"/>
      <c r="TDY65" s="609"/>
      <c r="TDZ65" s="609"/>
      <c r="TEA65" s="609"/>
      <c r="TEB65" s="609"/>
      <c r="TEC65" s="609"/>
      <c r="TED65" s="609"/>
      <c r="TEE65" s="609"/>
      <c r="TEF65" s="609"/>
      <c r="TEG65" s="609"/>
      <c r="TEH65" s="609"/>
      <c r="TEI65" s="609"/>
      <c r="TEJ65" s="609"/>
      <c r="TEK65" s="609"/>
      <c r="TEL65" s="609"/>
      <c r="TEM65" s="609"/>
      <c r="TEN65" s="609"/>
      <c r="TEO65" s="609"/>
      <c r="TEP65" s="609"/>
      <c r="TEQ65" s="609"/>
      <c r="TER65" s="609"/>
      <c r="TES65" s="609"/>
      <c r="TET65" s="609"/>
      <c r="TEU65" s="609"/>
      <c r="TEV65" s="609"/>
      <c r="TEW65" s="609"/>
      <c r="TEX65" s="609"/>
      <c r="TEY65" s="609"/>
      <c r="TEZ65" s="609"/>
      <c r="TFA65" s="609"/>
      <c r="TFB65" s="609"/>
      <c r="TFC65" s="609"/>
      <c r="TFD65" s="609"/>
      <c r="TFE65" s="609"/>
      <c r="TFF65" s="609"/>
      <c r="TFG65" s="609"/>
      <c r="TFH65" s="609"/>
      <c r="TFI65" s="609"/>
      <c r="TFJ65" s="609"/>
      <c r="TFK65" s="609"/>
      <c r="TFL65" s="609"/>
      <c r="TFM65" s="609"/>
      <c r="TFN65" s="609"/>
      <c r="TFO65" s="609"/>
      <c r="TFP65" s="609"/>
      <c r="TFQ65" s="609"/>
      <c r="TFR65" s="609"/>
      <c r="TFS65" s="609"/>
      <c r="TFT65" s="609"/>
      <c r="TFU65" s="609"/>
      <c r="TFV65" s="609"/>
      <c r="TFW65" s="609"/>
      <c r="TFX65" s="609"/>
      <c r="TFY65" s="609"/>
      <c r="TFZ65" s="609"/>
      <c r="TGA65" s="609"/>
      <c r="TGB65" s="609"/>
      <c r="TGC65" s="609"/>
      <c r="TGD65" s="609"/>
      <c r="TGE65" s="609"/>
      <c r="TGF65" s="609"/>
      <c r="TGG65" s="609"/>
      <c r="TGH65" s="609"/>
      <c r="TGI65" s="609"/>
      <c r="TGJ65" s="609"/>
      <c r="TGK65" s="609"/>
      <c r="TGL65" s="609"/>
      <c r="TGM65" s="609"/>
      <c r="TGN65" s="609"/>
      <c r="TGO65" s="609"/>
      <c r="TGP65" s="609"/>
      <c r="TGQ65" s="609"/>
      <c r="TGR65" s="609"/>
      <c r="TGS65" s="609"/>
      <c r="TGT65" s="609"/>
      <c r="TGU65" s="609"/>
      <c r="TGV65" s="609"/>
      <c r="TGW65" s="609"/>
      <c r="TGX65" s="609"/>
      <c r="TGY65" s="609"/>
      <c r="TGZ65" s="609"/>
      <c r="THA65" s="609"/>
      <c r="THB65" s="609"/>
      <c r="THC65" s="609"/>
      <c r="THD65" s="609"/>
      <c r="THE65" s="609"/>
      <c r="THF65" s="609"/>
      <c r="THG65" s="609"/>
      <c r="THH65" s="609"/>
      <c r="THI65" s="609"/>
      <c r="THJ65" s="609"/>
      <c r="THK65" s="609"/>
      <c r="THL65" s="609"/>
      <c r="THM65" s="609"/>
      <c r="THN65" s="609"/>
      <c r="THO65" s="609"/>
      <c r="THP65" s="609"/>
      <c r="THQ65" s="609"/>
      <c r="THR65" s="609"/>
      <c r="THS65" s="609"/>
      <c r="THT65" s="609"/>
      <c r="THU65" s="609"/>
      <c r="THV65" s="609"/>
      <c r="THW65" s="609"/>
      <c r="THX65" s="609"/>
      <c r="THY65" s="609"/>
      <c r="THZ65" s="609"/>
      <c r="TIA65" s="609"/>
      <c r="TIB65" s="609"/>
      <c r="TIC65" s="609"/>
      <c r="TID65" s="609"/>
      <c r="TIE65" s="609"/>
      <c r="TIF65" s="609"/>
      <c r="TIG65" s="609"/>
      <c r="TIH65" s="609"/>
      <c r="TII65" s="609"/>
      <c r="TIJ65" s="609"/>
      <c r="TIK65" s="609"/>
      <c r="TIL65" s="609"/>
      <c r="TIM65" s="609"/>
      <c r="TIN65" s="609"/>
      <c r="TIO65" s="609"/>
      <c r="TIP65" s="609"/>
      <c r="TIQ65" s="609"/>
      <c r="TIR65" s="609"/>
      <c r="TIS65" s="609"/>
      <c r="TIT65" s="609"/>
      <c r="TIU65" s="609"/>
      <c r="TIV65" s="609"/>
      <c r="TIW65" s="609"/>
      <c r="TIX65" s="609"/>
      <c r="TIY65" s="609"/>
      <c r="TIZ65" s="609"/>
      <c r="TJA65" s="609"/>
      <c r="TJB65" s="609"/>
      <c r="TJC65" s="609"/>
      <c r="TJD65" s="609"/>
      <c r="TJE65" s="609"/>
      <c r="TJF65" s="609"/>
      <c r="TJG65" s="609"/>
      <c r="TJH65" s="609"/>
      <c r="TJI65" s="609"/>
      <c r="TJJ65" s="609"/>
      <c r="TJK65" s="609"/>
      <c r="TJL65" s="609"/>
      <c r="TJM65" s="609"/>
      <c r="TJN65" s="609"/>
      <c r="TJO65" s="609"/>
      <c r="TJP65" s="609"/>
      <c r="TJQ65" s="609"/>
      <c r="TJR65" s="609"/>
      <c r="TJS65" s="609"/>
      <c r="TJT65" s="609"/>
      <c r="TJU65" s="609"/>
      <c r="TJV65" s="609"/>
      <c r="TJW65" s="609"/>
      <c r="TJX65" s="609"/>
      <c r="TJY65" s="609"/>
      <c r="TJZ65" s="609"/>
      <c r="TKA65" s="609"/>
      <c r="TKB65" s="609"/>
      <c r="TKC65" s="609"/>
      <c r="TKD65" s="609"/>
      <c r="TKE65" s="609"/>
      <c r="TKF65" s="609"/>
      <c r="TKG65" s="609"/>
      <c r="TKH65" s="609"/>
      <c r="TKI65" s="609"/>
      <c r="TKJ65" s="609"/>
      <c r="TKK65" s="609"/>
      <c r="TKL65" s="609"/>
      <c r="TKM65" s="609"/>
      <c r="TKN65" s="609"/>
      <c r="TKO65" s="609"/>
      <c r="TKP65" s="609"/>
      <c r="TKQ65" s="609"/>
      <c r="TKR65" s="609"/>
      <c r="TKS65" s="609"/>
      <c r="TKT65" s="609"/>
      <c r="TKU65" s="609"/>
      <c r="TKV65" s="609"/>
      <c r="TKW65" s="609"/>
      <c r="TKX65" s="609"/>
      <c r="TKY65" s="609"/>
      <c r="TKZ65" s="609"/>
      <c r="TLA65" s="609"/>
      <c r="TLB65" s="609"/>
      <c r="TLC65" s="609"/>
      <c r="TLD65" s="609"/>
      <c r="TLE65" s="609"/>
      <c r="TLF65" s="609"/>
      <c r="TLG65" s="609"/>
      <c r="TLH65" s="609"/>
      <c r="TLI65" s="609"/>
      <c r="TLJ65" s="609"/>
      <c r="TLK65" s="609"/>
      <c r="TLL65" s="609"/>
      <c r="TLM65" s="609"/>
      <c r="TLN65" s="609"/>
      <c r="TLO65" s="609"/>
      <c r="TLP65" s="609"/>
      <c r="TLQ65" s="609"/>
      <c r="TLR65" s="609"/>
      <c r="TLS65" s="609"/>
      <c r="TLT65" s="609"/>
      <c r="TLU65" s="609"/>
      <c r="TLV65" s="609"/>
      <c r="TLW65" s="609"/>
      <c r="TLX65" s="609"/>
      <c r="TLY65" s="609"/>
      <c r="TLZ65" s="609"/>
      <c r="TMA65" s="609"/>
      <c r="TMB65" s="609"/>
      <c r="TMC65" s="609"/>
      <c r="TMD65" s="609"/>
      <c r="TME65" s="609"/>
      <c r="TMF65" s="609"/>
      <c r="TMG65" s="609"/>
      <c r="TMH65" s="609"/>
      <c r="TMI65" s="609"/>
      <c r="TMJ65" s="609"/>
      <c r="TMK65" s="609"/>
      <c r="TML65" s="609"/>
      <c r="TMM65" s="609"/>
      <c r="TMN65" s="609"/>
      <c r="TMO65" s="609"/>
      <c r="TMP65" s="609"/>
      <c r="TMQ65" s="609"/>
      <c r="TMR65" s="609"/>
      <c r="TMS65" s="609"/>
      <c r="TMT65" s="609"/>
      <c r="TMU65" s="609"/>
      <c r="TMV65" s="609"/>
      <c r="TMW65" s="609"/>
      <c r="TMX65" s="609"/>
      <c r="TMY65" s="609"/>
      <c r="TMZ65" s="609"/>
      <c r="TNA65" s="609"/>
      <c r="TNB65" s="609"/>
      <c r="TNC65" s="609"/>
      <c r="TND65" s="609"/>
      <c r="TNE65" s="609"/>
      <c r="TNF65" s="609"/>
      <c r="TNG65" s="609"/>
      <c r="TNH65" s="609"/>
      <c r="TNI65" s="609"/>
      <c r="TNJ65" s="609"/>
      <c r="TNK65" s="609"/>
      <c r="TNL65" s="609"/>
      <c r="TNM65" s="609"/>
      <c r="TNN65" s="609"/>
      <c r="TNO65" s="609"/>
      <c r="TNP65" s="609"/>
      <c r="TNQ65" s="609"/>
      <c r="TNR65" s="609"/>
      <c r="TNS65" s="609"/>
      <c r="TNT65" s="609"/>
      <c r="TNU65" s="609"/>
      <c r="TNV65" s="609"/>
      <c r="TNW65" s="609"/>
      <c r="TNX65" s="609"/>
      <c r="TNY65" s="609"/>
      <c r="TNZ65" s="609"/>
      <c r="TOA65" s="609"/>
      <c r="TOB65" s="609"/>
      <c r="TOC65" s="609"/>
      <c r="TOD65" s="609"/>
      <c r="TOE65" s="609"/>
      <c r="TOF65" s="609"/>
      <c r="TOG65" s="609"/>
      <c r="TOH65" s="609"/>
      <c r="TOI65" s="609"/>
      <c r="TOJ65" s="609"/>
      <c r="TOK65" s="609"/>
      <c r="TOL65" s="609"/>
      <c r="TOM65" s="609"/>
      <c r="TON65" s="609"/>
      <c r="TOO65" s="609"/>
      <c r="TOP65" s="609"/>
      <c r="TOQ65" s="609"/>
      <c r="TOR65" s="609"/>
      <c r="TOS65" s="609"/>
      <c r="TOT65" s="609"/>
      <c r="TOU65" s="609"/>
      <c r="TOV65" s="609"/>
      <c r="TOW65" s="609"/>
      <c r="TOX65" s="609"/>
      <c r="TOY65" s="609"/>
      <c r="TOZ65" s="609"/>
      <c r="TPA65" s="609"/>
      <c r="TPB65" s="609"/>
      <c r="TPC65" s="609"/>
      <c r="TPD65" s="609"/>
      <c r="TPE65" s="609"/>
      <c r="TPF65" s="609"/>
      <c r="TPG65" s="609"/>
      <c r="TPH65" s="609"/>
      <c r="TPI65" s="609"/>
      <c r="TPJ65" s="609"/>
      <c r="TPK65" s="609"/>
      <c r="TPL65" s="609"/>
      <c r="TPM65" s="609"/>
      <c r="TPN65" s="609"/>
      <c r="TPO65" s="609"/>
      <c r="TPP65" s="609"/>
      <c r="TPQ65" s="609"/>
      <c r="TPR65" s="609"/>
      <c r="TPS65" s="609"/>
      <c r="TPT65" s="609"/>
      <c r="TPU65" s="609"/>
      <c r="TPV65" s="609"/>
      <c r="TPW65" s="609"/>
      <c r="TPX65" s="609"/>
      <c r="TPY65" s="609"/>
      <c r="TPZ65" s="609"/>
      <c r="TQA65" s="609"/>
      <c r="TQB65" s="609"/>
      <c r="TQC65" s="609"/>
      <c r="TQD65" s="609"/>
      <c r="TQE65" s="609"/>
      <c r="TQF65" s="609"/>
      <c r="TQG65" s="609"/>
      <c r="TQH65" s="609"/>
      <c r="TQI65" s="609"/>
      <c r="TQJ65" s="609"/>
      <c r="TQK65" s="609"/>
      <c r="TQL65" s="609"/>
      <c r="TQM65" s="609"/>
      <c r="TQN65" s="609"/>
      <c r="TQO65" s="609"/>
      <c r="TQP65" s="609"/>
      <c r="TQQ65" s="609"/>
      <c r="TQR65" s="609"/>
      <c r="TQS65" s="609"/>
      <c r="TQT65" s="609"/>
      <c r="TQU65" s="609"/>
      <c r="TQV65" s="609"/>
      <c r="TQW65" s="609"/>
      <c r="TQX65" s="609"/>
      <c r="TQY65" s="609"/>
      <c r="TQZ65" s="609"/>
      <c r="TRA65" s="609"/>
      <c r="TRB65" s="609"/>
      <c r="TRC65" s="609"/>
      <c r="TRD65" s="609"/>
      <c r="TRE65" s="609"/>
      <c r="TRF65" s="609"/>
      <c r="TRG65" s="609"/>
      <c r="TRH65" s="609"/>
      <c r="TRI65" s="609"/>
      <c r="TRJ65" s="609"/>
      <c r="TRK65" s="609"/>
      <c r="TRL65" s="609"/>
      <c r="TRM65" s="609"/>
      <c r="TRN65" s="609"/>
      <c r="TRO65" s="609"/>
      <c r="TRP65" s="609"/>
      <c r="TRQ65" s="609"/>
      <c r="TRR65" s="609"/>
      <c r="TRS65" s="609"/>
      <c r="TRT65" s="609"/>
      <c r="TRU65" s="609"/>
      <c r="TRV65" s="609"/>
      <c r="TRW65" s="609"/>
      <c r="TRX65" s="609"/>
      <c r="TRY65" s="609"/>
      <c r="TRZ65" s="609"/>
      <c r="TSA65" s="609"/>
      <c r="TSB65" s="609"/>
      <c r="TSC65" s="609"/>
      <c r="TSD65" s="609"/>
      <c r="TSE65" s="609"/>
      <c r="TSF65" s="609"/>
      <c r="TSG65" s="609"/>
      <c r="TSH65" s="609"/>
      <c r="TSI65" s="609"/>
      <c r="TSJ65" s="609"/>
      <c r="TSK65" s="609"/>
      <c r="TSL65" s="609"/>
      <c r="TSM65" s="609"/>
      <c r="TSN65" s="609"/>
      <c r="TSO65" s="609"/>
      <c r="TSP65" s="609"/>
      <c r="TSQ65" s="609"/>
      <c r="TSR65" s="609"/>
      <c r="TSS65" s="609"/>
      <c r="TST65" s="609"/>
      <c r="TSU65" s="609"/>
      <c r="TSV65" s="609"/>
      <c r="TSW65" s="609"/>
      <c r="TSX65" s="609"/>
      <c r="TSY65" s="609"/>
      <c r="TSZ65" s="609"/>
      <c r="TTA65" s="609"/>
      <c r="TTB65" s="609"/>
      <c r="TTC65" s="609"/>
      <c r="TTD65" s="609"/>
      <c r="TTE65" s="609"/>
      <c r="TTF65" s="609"/>
      <c r="TTG65" s="609"/>
      <c r="TTH65" s="609"/>
      <c r="TTI65" s="609"/>
      <c r="TTJ65" s="609"/>
      <c r="TTK65" s="609"/>
      <c r="TTL65" s="609"/>
      <c r="TTM65" s="609"/>
      <c r="TTN65" s="609"/>
      <c r="TTO65" s="609"/>
      <c r="TTP65" s="609"/>
      <c r="TTQ65" s="609"/>
      <c r="TTR65" s="609"/>
      <c r="TTS65" s="609"/>
      <c r="TTT65" s="609"/>
      <c r="TTU65" s="609"/>
      <c r="TTV65" s="609"/>
      <c r="TTW65" s="609"/>
      <c r="TTX65" s="609"/>
      <c r="TTY65" s="609"/>
      <c r="TTZ65" s="609"/>
      <c r="TUA65" s="609"/>
      <c r="TUB65" s="609"/>
      <c r="TUC65" s="609"/>
      <c r="TUD65" s="609"/>
      <c r="TUE65" s="609"/>
      <c r="TUF65" s="609"/>
      <c r="TUG65" s="609"/>
      <c r="TUH65" s="609"/>
      <c r="TUI65" s="609"/>
      <c r="TUJ65" s="609"/>
      <c r="TUK65" s="609"/>
      <c r="TUL65" s="609"/>
      <c r="TUM65" s="609"/>
      <c r="TUN65" s="609"/>
      <c r="TUO65" s="609"/>
      <c r="TUP65" s="609"/>
      <c r="TUQ65" s="609"/>
      <c r="TUR65" s="609"/>
      <c r="TUS65" s="609"/>
      <c r="TUT65" s="609"/>
      <c r="TUU65" s="609"/>
      <c r="TUV65" s="609"/>
      <c r="TUW65" s="609"/>
      <c r="TUX65" s="609"/>
      <c r="TUY65" s="609"/>
      <c r="TUZ65" s="609"/>
      <c r="TVA65" s="609"/>
      <c r="TVB65" s="609"/>
      <c r="TVC65" s="609"/>
      <c r="TVD65" s="609"/>
      <c r="TVE65" s="609"/>
      <c r="TVF65" s="609"/>
      <c r="TVG65" s="609"/>
      <c r="TVH65" s="609"/>
      <c r="TVI65" s="609"/>
      <c r="TVJ65" s="609"/>
      <c r="TVK65" s="609"/>
      <c r="TVL65" s="609"/>
      <c r="TVM65" s="609"/>
      <c r="TVN65" s="609"/>
      <c r="TVO65" s="609"/>
      <c r="TVP65" s="609"/>
      <c r="TVQ65" s="609"/>
      <c r="TVR65" s="609"/>
      <c r="TVS65" s="609"/>
      <c r="TVT65" s="609"/>
      <c r="TVU65" s="609"/>
      <c r="TVV65" s="609"/>
      <c r="TVW65" s="609"/>
      <c r="TVX65" s="609"/>
      <c r="TVY65" s="609"/>
      <c r="TVZ65" s="609"/>
      <c r="TWA65" s="609"/>
      <c r="TWB65" s="609"/>
      <c r="TWC65" s="609"/>
      <c r="TWD65" s="609"/>
      <c r="TWE65" s="609"/>
      <c r="TWF65" s="609"/>
      <c r="TWG65" s="609"/>
      <c r="TWH65" s="609"/>
      <c r="TWI65" s="609"/>
      <c r="TWJ65" s="609"/>
      <c r="TWK65" s="609"/>
      <c r="TWL65" s="609"/>
      <c r="TWM65" s="609"/>
      <c r="TWN65" s="609"/>
      <c r="TWO65" s="609"/>
      <c r="TWP65" s="609"/>
      <c r="TWQ65" s="609"/>
      <c r="TWR65" s="609"/>
      <c r="TWS65" s="609"/>
      <c r="TWT65" s="609"/>
      <c r="TWU65" s="609"/>
      <c r="TWV65" s="609"/>
      <c r="TWW65" s="609"/>
      <c r="TWX65" s="609"/>
      <c r="TWY65" s="609"/>
      <c r="TWZ65" s="609"/>
      <c r="TXA65" s="609"/>
      <c r="TXB65" s="609"/>
      <c r="TXC65" s="609"/>
      <c r="TXD65" s="609"/>
      <c r="TXE65" s="609"/>
      <c r="TXF65" s="609"/>
      <c r="TXG65" s="609"/>
      <c r="TXH65" s="609"/>
      <c r="TXI65" s="609"/>
      <c r="TXJ65" s="609"/>
      <c r="TXK65" s="609"/>
      <c r="TXL65" s="609"/>
      <c r="TXM65" s="609"/>
      <c r="TXN65" s="609"/>
      <c r="TXO65" s="609"/>
      <c r="TXP65" s="609"/>
      <c r="TXQ65" s="609"/>
      <c r="TXR65" s="609"/>
      <c r="TXS65" s="609"/>
      <c r="TXT65" s="609"/>
      <c r="TXU65" s="609"/>
      <c r="TXV65" s="609"/>
      <c r="TXW65" s="609"/>
      <c r="TXX65" s="609"/>
      <c r="TXY65" s="609"/>
      <c r="TXZ65" s="609"/>
      <c r="TYA65" s="609"/>
      <c r="TYB65" s="609"/>
      <c r="TYC65" s="609"/>
      <c r="TYD65" s="609"/>
      <c r="TYE65" s="609"/>
      <c r="TYF65" s="609"/>
      <c r="TYG65" s="609"/>
      <c r="TYH65" s="609"/>
      <c r="TYI65" s="609"/>
      <c r="TYJ65" s="609"/>
      <c r="TYK65" s="609"/>
      <c r="TYL65" s="609"/>
      <c r="TYM65" s="609"/>
      <c r="TYN65" s="609"/>
      <c r="TYO65" s="609"/>
      <c r="TYP65" s="609"/>
      <c r="TYQ65" s="609"/>
      <c r="TYR65" s="609"/>
      <c r="TYS65" s="609"/>
      <c r="TYT65" s="609"/>
      <c r="TYU65" s="609"/>
      <c r="TYV65" s="609"/>
      <c r="TYW65" s="609"/>
      <c r="TYX65" s="609"/>
      <c r="TYY65" s="609"/>
      <c r="TYZ65" s="609"/>
      <c r="TZA65" s="609"/>
      <c r="TZB65" s="609"/>
      <c r="TZC65" s="609"/>
      <c r="TZD65" s="609"/>
      <c r="TZE65" s="609"/>
      <c r="TZF65" s="609"/>
      <c r="TZG65" s="609"/>
      <c r="TZH65" s="609"/>
      <c r="TZI65" s="609"/>
      <c r="TZJ65" s="609"/>
      <c r="TZK65" s="609"/>
      <c r="TZL65" s="609"/>
      <c r="TZM65" s="609"/>
      <c r="TZN65" s="609"/>
      <c r="TZO65" s="609"/>
      <c r="TZP65" s="609"/>
      <c r="TZQ65" s="609"/>
      <c r="TZR65" s="609"/>
      <c r="TZS65" s="609"/>
      <c r="TZT65" s="609"/>
      <c r="TZU65" s="609"/>
      <c r="TZV65" s="609"/>
      <c r="TZW65" s="609"/>
      <c r="TZX65" s="609"/>
      <c r="TZY65" s="609"/>
      <c r="TZZ65" s="609"/>
      <c r="UAA65" s="609"/>
      <c r="UAB65" s="609"/>
      <c r="UAC65" s="609"/>
      <c r="UAD65" s="609"/>
      <c r="UAE65" s="609"/>
      <c r="UAF65" s="609"/>
      <c r="UAG65" s="609"/>
      <c r="UAH65" s="609"/>
      <c r="UAI65" s="609"/>
      <c r="UAJ65" s="609"/>
      <c r="UAK65" s="609"/>
      <c r="UAL65" s="609"/>
      <c r="UAM65" s="609"/>
      <c r="UAN65" s="609"/>
      <c r="UAO65" s="609"/>
      <c r="UAP65" s="609"/>
      <c r="UAQ65" s="609"/>
      <c r="UAR65" s="609"/>
      <c r="UAS65" s="609"/>
      <c r="UAT65" s="609"/>
      <c r="UAU65" s="609"/>
      <c r="UAV65" s="609"/>
      <c r="UAW65" s="609"/>
      <c r="UAX65" s="609"/>
      <c r="UAY65" s="609"/>
      <c r="UAZ65" s="609"/>
      <c r="UBA65" s="609"/>
      <c r="UBB65" s="609"/>
      <c r="UBC65" s="609"/>
      <c r="UBD65" s="609"/>
      <c r="UBE65" s="609"/>
      <c r="UBF65" s="609"/>
      <c r="UBG65" s="609"/>
      <c r="UBH65" s="609"/>
      <c r="UBI65" s="609"/>
      <c r="UBJ65" s="609"/>
      <c r="UBK65" s="609"/>
      <c r="UBL65" s="609"/>
      <c r="UBM65" s="609"/>
      <c r="UBN65" s="609"/>
      <c r="UBO65" s="609"/>
      <c r="UBP65" s="609"/>
      <c r="UBQ65" s="609"/>
      <c r="UBR65" s="609"/>
      <c r="UBS65" s="609"/>
      <c r="UBT65" s="609"/>
      <c r="UBU65" s="609"/>
      <c r="UBV65" s="609"/>
      <c r="UBW65" s="609"/>
      <c r="UBX65" s="609"/>
      <c r="UBY65" s="609"/>
      <c r="UBZ65" s="609"/>
      <c r="UCA65" s="609"/>
      <c r="UCB65" s="609"/>
      <c r="UCC65" s="609"/>
      <c r="UCD65" s="609"/>
      <c r="UCE65" s="609"/>
      <c r="UCF65" s="609"/>
      <c r="UCG65" s="609"/>
      <c r="UCH65" s="609"/>
      <c r="UCI65" s="609"/>
      <c r="UCJ65" s="609"/>
      <c r="UCK65" s="609"/>
      <c r="UCL65" s="609"/>
      <c r="UCM65" s="609"/>
      <c r="UCN65" s="609"/>
      <c r="UCO65" s="609"/>
      <c r="UCP65" s="609"/>
      <c r="UCQ65" s="609"/>
      <c r="UCR65" s="609"/>
      <c r="UCS65" s="609"/>
      <c r="UCT65" s="609"/>
      <c r="UCU65" s="609"/>
      <c r="UCV65" s="609"/>
      <c r="UCW65" s="609"/>
      <c r="UCX65" s="609"/>
      <c r="UCY65" s="609"/>
      <c r="UCZ65" s="609"/>
      <c r="UDA65" s="609"/>
      <c r="UDB65" s="609"/>
      <c r="UDC65" s="609"/>
      <c r="UDD65" s="609"/>
      <c r="UDE65" s="609"/>
      <c r="UDF65" s="609"/>
      <c r="UDG65" s="609"/>
      <c r="UDH65" s="609"/>
      <c r="UDI65" s="609"/>
      <c r="UDJ65" s="609"/>
      <c r="UDK65" s="609"/>
      <c r="UDL65" s="609"/>
      <c r="UDM65" s="609"/>
      <c r="UDN65" s="609"/>
      <c r="UDO65" s="609"/>
      <c r="UDP65" s="609"/>
      <c r="UDQ65" s="609"/>
      <c r="UDR65" s="609"/>
      <c r="UDS65" s="609"/>
      <c r="UDT65" s="609"/>
      <c r="UDU65" s="609"/>
      <c r="UDV65" s="609"/>
      <c r="UDW65" s="609"/>
      <c r="UDX65" s="609"/>
      <c r="UDY65" s="609"/>
      <c r="UDZ65" s="609"/>
      <c r="UEA65" s="609"/>
      <c r="UEB65" s="609"/>
      <c r="UEC65" s="609"/>
      <c r="UED65" s="609"/>
      <c r="UEE65" s="609"/>
      <c r="UEF65" s="609"/>
      <c r="UEG65" s="609"/>
      <c r="UEH65" s="609"/>
      <c r="UEI65" s="609"/>
      <c r="UEJ65" s="609"/>
      <c r="UEK65" s="609"/>
      <c r="UEL65" s="609"/>
      <c r="UEM65" s="609"/>
      <c r="UEN65" s="609"/>
      <c r="UEO65" s="609"/>
      <c r="UEP65" s="609"/>
      <c r="UEQ65" s="609"/>
      <c r="UER65" s="609"/>
      <c r="UES65" s="609"/>
      <c r="UET65" s="609"/>
      <c r="UEU65" s="609"/>
      <c r="UEV65" s="609"/>
      <c r="UEW65" s="609"/>
      <c r="UEX65" s="609"/>
      <c r="UEY65" s="609"/>
      <c r="UEZ65" s="609"/>
      <c r="UFA65" s="609"/>
      <c r="UFB65" s="609"/>
      <c r="UFC65" s="609"/>
      <c r="UFD65" s="609"/>
      <c r="UFE65" s="609"/>
      <c r="UFF65" s="609"/>
      <c r="UFG65" s="609"/>
      <c r="UFH65" s="609"/>
      <c r="UFI65" s="609"/>
      <c r="UFJ65" s="609"/>
      <c r="UFK65" s="609"/>
      <c r="UFL65" s="609"/>
      <c r="UFM65" s="609"/>
      <c r="UFN65" s="609"/>
      <c r="UFO65" s="609"/>
      <c r="UFP65" s="609"/>
      <c r="UFQ65" s="609"/>
      <c r="UFR65" s="609"/>
      <c r="UFS65" s="609"/>
      <c r="UFT65" s="609"/>
      <c r="UFU65" s="609"/>
      <c r="UFV65" s="609"/>
      <c r="UFW65" s="609"/>
      <c r="UFX65" s="609"/>
      <c r="UFY65" s="609"/>
      <c r="UFZ65" s="609"/>
      <c r="UGA65" s="609"/>
      <c r="UGB65" s="609"/>
      <c r="UGC65" s="609"/>
      <c r="UGD65" s="609"/>
      <c r="UGE65" s="609"/>
      <c r="UGF65" s="609"/>
      <c r="UGG65" s="609"/>
      <c r="UGH65" s="609"/>
      <c r="UGI65" s="609"/>
      <c r="UGJ65" s="609"/>
      <c r="UGK65" s="609"/>
      <c r="UGL65" s="609"/>
      <c r="UGM65" s="609"/>
      <c r="UGN65" s="609"/>
      <c r="UGO65" s="609"/>
      <c r="UGP65" s="609"/>
      <c r="UGQ65" s="609"/>
      <c r="UGR65" s="609"/>
      <c r="UGS65" s="609"/>
      <c r="UGT65" s="609"/>
      <c r="UGU65" s="609"/>
      <c r="UGV65" s="609"/>
      <c r="UGW65" s="609"/>
      <c r="UGX65" s="609"/>
      <c r="UGY65" s="609"/>
      <c r="UGZ65" s="609"/>
      <c r="UHA65" s="609"/>
      <c r="UHB65" s="609"/>
      <c r="UHC65" s="609"/>
      <c r="UHD65" s="609"/>
      <c r="UHE65" s="609"/>
      <c r="UHF65" s="609"/>
      <c r="UHG65" s="609"/>
      <c r="UHH65" s="609"/>
      <c r="UHI65" s="609"/>
      <c r="UHJ65" s="609"/>
      <c r="UHK65" s="609"/>
      <c r="UHL65" s="609"/>
      <c r="UHM65" s="609"/>
      <c r="UHN65" s="609"/>
      <c r="UHO65" s="609"/>
      <c r="UHP65" s="609"/>
      <c r="UHQ65" s="609"/>
      <c r="UHR65" s="609"/>
      <c r="UHS65" s="609"/>
      <c r="UHT65" s="609"/>
      <c r="UHU65" s="609"/>
      <c r="UHV65" s="609"/>
      <c r="UHW65" s="609"/>
      <c r="UHX65" s="609"/>
      <c r="UHY65" s="609"/>
      <c r="UHZ65" s="609"/>
      <c r="UIA65" s="609"/>
      <c r="UIB65" s="609"/>
      <c r="UIC65" s="609"/>
      <c r="UID65" s="609"/>
      <c r="UIE65" s="609"/>
      <c r="UIF65" s="609"/>
      <c r="UIG65" s="609"/>
      <c r="UIH65" s="609"/>
      <c r="UII65" s="609"/>
      <c r="UIJ65" s="609"/>
      <c r="UIK65" s="609"/>
      <c r="UIL65" s="609"/>
      <c r="UIM65" s="609"/>
      <c r="UIN65" s="609"/>
      <c r="UIO65" s="609"/>
      <c r="UIP65" s="609"/>
      <c r="UIQ65" s="609"/>
      <c r="UIR65" s="609"/>
      <c r="UIS65" s="609"/>
      <c r="UIT65" s="609"/>
      <c r="UIU65" s="609"/>
      <c r="UIV65" s="609"/>
      <c r="UIW65" s="609"/>
      <c r="UIX65" s="609"/>
      <c r="UIY65" s="609"/>
      <c r="UIZ65" s="609"/>
      <c r="UJA65" s="609"/>
      <c r="UJB65" s="609"/>
      <c r="UJC65" s="609"/>
      <c r="UJD65" s="609"/>
      <c r="UJE65" s="609"/>
      <c r="UJF65" s="609"/>
      <c r="UJG65" s="609"/>
      <c r="UJH65" s="609"/>
      <c r="UJI65" s="609"/>
      <c r="UJJ65" s="609"/>
      <c r="UJK65" s="609"/>
      <c r="UJL65" s="609"/>
      <c r="UJM65" s="609"/>
      <c r="UJN65" s="609"/>
      <c r="UJO65" s="609"/>
      <c r="UJP65" s="609"/>
      <c r="UJQ65" s="609"/>
      <c r="UJR65" s="609"/>
      <c r="UJS65" s="609"/>
      <c r="UJT65" s="609"/>
      <c r="UJU65" s="609"/>
      <c r="UJV65" s="609"/>
      <c r="UJW65" s="609"/>
      <c r="UJX65" s="609"/>
      <c r="UJY65" s="609"/>
      <c r="UJZ65" s="609"/>
      <c r="UKA65" s="609"/>
      <c r="UKB65" s="609"/>
      <c r="UKC65" s="609"/>
      <c r="UKD65" s="609"/>
      <c r="UKE65" s="609"/>
      <c r="UKF65" s="609"/>
      <c r="UKG65" s="609"/>
      <c r="UKH65" s="609"/>
      <c r="UKI65" s="609"/>
      <c r="UKJ65" s="609"/>
      <c r="UKK65" s="609"/>
      <c r="UKL65" s="609"/>
      <c r="UKM65" s="609"/>
      <c r="UKN65" s="609"/>
      <c r="UKO65" s="609"/>
      <c r="UKP65" s="609"/>
      <c r="UKQ65" s="609"/>
      <c r="UKR65" s="609"/>
      <c r="UKS65" s="609"/>
      <c r="UKT65" s="609"/>
      <c r="UKU65" s="609"/>
      <c r="UKV65" s="609"/>
      <c r="UKW65" s="609"/>
      <c r="UKX65" s="609"/>
      <c r="UKY65" s="609"/>
      <c r="UKZ65" s="609"/>
      <c r="ULA65" s="609"/>
      <c r="ULB65" s="609"/>
      <c r="ULC65" s="609"/>
      <c r="ULD65" s="609"/>
      <c r="ULE65" s="609"/>
      <c r="ULF65" s="609"/>
      <c r="ULG65" s="609"/>
      <c r="ULH65" s="609"/>
      <c r="ULI65" s="609"/>
      <c r="ULJ65" s="609"/>
      <c r="ULK65" s="609"/>
      <c r="ULL65" s="609"/>
      <c r="ULM65" s="609"/>
      <c r="ULN65" s="609"/>
      <c r="ULO65" s="609"/>
      <c r="ULP65" s="609"/>
      <c r="ULQ65" s="609"/>
      <c r="ULR65" s="609"/>
      <c r="ULS65" s="609"/>
      <c r="ULT65" s="609"/>
      <c r="ULU65" s="609"/>
      <c r="ULV65" s="609"/>
      <c r="ULW65" s="609"/>
      <c r="ULX65" s="609"/>
      <c r="ULY65" s="609"/>
      <c r="ULZ65" s="609"/>
      <c r="UMA65" s="609"/>
      <c r="UMB65" s="609"/>
      <c r="UMC65" s="609"/>
      <c r="UMD65" s="609"/>
      <c r="UME65" s="609"/>
      <c r="UMF65" s="609"/>
      <c r="UMG65" s="609"/>
      <c r="UMH65" s="609"/>
      <c r="UMI65" s="609"/>
      <c r="UMJ65" s="609"/>
      <c r="UMK65" s="609"/>
      <c r="UML65" s="609"/>
      <c r="UMM65" s="609"/>
      <c r="UMN65" s="609"/>
      <c r="UMO65" s="609"/>
      <c r="UMP65" s="609"/>
      <c r="UMQ65" s="609"/>
      <c r="UMR65" s="609"/>
      <c r="UMS65" s="609"/>
      <c r="UMT65" s="609"/>
      <c r="UMU65" s="609"/>
      <c r="UMV65" s="609"/>
      <c r="UMW65" s="609"/>
      <c r="UMX65" s="609"/>
      <c r="UMY65" s="609"/>
      <c r="UMZ65" s="609"/>
      <c r="UNA65" s="609"/>
      <c r="UNB65" s="609"/>
      <c r="UNC65" s="609"/>
      <c r="UND65" s="609"/>
      <c r="UNE65" s="609"/>
      <c r="UNF65" s="609"/>
      <c r="UNG65" s="609"/>
      <c r="UNH65" s="609"/>
      <c r="UNI65" s="609"/>
      <c r="UNJ65" s="609"/>
      <c r="UNK65" s="609"/>
      <c r="UNL65" s="609"/>
      <c r="UNM65" s="609"/>
      <c r="UNN65" s="609"/>
      <c r="UNO65" s="609"/>
      <c r="UNP65" s="609"/>
      <c r="UNQ65" s="609"/>
      <c r="UNR65" s="609"/>
      <c r="UNS65" s="609"/>
      <c r="UNT65" s="609"/>
      <c r="UNU65" s="609"/>
      <c r="UNV65" s="609"/>
      <c r="UNW65" s="609"/>
      <c r="UNX65" s="609"/>
      <c r="UNY65" s="609"/>
      <c r="UNZ65" s="609"/>
      <c r="UOA65" s="609"/>
      <c r="UOB65" s="609"/>
      <c r="UOC65" s="609"/>
      <c r="UOD65" s="609"/>
      <c r="UOE65" s="609"/>
      <c r="UOF65" s="609"/>
      <c r="UOG65" s="609"/>
      <c r="UOH65" s="609"/>
      <c r="UOI65" s="609"/>
      <c r="UOJ65" s="609"/>
      <c r="UOK65" s="609"/>
      <c r="UOL65" s="609"/>
      <c r="UOM65" s="609"/>
      <c r="UON65" s="609"/>
      <c r="UOO65" s="609"/>
      <c r="UOP65" s="609"/>
      <c r="UOQ65" s="609"/>
      <c r="UOR65" s="609"/>
      <c r="UOS65" s="609"/>
      <c r="UOT65" s="609"/>
      <c r="UOU65" s="609"/>
      <c r="UOV65" s="609"/>
      <c r="UOW65" s="609"/>
      <c r="UOX65" s="609"/>
      <c r="UOY65" s="609"/>
      <c r="UOZ65" s="609"/>
      <c r="UPA65" s="609"/>
      <c r="UPB65" s="609"/>
      <c r="UPC65" s="609"/>
      <c r="UPD65" s="609"/>
      <c r="UPE65" s="609"/>
      <c r="UPF65" s="609"/>
      <c r="UPG65" s="609"/>
      <c r="UPH65" s="609"/>
      <c r="UPI65" s="609"/>
      <c r="UPJ65" s="609"/>
      <c r="UPK65" s="609"/>
      <c r="UPL65" s="609"/>
      <c r="UPM65" s="609"/>
      <c r="UPN65" s="609"/>
      <c r="UPO65" s="609"/>
      <c r="UPP65" s="609"/>
      <c r="UPQ65" s="609"/>
      <c r="UPR65" s="609"/>
      <c r="UPS65" s="609"/>
      <c r="UPT65" s="609"/>
      <c r="UPU65" s="609"/>
      <c r="UPV65" s="609"/>
      <c r="UPW65" s="609"/>
      <c r="UPX65" s="609"/>
      <c r="UPY65" s="609"/>
      <c r="UPZ65" s="609"/>
      <c r="UQA65" s="609"/>
      <c r="UQB65" s="609"/>
      <c r="UQC65" s="609"/>
      <c r="UQD65" s="609"/>
      <c r="UQE65" s="609"/>
      <c r="UQF65" s="609"/>
      <c r="UQG65" s="609"/>
      <c r="UQH65" s="609"/>
      <c r="UQI65" s="609"/>
      <c r="UQJ65" s="609"/>
      <c r="UQK65" s="609"/>
      <c r="UQL65" s="609"/>
      <c r="UQM65" s="609"/>
      <c r="UQN65" s="609"/>
      <c r="UQO65" s="609"/>
      <c r="UQP65" s="609"/>
      <c r="UQQ65" s="609"/>
      <c r="UQR65" s="609"/>
      <c r="UQS65" s="609"/>
      <c r="UQT65" s="609"/>
      <c r="UQU65" s="609"/>
      <c r="UQV65" s="609"/>
      <c r="UQW65" s="609"/>
      <c r="UQX65" s="609"/>
      <c r="UQY65" s="609"/>
      <c r="UQZ65" s="609"/>
      <c r="URA65" s="609"/>
      <c r="URB65" s="609"/>
      <c r="URC65" s="609"/>
      <c r="URD65" s="609"/>
      <c r="URE65" s="609"/>
      <c r="URF65" s="609"/>
      <c r="URG65" s="609"/>
      <c r="URH65" s="609"/>
      <c r="URI65" s="609"/>
      <c r="URJ65" s="609"/>
      <c r="URK65" s="609"/>
      <c r="URL65" s="609"/>
      <c r="URM65" s="609"/>
      <c r="URN65" s="609"/>
      <c r="URO65" s="609"/>
      <c r="URP65" s="609"/>
      <c r="URQ65" s="609"/>
      <c r="URR65" s="609"/>
      <c r="URS65" s="609"/>
      <c r="URT65" s="609"/>
      <c r="URU65" s="609"/>
      <c r="URV65" s="609"/>
      <c r="URW65" s="609"/>
      <c r="URX65" s="609"/>
      <c r="URY65" s="609"/>
      <c r="URZ65" s="609"/>
      <c r="USA65" s="609"/>
      <c r="USB65" s="609"/>
      <c r="USC65" s="609"/>
      <c r="USD65" s="609"/>
      <c r="USE65" s="609"/>
      <c r="USF65" s="609"/>
      <c r="USG65" s="609"/>
      <c r="USH65" s="609"/>
      <c r="USI65" s="609"/>
      <c r="USJ65" s="609"/>
      <c r="USK65" s="609"/>
      <c r="USL65" s="609"/>
      <c r="USM65" s="609"/>
      <c r="USN65" s="609"/>
      <c r="USO65" s="609"/>
      <c r="USP65" s="609"/>
      <c r="USQ65" s="609"/>
      <c r="USR65" s="609"/>
      <c r="USS65" s="609"/>
      <c r="UST65" s="609"/>
      <c r="USU65" s="609"/>
      <c r="USV65" s="609"/>
      <c r="USW65" s="609"/>
      <c r="USX65" s="609"/>
      <c r="USY65" s="609"/>
      <c r="USZ65" s="609"/>
      <c r="UTA65" s="609"/>
      <c r="UTB65" s="609"/>
      <c r="UTC65" s="609"/>
      <c r="UTD65" s="609"/>
      <c r="UTE65" s="609"/>
      <c r="UTF65" s="609"/>
      <c r="UTG65" s="609"/>
      <c r="UTH65" s="609"/>
      <c r="UTI65" s="609"/>
      <c r="UTJ65" s="609"/>
      <c r="UTK65" s="609"/>
      <c r="UTL65" s="609"/>
      <c r="UTM65" s="609"/>
      <c r="UTN65" s="609"/>
      <c r="UTO65" s="609"/>
      <c r="UTP65" s="609"/>
      <c r="UTQ65" s="609"/>
      <c r="UTR65" s="609"/>
      <c r="UTS65" s="609"/>
      <c r="UTT65" s="609"/>
      <c r="UTU65" s="609"/>
      <c r="UTV65" s="609"/>
      <c r="UTW65" s="609"/>
      <c r="UTX65" s="609"/>
      <c r="UTY65" s="609"/>
      <c r="UTZ65" s="609"/>
      <c r="UUA65" s="609"/>
      <c r="UUB65" s="609"/>
      <c r="UUC65" s="609"/>
      <c r="UUD65" s="609"/>
      <c r="UUE65" s="609"/>
      <c r="UUF65" s="609"/>
      <c r="UUG65" s="609"/>
      <c r="UUH65" s="609"/>
      <c r="UUI65" s="609"/>
      <c r="UUJ65" s="609"/>
      <c r="UUK65" s="609"/>
      <c r="UUL65" s="609"/>
      <c r="UUM65" s="609"/>
      <c r="UUN65" s="609"/>
      <c r="UUO65" s="609"/>
      <c r="UUP65" s="609"/>
      <c r="UUQ65" s="609"/>
      <c r="UUR65" s="609"/>
      <c r="UUS65" s="609"/>
      <c r="UUT65" s="609"/>
      <c r="UUU65" s="609"/>
      <c r="UUV65" s="609"/>
      <c r="UUW65" s="609"/>
      <c r="UUX65" s="609"/>
      <c r="UUY65" s="609"/>
      <c r="UUZ65" s="609"/>
      <c r="UVA65" s="609"/>
      <c r="UVB65" s="609"/>
      <c r="UVC65" s="609"/>
      <c r="UVD65" s="609"/>
      <c r="UVE65" s="609"/>
      <c r="UVF65" s="609"/>
      <c r="UVG65" s="609"/>
      <c r="UVH65" s="609"/>
      <c r="UVI65" s="609"/>
      <c r="UVJ65" s="609"/>
      <c r="UVK65" s="609"/>
      <c r="UVL65" s="609"/>
      <c r="UVM65" s="609"/>
      <c r="UVN65" s="609"/>
      <c r="UVO65" s="609"/>
      <c r="UVP65" s="609"/>
      <c r="UVQ65" s="609"/>
      <c r="UVR65" s="609"/>
      <c r="UVS65" s="609"/>
      <c r="UVT65" s="609"/>
      <c r="UVU65" s="609"/>
      <c r="UVV65" s="609"/>
      <c r="UVW65" s="609"/>
      <c r="UVX65" s="609"/>
      <c r="UVY65" s="609"/>
      <c r="UVZ65" s="609"/>
      <c r="UWA65" s="609"/>
      <c r="UWB65" s="609"/>
      <c r="UWC65" s="609"/>
      <c r="UWD65" s="609"/>
      <c r="UWE65" s="609"/>
      <c r="UWF65" s="609"/>
      <c r="UWG65" s="609"/>
      <c r="UWH65" s="609"/>
      <c r="UWI65" s="609"/>
      <c r="UWJ65" s="609"/>
      <c r="UWK65" s="609"/>
      <c r="UWL65" s="609"/>
      <c r="UWM65" s="609"/>
      <c r="UWN65" s="609"/>
      <c r="UWO65" s="609"/>
      <c r="UWP65" s="609"/>
      <c r="UWQ65" s="609"/>
      <c r="UWR65" s="609"/>
      <c r="UWS65" s="609"/>
      <c r="UWT65" s="609"/>
      <c r="UWU65" s="609"/>
      <c r="UWV65" s="609"/>
      <c r="UWW65" s="609"/>
      <c r="UWX65" s="609"/>
      <c r="UWY65" s="609"/>
      <c r="UWZ65" s="609"/>
      <c r="UXA65" s="609"/>
      <c r="UXB65" s="609"/>
      <c r="UXC65" s="609"/>
      <c r="UXD65" s="609"/>
      <c r="UXE65" s="609"/>
      <c r="UXF65" s="609"/>
      <c r="UXG65" s="609"/>
      <c r="UXH65" s="609"/>
      <c r="UXI65" s="609"/>
      <c r="UXJ65" s="609"/>
      <c r="UXK65" s="609"/>
      <c r="UXL65" s="609"/>
      <c r="UXM65" s="609"/>
      <c r="UXN65" s="609"/>
      <c r="UXO65" s="609"/>
      <c r="UXP65" s="609"/>
      <c r="UXQ65" s="609"/>
      <c r="UXR65" s="609"/>
      <c r="UXS65" s="609"/>
      <c r="UXT65" s="609"/>
      <c r="UXU65" s="609"/>
      <c r="UXV65" s="609"/>
      <c r="UXW65" s="609"/>
      <c r="UXX65" s="609"/>
      <c r="UXY65" s="609"/>
      <c r="UXZ65" s="609"/>
      <c r="UYA65" s="609"/>
      <c r="UYB65" s="609"/>
      <c r="UYC65" s="609"/>
      <c r="UYD65" s="609"/>
      <c r="UYE65" s="609"/>
      <c r="UYF65" s="609"/>
      <c r="UYG65" s="609"/>
      <c r="UYH65" s="609"/>
      <c r="UYI65" s="609"/>
      <c r="UYJ65" s="609"/>
      <c r="UYK65" s="609"/>
      <c r="UYL65" s="609"/>
      <c r="UYM65" s="609"/>
      <c r="UYN65" s="609"/>
      <c r="UYO65" s="609"/>
      <c r="UYP65" s="609"/>
      <c r="UYQ65" s="609"/>
      <c r="UYR65" s="609"/>
      <c r="UYS65" s="609"/>
      <c r="UYT65" s="609"/>
      <c r="UYU65" s="609"/>
      <c r="UYV65" s="609"/>
      <c r="UYW65" s="609"/>
      <c r="UYX65" s="609"/>
      <c r="UYY65" s="609"/>
      <c r="UYZ65" s="609"/>
      <c r="UZA65" s="609"/>
      <c r="UZB65" s="609"/>
      <c r="UZC65" s="609"/>
      <c r="UZD65" s="609"/>
      <c r="UZE65" s="609"/>
      <c r="UZF65" s="609"/>
      <c r="UZG65" s="609"/>
      <c r="UZH65" s="609"/>
      <c r="UZI65" s="609"/>
      <c r="UZJ65" s="609"/>
      <c r="UZK65" s="609"/>
      <c r="UZL65" s="609"/>
      <c r="UZM65" s="609"/>
      <c r="UZN65" s="609"/>
      <c r="UZO65" s="609"/>
      <c r="UZP65" s="609"/>
      <c r="UZQ65" s="609"/>
      <c r="UZR65" s="609"/>
      <c r="UZS65" s="609"/>
      <c r="UZT65" s="609"/>
      <c r="UZU65" s="609"/>
      <c r="UZV65" s="609"/>
      <c r="UZW65" s="609"/>
      <c r="UZX65" s="609"/>
      <c r="UZY65" s="609"/>
      <c r="UZZ65" s="609"/>
      <c r="VAA65" s="609"/>
      <c r="VAB65" s="609"/>
      <c r="VAC65" s="609"/>
      <c r="VAD65" s="609"/>
      <c r="VAE65" s="609"/>
      <c r="VAF65" s="609"/>
      <c r="VAG65" s="609"/>
      <c r="VAH65" s="609"/>
      <c r="VAI65" s="609"/>
      <c r="VAJ65" s="609"/>
      <c r="VAK65" s="609"/>
      <c r="VAL65" s="609"/>
      <c r="VAM65" s="609"/>
      <c r="VAN65" s="609"/>
      <c r="VAO65" s="609"/>
      <c r="VAP65" s="609"/>
      <c r="VAQ65" s="609"/>
      <c r="VAR65" s="609"/>
      <c r="VAS65" s="609"/>
      <c r="VAT65" s="609"/>
      <c r="VAU65" s="609"/>
      <c r="VAV65" s="609"/>
      <c r="VAW65" s="609"/>
      <c r="VAX65" s="609"/>
      <c r="VAY65" s="609"/>
      <c r="VAZ65" s="609"/>
      <c r="VBA65" s="609"/>
      <c r="VBB65" s="609"/>
      <c r="VBC65" s="609"/>
      <c r="VBD65" s="609"/>
      <c r="VBE65" s="609"/>
      <c r="VBF65" s="609"/>
      <c r="VBG65" s="609"/>
      <c r="VBH65" s="609"/>
      <c r="VBI65" s="609"/>
      <c r="VBJ65" s="609"/>
      <c r="VBK65" s="609"/>
      <c r="VBL65" s="609"/>
      <c r="VBM65" s="609"/>
      <c r="VBN65" s="609"/>
      <c r="VBO65" s="609"/>
      <c r="VBP65" s="609"/>
      <c r="VBQ65" s="609"/>
      <c r="VBR65" s="609"/>
      <c r="VBS65" s="609"/>
      <c r="VBT65" s="609"/>
      <c r="VBU65" s="609"/>
      <c r="VBV65" s="609"/>
      <c r="VBW65" s="609"/>
      <c r="VBX65" s="609"/>
      <c r="VBY65" s="609"/>
      <c r="VBZ65" s="609"/>
      <c r="VCA65" s="609"/>
      <c r="VCB65" s="609"/>
      <c r="VCC65" s="609"/>
      <c r="VCD65" s="609"/>
      <c r="VCE65" s="609"/>
      <c r="VCF65" s="609"/>
      <c r="VCG65" s="609"/>
      <c r="VCH65" s="609"/>
      <c r="VCI65" s="609"/>
      <c r="VCJ65" s="609"/>
      <c r="VCK65" s="609"/>
      <c r="VCL65" s="609"/>
      <c r="VCM65" s="609"/>
      <c r="VCN65" s="609"/>
      <c r="VCO65" s="609"/>
      <c r="VCP65" s="609"/>
      <c r="VCQ65" s="609"/>
      <c r="VCR65" s="609"/>
      <c r="VCS65" s="609"/>
      <c r="VCT65" s="609"/>
      <c r="VCU65" s="609"/>
      <c r="VCV65" s="609"/>
      <c r="VCW65" s="609"/>
      <c r="VCX65" s="609"/>
      <c r="VCY65" s="609"/>
      <c r="VCZ65" s="609"/>
      <c r="VDA65" s="609"/>
      <c r="VDB65" s="609"/>
      <c r="VDC65" s="609"/>
      <c r="VDD65" s="609"/>
      <c r="VDE65" s="609"/>
      <c r="VDF65" s="609"/>
      <c r="VDG65" s="609"/>
      <c r="VDH65" s="609"/>
      <c r="VDI65" s="609"/>
      <c r="VDJ65" s="609"/>
      <c r="VDK65" s="609"/>
      <c r="VDL65" s="609"/>
      <c r="VDM65" s="609"/>
      <c r="VDN65" s="609"/>
      <c r="VDO65" s="609"/>
      <c r="VDP65" s="609"/>
      <c r="VDQ65" s="609"/>
      <c r="VDR65" s="609"/>
      <c r="VDS65" s="609"/>
      <c r="VDT65" s="609"/>
      <c r="VDU65" s="609"/>
      <c r="VDV65" s="609"/>
      <c r="VDW65" s="609"/>
      <c r="VDX65" s="609"/>
      <c r="VDY65" s="609"/>
      <c r="VDZ65" s="609"/>
      <c r="VEA65" s="609"/>
      <c r="VEB65" s="609"/>
      <c r="VEC65" s="609"/>
      <c r="VED65" s="609"/>
      <c r="VEE65" s="609"/>
      <c r="VEF65" s="609"/>
      <c r="VEG65" s="609"/>
      <c r="VEH65" s="609"/>
      <c r="VEI65" s="609"/>
      <c r="VEJ65" s="609"/>
      <c r="VEK65" s="609"/>
      <c r="VEL65" s="609"/>
      <c r="VEM65" s="609"/>
      <c r="VEN65" s="609"/>
      <c r="VEO65" s="609"/>
      <c r="VEP65" s="609"/>
      <c r="VEQ65" s="609"/>
      <c r="VER65" s="609"/>
      <c r="VES65" s="609"/>
      <c r="VET65" s="609"/>
      <c r="VEU65" s="609"/>
      <c r="VEV65" s="609"/>
      <c r="VEW65" s="609"/>
      <c r="VEX65" s="609"/>
      <c r="VEY65" s="609"/>
      <c r="VEZ65" s="609"/>
      <c r="VFA65" s="609"/>
      <c r="VFB65" s="609"/>
      <c r="VFC65" s="609"/>
      <c r="VFD65" s="609"/>
      <c r="VFE65" s="609"/>
      <c r="VFF65" s="609"/>
      <c r="VFG65" s="609"/>
      <c r="VFH65" s="609"/>
      <c r="VFI65" s="609"/>
      <c r="VFJ65" s="609"/>
      <c r="VFK65" s="609"/>
      <c r="VFL65" s="609"/>
      <c r="VFM65" s="609"/>
      <c r="VFN65" s="609"/>
      <c r="VFO65" s="609"/>
      <c r="VFP65" s="609"/>
      <c r="VFQ65" s="609"/>
      <c r="VFR65" s="609"/>
      <c r="VFS65" s="609"/>
      <c r="VFT65" s="609"/>
      <c r="VFU65" s="609"/>
      <c r="VFV65" s="609"/>
      <c r="VFW65" s="609"/>
      <c r="VFX65" s="609"/>
      <c r="VFY65" s="609"/>
      <c r="VFZ65" s="609"/>
      <c r="VGA65" s="609"/>
      <c r="VGB65" s="609"/>
      <c r="VGC65" s="609"/>
      <c r="VGD65" s="609"/>
      <c r="VGE65" s="609"/>
      <c r="VGF65" s="609"/>
      <c r="VGG65" s="609"/>
      <c r="VGH65" s="609"/>
      <c r="VGI65" s="609"/>
      <c r="VGJ65" s="609"/>
      <c r="VGK65" s="609"/>
      <c r="VGL65" s="609"/>
      <c r="VGM65" s="609"/>
      <c r="VGN65" s="609"/>
      <c r="VGO65" s="609"/>
      <c r="VGP65" s="609"/>
      <c r="VGQ65" s="609"/>
      <c r="VGR65" s="609"/>
      <c r="VGS65" s="609"/>
      <c r="VGT65" s="609"/>
      <c r="VGU65" s="609"/>
      <c r="VGV65" s="609"/>
      <c r="VGW65" s="609"/>
      <c r="VGX65" s="609"/>
      <c r="VGY65" s="609"/>
      <c r="VGZ65" s="609"/>
      <c r="VHA65" s="609"/>
      <c r="VHB65" s="609"/>
      <c r="VHC65" s="609"/>
      <c r="VHD65" s="609"/>
      <c r="VHE65" s="609"/>
      <c r="VHF65" s="609"/>
      <c r="VHG65" s="609"/>
      <c r="VHH65" s="609"/>
      <c r="VHI65" s="609"/>
      <c r="VHJ65" s="609"/>
      <c r="VHK65" s="609"/>
      <c r="VHL65" s="609"/>
      <c r="VHM65" s="609"/>
      <c r="VHN65" s="609"/>
      <c r="VHO65" s="609"/>
      <c r="VHP65" s="609"/>
      <c r="VHQ65" s="609"/>
      <c r="VHR65" s="609"/>
      <c r="VHS65" s="609"/>
      <c r="VHT65" s="609"/>
      <c r="VHU65" s="609"/>
      <c r="VHV65" s="609"/>
      <c r="VHW65" s="609"/>
      <c r="VHX65" s="609"/>
      <c r="VHY65" s="609"/>
      <c r="VHZ65" s="609"/>
      <c r="VIA65" s="609"/>
      <c r="VIB65" s="609"/>
      <c r="VIC65" s="609"/>
      <c r="VID65" s="609"/>
      <c r="VIE65" s="609"/>
      <c r="VIF65" s="609"/>
      <c r="VIG65" s="609"/>
      <c r="VIH65" s="609"/>
      <c r="VII65" s="609"/>
      <c r="VIJ65" s="609"/>
      <c r="VIK65" s="609"/>
      <c r="VIL65" s="609"/>
      <c r="VIM65" s="609"/>
      <c r="VIN65" s="609"/>
      <c r="VIO65" s="609"/>
      <c r="VIP65" s="609"/>
      <c r="VIQ65" s="609"/>
      <c r="VIR65" s="609"/>
      <c r="VIS65" s="609"/>
      <c r="VIT65" s="609"/>
      <c r="VIU65" s="609"/>
      <c r="VIV65" s="609"/>
      <c r="VIW65" s="609"/>
      <c r="VIX65" s="609"/>
      <c r="VIY65" s="609"/>
      <c r="VIZ65" s="609"/>
      <c r="VJA65" s="609"/>
      <c r="VJB65" s="609"/>
      <c r="VJC65" s="609"/>
      <c r="VJD65" s="609"/>
      <c r="VJE65" s="609"/>
      <c r="VJF65" s="609"/>
      <c r="VJG65" s="609"/>
      <c r="VJH65" s="609"/>
      <c r="VJI65" s="609"/>
      <c r="VJJ65" s="609"/>
      <c r="VJK65" s="609"/>
      <c r="VJL65" s="609"/>
      <c r="VJM65" s="609"/>
      <c r="VJN65" s="609"/>
      <c r="VJO65" s="609"/>
      <c r="VJP65" s="609"/>
      <c r="VJQ65" s="609"/>
      <c r="VJR65" s="609"/>
      <c r="VJS65" s="609"/>
      <c r="VJT65" s="609"/>
      <c r="VJU65" s="609"/>
      <c r="VJV65" s="609"/>
      <c r="VJW65" s="609"/>
      <c r="VJX65" s="609"/>
      <c r="VJY65" s="609"/>
      <c r="VJZ65" s="609"/>
      <c r="VKA65" s="609"/>
      <c r="VKB65" s="609"/>
      <c r="VKC65" s="609"/>
      <c r="VKD65" s="609"/>
      <c r="VKE65" s="609"/>
      <c r="VKF65" s="609"/>
      <c r="VKG65" s="609"/>
      <c r="VKH65" s="609"/>
      <c r="VKI65" s="609"/>
      <c r="VKJ65" s="609"/>
      <c r="VKK65" s="609"/>
      <c r="VKL65" s="609"/>
      <c r="VKM65" s="609"/>
      <c r="VKN65" s="609"/>
      <c r="VKO65" s="609"/>
      <c r="VKP65" s="609"/>
      <c r="VKQ65" s="609"/>
      <c r="VKR65" s="609"/>
      <c r="VKS65" s="609"/>
      <c r="VKT65" s="609"/>
      <c r="VKU65" s="609"/>
      <c r="VKV65" s="609"/>
      <c r="VKW65" s="609"/>
      <c r="VKX65" s="609"/>
      <c r="VKY65" s="609"/>
      <c r="VKZ65" s="609"/>
      <c r="VLA65" s="609"/>
      <c r="VLB65" s="609"/>
      <c r="VLC65" s="609"/>
      <c r="VLD65" s="609"/>
      <c r="VLE65" s="609"/>
      <c r="VLF65" s="609"/>
      <c r="VLG65" s="609"/>
      <c r="VLH65" s="609"/>
      <c r="VLI65" s="609"/>
      <c r="VLJ65" s="609"/>
      <c r="VLK65" s="609"/>
      <c r="VLL65" s="609"/>
      <c r="VLM65" s="609"/>
      <c r="VLN65" s="609"/>
      <c r="VLO65" s="609"/>
      <c r="VLP65" s="609"/>
      <c r="VLQ65" s="609"/>
      <c r="VLR65" s="609"/>
      <c r="VLS65" s="609"/>
      <c r="VLT65" s="609"/>
      <c r="VLU65" s="609"/>
      <c r="VLV65" s="609"/>
      <c r="VLW65" s="609"/>
      <c r="VLX65" s="609"/>
      <c r="VLY65" s="609"/>
      <c r="VLZ65" s="609"/>
      <c r="VMA65" s="609"/>
      <c r="VMB65" s="609"/>
      <c r="VMC65" s="609"/>
      <c r="VMD65" s="609"/>
      <c r="VME65" s="609"/>
      <c r="VMF65" s="609"/>
      <c r="VMG65" s="609"/>
      <c r="VMH65" s="609"/>
      <c r="VMI65" s="609"/>
      <c r="VMJ65" s="609"/>
      <c r="VMK65" s="609"/>
      <c r="VML65" s="609"/>
      <c r="VMM65" s="609"/>
      <c r="VMN65" s="609"/>
      <c r="VMO65" s="609"/>
      <c r="VMP65" s="609"/>
      <c r="VMQ65" s="609"/>
      <c r="VMR65" s="609"/>
      <c r="VMS65" s="609"/>
      <c r="VMT65" s="609"/>
      <c r="VMU65" s="609"/>
      <c r="VMV65" s="609"/>
      <c r="VMW65" s="609"/>
      <c r="VMX65" s="609"/>
      <c r="VMY65" s="609"/>
      <c r="VMZ65" s="609"/>
      <c r="VNA65" s="609"/>
      <c r="VNB65" s="609"/>
      <c r="VNC65" s="609"/>
      <c r="VND65" s="609"/>
      <c r="VNE65" s="609"/>
      <c r="VNF65" s="609"/>
      <c r="VNG65" s="609"/>
      <c r="VNH65" s="609"/>
      <c r="VNI65" s="609"/>
      <c r="VNJ65" s="609"/>
      <c r="VNK65" s="609"/>
      <c r="VNL65" s="609"/>
      <c r="VNM65" s="609"/>
      <c r="VNN65" s="609"/>
      <c r="VNO65" s="609"/>
      <c r="VNP65" s="609"/>
      <c r="VNQ65" s="609"/>
      <c r="VNR65" s="609"/>
      <c r="VNS65" s="609"/>
      <c r="VNT65" s="609"/>
      <c r="VNU65" s="609"/>
      <c r="VNV65" s="609"/>
      <c r="VNW65" s="609"/>
      <c r="VNX65" s="609"/>
      <c r="VNY65" s="609"/>
      <c r="VNZ65" s="609"/>
      <c r="VOA65" s="609"/>
      <c r="VOB65" s="609"/>
      <c r="VOC65" s="609"/>
      <c r="VOD65" s="609"/>
      <c r="VOE65" s="609"/>
      <c r="VOF65" s="609"/>
      <c r="VOG65" s="609"/>
      <c r="VOH65" s="609"/>
      <c r="VOI65" s="609"/>
      <c r="VOJ65" s="609"/>
      <c r="VOK65" s="609"/>
      <c r="VOL65" s="609"/>
      <c r="VOM65" s="609"/>
      <c r="VON65" s="609"/>
      <c r="VOO65" s="609"/>
      <c r="VOP65" s="609"/>
      <c r="VOQ65" s="609"/>
      <c r="VOR65" s="609"/>
      <c r="VOS65" s="609"/>
      <c r="VOT65" s="609"/>
      <c r="VOU65" s="609"/>
      <c r="VOV65" s="609"/>
      <c r="VOW65" s="609"/>
      <c r="VOX65" s="609"/>
      <c r="VOY65" s="609"/>
      <c r="VOZ65" s="609"/>
      <c r="VPA65" s="609"/>
      <c r="VPB65" s="609"/>
      <c r="VPC65" s="609"/>
      <c r="VPD65" s="609"/>
      <c r="VPE65" s="609"/>
      <c r="VPF65" s="609"/>
      <c r="VPG65" s="609"/>
      <c r="VPH65" s="609"/>
      <c r="VPI65" s="609"/>
      <c r="VPJ65" s="609"/>
      <c r="VPK65" s="609"/>
      <c r="VPL65" s="609"/>
      <c r="VPM65" s="609"/>
      <c r="VPN65" s="609"/>
      <c r="VPO65" s="609"/>
      <c r="VPP65" s="609"/>
      <c r="VPQ65" s="609"/>
      <c r="VPR65" s="609"/>
      <c r="VPS65" s="609"/>
      <c r="VPT65" s="609"/>
      <c r="VPU65" s="609"/>
      <c r="VPV65" s="609"/>
      <c r="VPW65" s="609"/>
      <c r="VPX65" s="609"/>
      <c r="VPY65" s="609"/>
      <c r="VPZ65" s="609"/>
      <c r="VQA65" s="609"/>
      <c r="VQB65" s="609"/>
      <c r="VQC65" s="609"/>
      <c r="VQD65" s="609"/>
      <c r="VQE65" s="609"/>
      <c r="VQF65" s="609"/>
      <c r="VQG65" s="609"/>
      <c r="VQH65" s="609"/>
      <c r="VQI65" s="609"/>
      <c r="VQJ65" s="609"/>
      <c r="VQK65" s="609"/>
      <c r="VQL65" s="609"/>
      <c r="VQM65" s="609"/>
      <c r="VQN65" s="609"/>
      <c r="VQO65" s="609"/>
      <c r="VQP65" s="609"/>
      <c r="VQQ65" s="609"/>
      <c r="VQR65" s="609"/>
      <c r="VQS65" s="609"/>
      <c r="VQT65" s="609"/>
      <c r="VQU65" s="609"/>
      <c r="VQV65" s="609"/>
      <c r="VQW65" s="609"/>
      <c r="VQX65" s="609"/>
      <c r="VQY65" s="609"/>
      <c r="VQZ65" s="609"/>
      <c r="VRA65" s="609"/>
      <c r="VRB65" s="609"/>
      <c r="VRC65" s="609"/>
      <c r="VRD65" s="609"/>
      <c r="VRE65" s="609"/>
      <c r="VRF65" s="609"/>
      <c r="VRG65" s="609"/>
      <c r="VRH65" s="609"/>
      <c r="VRI65" s="609"/>
      <c r="VRJ65" s="609"/>
      <c r="VRK65" s="609"/>
      <c r="VRL65" s="609"/>
      <c r="VRM65" s="609"/>
      <c r="VRN65" s="609"/>
      <c r="VRO65" s="609"/>
      <c r="VRP65" s="609"/>
      <c r="VRQ65" s="609"/>
      <c r="VRR65" s="609"/>
      <c r="VRS65" s="609"/>
      <c r="VRT65" s="609"/>
      <c r="VRU65" s="609"/>
      <c r="VRV65" s="609"/>
      <c r="VRW65" s="609"/>
      <c r="VRX65" s="609"/>
      <c r="VRY65" s="609"/>
      <c r="VRZ65" s="609"/>
      <c r="VSA65" s="609"/>
      <c r="VSB65" s="609"/>
      <c r="VSC65" s="609"/>
      <c r="VSD65" s="609"/>
      <c r="VSE65" s="609"/>
      <c r="VSF65" s="609"/>
      <c r="VSG65" s="609"/>
      <c r="VSH65" s="609"/>
      <c r="VSI65" s="609"/>
      <c r="VSJ65" s="609"/>
      <c r="VSK65" s="609"/>
      <c r="VSL65" s="609"/>
      <c r="VSM65" s="609"/>
      <c r="VSN65" s="609"/>
      <c r="VSO65" s="609"/>
      <c r="VSP65" s="609"/>
      <c r="VSQ65" s="609"/>
      <c r="VSR65" s="609"/>
      <c r="VSS65" s="609"/>
      <c r="VST65" s="609"/>
      <c r="VSU65" s="609"/>
      <c r="VSV65" s="609"/>
      <c r="VSW65" s="609"/>
      <c r="VSX65" s="609"/>
      <c r="VSY65" s="609"/>
      <c r="VSZ65" s="609"/>
      <c r="VTA65" s="609"/>
      <c r="VTB65" s="609"/>
      <c r="VTC65" s="609"/>
      <c r="VTD65" s="609"/>
      <c r="VTE65" s="609"/>
      <c r="VTF65" s="609"/>
      <c r="VTG65" s="609"/>
      <c r="VTH65" s="609"/>
      <c r="VTI65" s="609"/>
      <c r="VTJ65" s="609"/>
      <c r="VTK65" s="609"/>
      <c r="VTL65" s="609"/>
      <c r="VTM65" s="609"/>
      <c r="VTN65" s="609"/>
      <c r="VTO65" s="609"/>
      <c r="VTP65" s="609"/>
      <c r="VTQ65" s="609"/>
      <c r="VTR65" s="609"/>
      <c r="VTS65" s="609"/>
      <c r="VTT65" s="609"/>
      <c r="VTU65" s="609"/>
      <c r="VTV65" s="609"/>
      <c r="VTW65" s="609"/>
      <c r="VTX65" s="609"/>
      <c r="VTY65" s="609"/>
      <c r="VTZ65" s="609"/>
      <c r="VUA65" s="609"/>
      <c r="VUB65" s="609"/>
      <c r="VUC65" s="609"/>
      <c r="VUD65" s="609"/>
      <c r="VUE65" s="609"/>
      <c r="VUF65" s="609"/>
      <c r="VUG65" s="609"/>
      <c r="VUH65" s="609"/>
      <c r="VUI65" s="609"/>
      <c r="VUJ65" s="609"/>
      <c r="VUK65" s="609"/>
      <c r="VUL65" s="609"/>
      <c r="VUM65" s="609"/>
      <c r="VUN65" s="609"/>
      <c r="VUO65" s="609"/>
      <c r="VUP65" s="609"/>
      <c r="VUQ65" s="609"/>
      <c r="VUR65" s="609"/>
      <c r="VUS65" s="609"/>
      <c r="VUT65" s="609"/>
      <c r="VUU65" s="609"/>
      <c r="VUV65" s="609"/>
      <c r="VUW65" s="609"/>
      <c r="VUX65" s="609"/>
      <c r="VUY65" s="609"/>
      <c r="VUZ65" s="609"/>
      <c r="VVA65" s="609"/>
      <c r="VVB65" s="609"/>
      <c r="VVC65" s="609"/>
      <c r="VVD65" s="609"/>
      <c r="VVE65" s="609"/>
      <c r="VVF65" s="609"/>
      <c r="VVG65" s="609"/>
      <c r="VVH65" s="609"/>
      <c r="VVI65" s="609"/>
      <c r="VVJ65" s="609"/>
      <c r="VVK65" s="609"/>
      <c r="VVL65" s="609"/>
      <c r="VVM65" s="609"/>
      <c r="VVN65" s="609"/>
      <c r="VVO65" s="609"/>
      <c r="VVP65" s="609"/>
      <c r="VVQ65" s="609"/>
      <c r="VVR65" s="609"/>
      <c r="VVS65" s="609"/>
      <c r="VVT65" s="609"/>
      <c r="VVU65" s="609"/>
      <c r="VVV65" s="609"/>
      <c r="VVW65" s="609"/>
      <c r="VVX65" s="609"/>
      <c r="VVY65" s="609"/>
      <c r="VVZ65" s="609"/>
      <c r="VWA65" s="609"/>
      <c r="VWB65" s="609"/>
      <c r="VWC65" s="609"/>
      <c r="VWD65" s="609"/>
      <c r="VWE65" s="609"/>
      <c r="VWF65" s="609"/>
      <c r="VWG65" s="609"/>
      <c r="VWH65" s="609"/>
      <c r="VWI65" s="609"/>
      <c r="VWJ65" s="609"/>
      <c r="VWK65" s="609"/>
      <c r="VWL65" s="609"/>
      <c r="VWM65" s="609"/>
      <c r="VWN65" s="609"/>
      <c r="VWO65" s="609"/>
      <c r="VWP65" s="609"/>
      <c r="VWQ65" s="609"/>
      <c r="VWR65" s="609"/>
      <c r="VWS65" s="609"/>
      <c r="VWT65" s="609"/>
      <c r="VWU65" s="609"/>
      <c r="VWV65" s="609"/>
      <c r="VWW65" s="609"/>
      <c r="VWX65" s="609"/>
      <c r="VWY65" s="609"/>
      <c r="VWZ65" s="609"/>
      <c r="VXA65" s="609"/>
      <c r="VXB65" s="609"/>
      <c r="VXC65" s="609"/>
      <c r="VXD65" s="609"/>
      <c r="VXE65" s="609"/>
      <c r="VXF65" s="609"/>
      <c r="VXG65" s="609"/>
      <c r="VXH65" s="609"/>
      <c r="VXI65" s="609"/>
      <c r="VXJ65" s="609"/>
      <c r="VXK65" s="609"/>
      <c r="VXL65" s="609"/>
      <c r="VXM65" s="609"/>
      <c r="VXN65" s="609"/>
      <c r="VXO65" s="609"/>
      <c r="VXP65" s="609"/>
      <c r="VXQ65" s="609"/>
      <c r="VXR65" s="609"/>
      <c r="VXS65" s="609"/>
      <c r="VXT65" s="609"/>
      <c r="VXU65" s="609"/>
      <c r="VXV65" s="609"/>
      <c r="VXW65" s="609"/>
      <c r="VXX65" s="609"/>
      <c r="VXY65" s="609"/>
      <c r="VXZ65" s="609"/>
      <c r="VYA65" s="609"/>
      <c r="VYB65" s="609"/>
      <c r="VYC65" s="609"/>
      <c r="VYD65" s="609"/>
      <c r="VYE65" s="609"/>
      <c r="VYF65" s="609"/>
      <c r="VYG65" s="609"/>
      <c r="VYH65" s="609"/>
      <c r="VYI65" s="609"/>
      <c r="VYJ65" s="609"/>
      <c r="VYK65" s="609"/>
      <c r="VYL65" s="609"/>
      <c r="VYM65" s="609"/>
      <c r="VYN65" s="609"/>
      <c r="VYO65" s="609"/>
      <c r="VYP65" s="609"/>
      <c r="VYQ65" s="609"/>
      <c r="VYR65" s="609"/>
      <c r="VYS65" s="609"/>
      <c r="VYT65" s="609"/>
      <c r="VYU65" s="609"/>
      <c r="VYV65" s="609"/>
      <c r="VYW65" s="609"/>
      <c r="VYX65" s="609"/>
      <c r="VYY65" s="609"/>
      <c r="VYZ65" s="609"/>
      <c r="VZA65" s="609"/>
      <c r="VZB65" s="609"/>
      <c r="VZC65" s="609"/>
      <c r="VZD65" s="609"/>
      <c r="VZE65" s="609"/>
      <c r="VZF65" s="609"/>
      <c r="VZG65" s="609"/>
      <c r="VZH65" s="609"/>
      <c r="VZI65" s="609"/>
      <c r="VZJ65" s="609"/>
      <c r="VZK65" s="609"/>
      <c r="VZL65" s="609"/>
      <c r="VZM65" s="609"/>
      <c r="VZN65" s="609"/>
      <c r="VZO65" s="609"/>
      <c r="VZP65" s="609"/>
      <c r="VZQ65" s="609"/>
      <c r="VZR65" s="609"/>
      <c r="VZS65" s="609"/>
      <c r="VZT65" s="609"/>
      <c r="VZU65" s="609"/>
      <c r="VZV65" s="609"/>
      <c r="VZW65" s="609"/>
      <c r="VZX65" s="609"/>
      <c r="VZY65" s="609"/>
      <c r="VZZ65" s="609"/>
      <c r="WAA65" s="609"/>
      <c r="WAB65" s="609"/>
      <c r="WAC65" s="609"/>
      <c r="WAD65" s="609"/>
      <c r="WAE65" s="609"/>
      <c r="WAF65" s="609"/>
      <c r="WAG65" s="609"/>
      <c r="WAH65" s="609"/>
      <c r="WAI65" s="609"/>
      <c r="WAJ65" s="609"/>
      <c r="WAK65" s="609"/>
      <c r="WAL65" s="609"/>
      <c r="WAM65" s="609"/>
      <c r="WAN65" s="609"/>
      <c r="WAO65" s="609"/>
      <c r="WAP65" s="609"/>
      <c r="WAQ65" s="609"/>
      <c r="WAR65" s="609"/>
      <c r="WAS65" s="609"/>
      <c r="WAT65" s="609"/>
      <c r="WAU65" s="609"/>
      <c r="WAV65" s="609"/>
      <c r="WAW65" s="609"/>
      <c r="WAX65" s="609"/>
      <c r="WAY65" s="609"/>
      <c r="WAZ65" s="609"/>
      <c r="WBA65" s="609"/>
      <c r="WBB65" s="609"/>
      <c r="WBC65" s="609"/>
      <c r="WBD65" s="609"/>
      <c r="WBE65" s="609"/>
      <c r="WBF65" s="609"/>
      <c r="WBG65" s="609"/>
      <c r="WBH65" s="609"/>
      <c r="WBI65" s="609"/>
      <c r="WBJ65" s="609"/>
      <c r="WBK65" s="609"/>
      <c r="WBL65" s="609"/>
      <c r="WBM65" s="609"/>
      <c r="WBN65" s="609"/>
      <c r="WBO65" s="609"/>
      <c r="WBP65" s="609"/>
      <c r="WBQ65" s="609"/>
      <c r="WBR65" s="609"/>
      <c r="WBS65" s="609"/>
      <c r="WBT65" s="609"/>
      <c r="WBU65" s="609"/>
      <c r="WBV65" s="609"/>
      <c r="WBW65" s="609"/>
      <c r="WBX65" s="609"/>
      <c r="WBY65" s="609"/>
      <c r="WBZ65" s="609"/>
      <c r="WCA65" s="609"/>
      <c r="WCB65" s="609"/>
      <c r="WCC65" s="609"/>
      <c r="WCD65" s="609"/>
      <c r="WCE65" s="609"/>
      <c r="WCF65" s="609"/>
      <c r="WCG65" s="609"/>
      <c r="WCH65" s="609"/>
      <c r="WCI65" s="609"/>
      <c r="WCJ65" s="609"/>
      <c r="WCK65" s="609"/>
      <c r="WCL65" s="609"/>
      <c r="WCM65" s="609"/>
      <c r="WCN65" s="609"/>
      <c r="WCO65" s="609"/>
      <c r="WCP65" s="609"/>
      <c r="WCQ65" s="609"/>
      <c r="WCR65" s="609"/>
      <c r="WCS65" s="609"/>
      <c r="WCT65" s="609"/>
      <c r="WCU65" s="609"/>
      <c r="WCV65" s="609"/>
      <c r="WCW65" s="609"/>
      <c r="WCX65" s="609"/>
      <c r="WCY65" s="609"/>
      <c r="WCZ65" s="609"/>
      <c r="WDA65" s="609"/>
      <c r="WDB65" s="609"/>
      <c r="WDC65" s="609"/>
      <c r="WDD65" s="609"/>
      <c r="WDE65" s="609"/>
      <c r="WDF65" s="609"/>
      <c r="WDG65" s="609"/>
      <c r="WDH65" s="609"/>
      <c r="WDI65" s="609"/>
      <c r="WDJ65" s="609"/>
      <c r="WDK65" s="609"/>
      <c r="WDL65" s="609"/>
      <c r="WDM65" s="609"/>
      <c r="WDN65" s="609"/>
      <c r="WDO65" s="609"/>
      <c r="WDP65" s="609"/>
      <c r="WDQ65" s="609"/>
      <c r="WDR65" s="609"/>
      <c r="WDS65" s="609"/>
      <c r="WDT65" s="609"/>
      <c r="WDU65" s="609"/>
      <c r="WDV65" s="609"/>
      <c r="WDW65" s="609"/>
      <c r="WDX65" s="609"/>
      <c r="WDY65" s="609"/>
      <c r="WDZ65" s="609"/>
      <c r="WEA65" s="609"/>
      <c r="WEB65" s="609"/>
      <c r="WEC65" s="609"/>
      <c r="WED65" s="609"/>
      <c r="WEE65" s="609"/>
      <c r="WEF65" s="609"/>
      <c r="WEG65" s="609"/>
      <c r="WEH65" s="609"/>
      <c r="WEI65" s="609"/>
      <c r="WEJ65" s="609"/>
      <c r="WEK65" s="609"/>
      <c r="WEL65" s="609"/>
      <c r="WEM65" s="609"/>
      <c r="WEN65" s="609"/>
      <c r="WEO65" s="609"/>
      <c r="WEP65" s="609"/>
      <c r="WEQ65" s="609"/>
      <c r="WER65" s="609"/>
      <c r="WES65" s="609"/>
      <c r="WET65" s="609"/>
      <c r="WEU65" s="609"/>
      <c r="WEV65" s="609"/>
      <c r="WEW65" s="609"/>
      <c r="WEX65" s="609"/>
      <c r="WEY65" s="609"/>
      <c r="WEZ65" s="609"/>
      <c r="WFA65" s="609"/>
      <c r="WFB65" s="609"/>
      <c r="WFC65" s="609"/>
      <c r="WFD65" s="609"/>
      <c r="WFE65" s="609"/>
      <c r="WFF65" s="609"/>
      <c r="WFG65" s="609"/>
      <c r="WFH65" s="609"/>
      <c r="WFI65" s="609"/>
      <c r="WFJ65" s="609"/>
      <c r="WFK65" s="609"/>
      <c r="WFL65" s="609"/>
      <c r="WFM65" s="609"/>
      <c r="WFN65" s="609"/>
      <c r="WFO65" s="609"/>
      <c r="WFP65" s="609"/>
      <c r="WFQ65" s="609"/>
      <c r="WFR65" s="609"/>
      <c r="WFS65" s="609"/>
      <c r="WFT65" s="609"/>
      <c r="WFU65" s="609"/>
      <c r="WFV65" s="609"/>
      <c r="WFW65" s="609"/>
      <c r="WFX65" s="609"/>
      <c r="WFY65" s="609"/>
      <c r="WFZ65" s="609"/>
      <c r="WGA65" s="609"/>
      <c r="WGB65" s="609"/>
      <c r="WGC65" s="609"/>
      <c r="WGD65" s="609"/>
      <c r="WGE65" s="609"/>
      <c r="WGF65" s="609"/>
      <c r="WGG65" s="609"/>
      <c r="WGH65" s="609"/>
      <c r="WGI65" s="609"/>
      <c r="WGJ65" s="609"/>
      <c r="WGK65" s="609"/>
      <c r="WGL65" s="609"/>
      <c r="WGM65" s="609"/>
      <c r="WGN65" s="609"/>
      <c r="WGO65" s="609"/>
      <c r="WGP65" s="609"/>
      <c r="WGQ65" s="609"/>
      <c r="WGR65" s="609"/>
      <c r="WGS65" s="609"/>
      <c r="WGT65" s="609"/>
      <c r="WGU65" s="609"/>
      <c r="WGV65" s="609"/>
      <c r="WGW65" s="609"/>
      <c r="WGX65" s="609"/>
      <c r="WGY65" s="609"/>
      <c r="WGZ65" s="609"/>
      <c r="WHA65" s="609"/>
      <c r="WHB65" s="609"/>
      <c r="WHC65" s="609"/>
      <c r="WHD65" s="609"/>
      <c r="WHE65" s="609"/>
      <c r="WHF65" s="609"/>
      <c r="WHG65" s="609"/>
      <c r="WHH65" s="609"/>
      <c r="WHI65" s="609"/>
      <c r="WHJ65" s="609"/>
      <c r="WHK65" s="609"/>
      <c r="WHL65" s="609"/>
      <c r="WHM65" s="609"/>
      <c r="WHN65" s="609"/>
      <c r="WHO65" s="609"/>
      <c r="WHP65" s="609"/>
      <c r="WHQ65" s="609"/>
      <c r="WHR65" s="609"/>
      <c r="WHS65" s="609"/>
      <c r="WHT65" s="609"/>
      <c r="WHU65" s="609"/>
      <c r="WHV65" s="609"/>
      <c r="WHW65" s="609"/>
      <c r="WHX65" s="609"/>
      <c r="WHY65" s="609"/>
      <c r="WHZ65" s="609"/>
      <c r="WIA65" s="609"/>
      <c r="WIB65" s="609"/>
      <c r="WIC65" s="609"/>
      <c r="WID65" s="609"/>
      <c r="WIE65" s="609"/>
      <c r="WIF65" s="609"/>
      <c r="WIG65" s="609"/>
      <c r="WIH65" s="609"/>
      <c r="WII65" s="609"/>
      <c r="WIJ65" s="609"/>
      <c r="WIK65" s="609"/>
      <c r="WIL65" s="609"/>
      <c r="WIM65" s="609"/>
      <c r="WIN65" s="609"/>
      <c r="WIO65" s="609"/>
      <c r="WIP65" s="609"/>
      <c r="WIQ65" s="609"/>
      <c r="WIR65" s="609"/>
      <c r="WIS65" s="609"/>
      <c r="WIT65" s="609"/>
      <c r="WIU65" s="609"/>
      <c r="WIV65" s="609"/>
      <c r="WIW65" s="609"/>
      <c r="WIX65" s="609"/>
      <c r="WIY65" s="609"/>
      <c r="WIZ65" s="609"/>
      <c r="WJA65" s="609"/>
      <c r="WJB65" s="609"/>
      <c r="WJC65" s="609"/>
      <c r="WJD65" s="609"/>
      <c r="WJE65" s="609"/>
      <c r="WJF65" s="609"/>
      <c r="WJG65" s="609"/>
      <c r="WJH65" s="609"/>
      <c r="WJI65" s="609"/>
      <c r="WJJ65" s="609"/>
      <c r="WJK65" s="609"/>
      <c r="WJL65" s="609"/>
      <c r="WJM65" s="609"/>
      <c r="WJN65" s="609"/>
      <c r="WJO65" s="609"/>
      <c r="WJP65" s="609"/>
      <c r="WJQ65" s="609"/>
      <c r="WJR65" s="609"/>
      <c r="WJS65" s="609"/>
      <c r="WJT65" s="609"/>
      <c r="WJU65" s="609"/>
      <c r="WJV65" s="609"/>
      <c r="WJW65" s="609"/>
      <c r="WJX65" s="609"/>
      <c r="WJY65" s="609"/>
      <c r="WJZ65" s="609"/>
      <c r="WKA65" s="609"/>
      <c r="WKB65" s="609"/>
      <c r="WKC65" s="609"/>
      <c r="WKD65" s="609"/>
      <c r="WKE65" s="609"/>
      <c r="WKF65" s="609"/>
      <c r="WKG65" s="609"/>
      <c r="WKH65" s="609"/>
      <c r="WKI65" s="609"/>
      <c r="WKJ65" s="609"/>
      <c r="WKK65" s="609"/>
      <c r="WKL65" s="609"/>
      <c r="WKM65" s="609"/>
      <c r="WKN65" s="609"/>
      <c r="WKO65" s="609"/>
      <c r="WKP65" s="609"/>
      <c r="WKQ65" s="609"/>
      <c r="WKR65" s="609"/>
      <c r="WKS65" s="609"/>
      <c r="WKT65" s="609"/>
      <c r="WKU65" s="609"/>
      <c r="WKV65" s="609"/>
      <c r="WKW65" s="609"/>
      <c r="WKX65" s="609"/>
      <c r="WKY65" s="609"/>
      <c r="WKZ65" s="609"/>
      <c r="WLA65" s="609"/>
      <c r="WLB65" s="609"/>
      <c r="WLC65" s="609"/>
      <c r="WLD65" s="609"/>
      <c r="WLE65" s="609"/>
      <c r="WLF65" s="609"/>
      <c r="WLG65" s="609"/>
      <c r="WLH65" s="609"/>
      <c r="WLI65" s="609"/>
      <c r="WLJ65" s="609"/>
      <c r="WLK65" s="609"/>
      <c r="WLL65" s="609"/>
      <c r="WLM65" s="609"/>
      <c r="WLN65" s="609"/>
      <c r="WLO65" s="609"/>
      <c r="WLP65" s="609"/>
      <c r="WLQ65" s="609"/>
      <c r="WLR65" s="609"/>
      <c r="WLS65" s="609"/>
      <c r="WLT65" s="609"/>
      <c r="WLU65" s="609"/>
      <c r="WLV65" s="609"/>
      <c r="WLW65" s="609"/>
      <c r="WLX65" s="609"/>
      <c r="WLY65" s="609"/>
      <c r="WLZ65" s="609"/>
      <c r="WMA65" s="609"/>
      <c r="WMB65" s="609"/>
      <c r="WMC65" s="609"/>
      <c r="WMD65" s="609"/>
      <c r="WME65" s="609"/>
      <c r="WMF65" s="609"/>
      <c r="WMG65" s="609"/>
      <c r="WMH65" s="609"/>
      <c r="WMI65" s="609"/>
      <c r="WMJ65" s="609"/>
      <c r="WMK65" s="609"/>
      <c r="WML65" s="609"/>
      <c r="WMM65" s="609"/>
      <c r="WMN65" s="609"/>
      <c r="WMO65" s="609"/>
      <c r="WMP65" s="609"/>
      <c r="WMQ65" s="609"/>
      <c r="WMR65" s="609"/>
      <c r="WMS65" s="609"/>
      <c r="WMT65" s="609"/>
      <c r="WMU65" s="609"/>
      <c r="WMV65" s="609"/>
      <c r="WMW65" s="609"/>
      <c r="WMX65" s="609"/>
      <c r="WMY65" s="609"/>
      <c r="WMZ65" s="609"/>
      <c r="WNA65" s="609"/>
      <c r="WNB65" s="609"/>
      <c r="WNC65" s="609"/>
      <c r="WND65" s="609"/>
      <c r="WNE65" s="609"/>
      <c r="WNF65" s="609"/>
      <c r="WNG65" s="609"/>
      <c r="WNH65" s="609"/>
      <c r="WNI65" s="609"/>
      <c r="WNJ65" s="609"/>
      <c r="WNK65" s="609"/>
      <c r="WNL65" s="609"/>
      <c r="WNM65" s="609"/>
      <c r="WNN65" s="609"/>
      <c r="WNO65" s="609"/>
      <c r="WNP65" s="609"/>
      <c r="WNQ65" s="609"/>
      <c r="WNR65" s="609"/>
      <c r="WNS65" s="609"/>
      <c r="WNT65" s="609"/>
      <c r="WNU65" s="609"/>
      <c r="WNV65" s="609"/>
      <c r="WNW65" s="609"/>
      <c r="WNX65" s="609"/>
      <c r="WNY65" s="609"/>
      <c r="WNZ65" s="609"/>
      <c r="WOA65" s="609"/>
      <c r="WOB65" s="609"/>
      <c r="WOC65" s="609"/>
      <c r="WOD65" s="609"/>
      <c r="WOE65" s="609"/>
      <c r="WOF65" s="609"/>
      <c r="WOG65" s="609"/>
      <c r="WOH65" s="609"/>
      <c r="WOI65" s="609"/>
      <c r="WOJ65" s="609"/>
      <c r="WOK65" s="609"/>
      <c r="WOL65" s="609"/>
      <c r="WOM65" s="609"/>
      <c r="WON65" s="609"/>
      <c r="WOO65" s="609"/>
      <c r="WOP65" s="609"/>
      <c r="WOQ65" s="609"/>
      <c r="WOR65" s="609"/>
      <c r="WOS65" s="609"/>
      <c r="WOT65" s="609"/>
      <c r="WOU65" s="609"/>
      <c r="WOV65" s="609"/>
      <c r="WOW65" s="609"/>
      <c r="WOX65" s="609"/>
      <c r="WOY65" s="609"/>
      <c r="WOZ65" s="609"/>
      <c r="WPA65" s="609"/>
      <c r="WPB65" s="609"/>
      <c r="WPC65" s="609"/>
      <c r="WPD65" s="609"/>
      <c r="WPE65" s="609"/>
      <c r="WPF65" s="609"/>
      <c r="WPG65" s="609"/>
      <c r="WPH65" s="609"/>
      <c r="WPI65" s="609"/>
      <c r="WPJ65" s="609"/>
      <c r="WPK65" s="609"/>
      <c r="WPL65" s="609"/>
      <c r="WPM65" s="609"/>
      <c r="WPN65" s="609"/>
      <c r="WPO65" s="609"/>
      <c r="WPP65" s="609"/>
      <c r="WPQ65" s="609"/>
      <c r="WPR65" s="609"/>
      <c r="WPS65" s="609"/>
      <c r="WPT65" s="609"/>
      <c r="WPU65" s="609"/>
      <c r="WPV65" s="609"/>
      <c r="WPW65" s="609"/>
      <c r="WPX65" s="609"/>
      <c r="WPY65" s="609"/>
      <c r="WPZ65" s="609"/>
      <c r="WQA65" s="609"/>
      <c r="WQB65" s="609"/>
      <c r="WQC65" s="609"/>
      <c r="WQD65" s="609"/>
      <c r="WQE65" s="609"/>
      <c r="WQF65" s="609"/>
      <c r="WQG65" s="609"/>
      <c r="WQH65" s="609"/>
      <c r="WQI65" s="609"/>
      <c r="WQJ65" s="609"/>
      <c r="WQK65" s="609"/>
      <c r="WQL65" s="609"/>
      <c r="WQM65" s="609"/>
      <c r="WQN65" s="609"/>
      <c r="WQO65" s="609"/>
      <c r="WQP65" s="609"/>
      <c r="WQQ65" s="609"/>
      <c r="WQR65" s="609"/>
      <c r="WQS65" s="609"/>
      <c r="WQT65" s="609"/>
      <c r="WQU65" s="609"/>
      <c r="WQV65" s="609"/>
      <c r="WQW65" s="609"/>
      <c r="WQX65" s="609"/>
      <c r="WQY65" s="609"/>
      <c r="WQZ65" s="609"/>
      <c r="WRA65" s="609"/>
      <c r="WRB65" s="609"/>
      <c r="WRC65" s="609"/>
      <c r="WRD65" s="609"/>
      <c r="WRE65" s="609"/>
      <c r="WRF65" s="609"/>
      <c r="WRG65" s="609"/>
      <c r="WRH65" s="609"/>
      <c r="WRI65" s="609"/>
      <c r="WRJ65" s="609"/>
      <c r="WRK65" s="609"/>
      <c r="WRL65" s="609"/>
      <c r="WRM65" s="609"/>
      <c r="WRN65" s="609"/>
      <c r="WRO65" s="609"/>
      <c r="WRP65" s="609"/>
      <c r="WRQ65" s="609"/>
      <c r="WRR65" s="609"/>
      <c r="WRS65" s="609"/>
      <c r="WRT65" s="609"/>
      <c r="WRU65" s="609"/>
      <c r="WRV65" s="609"/>
      <c r="WRW65" s="609"/>
      <c r="WRX65" s="609"/>
      <c r="WRY65" s="609"/>
      <c r="WRZ65" s="609"/>
      <c r="WSA65" s="609"/>
      <c r="WSB65" s="609"/>
      <c r="WSC65" s="609"/>
      <c r="WSD65" s="609"/>
      <c r="WSE65" s="609"/>
      <c r="WSF65" s="609"/>
      <c r="WSG65" s="609"/>
      <c r="WSH65" s="609"/>
      <c r="WSI65" s="609"/>
      <c r="WSJ65" s="609"/>
      <c r="WSK65" s="609"/>
      <c r="WSL65" s="609"/>
      <c r="WSM65" s="609"/>
      <c r="WSN65" s="609"/>
      <c r="WSO65" s="609"/>
      <c r="WSP65" s="609"/>
      <c r="WSQ65" s="609"/>
      <c r="WSR65" s="609"/>
      <c r="WSS65" s="609"/>
      <c r="WST65" s="609"/>
      <c r="WSU65" s="609"/>
      <c r="WSV65" s="609"/>
      <c r="WSW65" s="609"/>
      <c r="WSX65" s="609"/>
      <c r="WSY65" s="609"/>
      <c r="WSZ65" s="609"/>
      <c r="WTA65" s="609"/>
      <c r="WTB65" s="609"/>
      <c r="WTC65" s="609"/>
      <c r="WTD65" s="609"/>
      <c r="WTE65" s="609"/>
      <c r="WTF65" s="609"/>
      <c r="WTG65" s="609"/>
      <c r="WTH65" s="609"/>
      <c r="WTI65" s="609"/>
      <c r="WTJ65" s="609"/>
      <c r="WTK65" s="609"/>
      <c r="WTL65" s="609"/>
      <c r="WTM65" s="609"/>
      <c r="WTN65" s="609"/>
      <c r="WTO65" s="609"/>
      <c r="WTP65" s="609"/>
      <c r="WTQ65" s="609"/>
      <c r="WTR65" s="609"/>
      <c r="WTS65" s="609"/>
      <c r="WTT65" s="609"/>
      <c r="WTU65" s="609"/>
      <c r="WTV65" s="609"/>
      <c r="WTW65" s="609"/>
      <c r="WTX65" s="609"/>
      <c r="WTY65" s="609"/>
      <c r="WTZ65" s="609"/>
      <c r="WUA65" s="609"/>
      <c r="WUB65" s="609"/>
      <c r="WUC65" s="609"/>
      <c r="WUD65" s="609"/>
      <c r="WUE65" s="609"/>
      <c r="WUF65" s="609"/>
      <c r="WUG65" s="609"/>
      <c r="WUH65" s="609"/>
      <c r="WUI65" s="609"/>
      <c r="WUJ65" s="609"/>
      <c r="WUK65" s="609"/>
      <c r="WUL65" s="609"/>
      <c r="WUM65" s="609"/>
      <c r="WUN65" s="609"/>
      <c r="WUO65" s="609"/>
      <c r="WUP65" s="609"/>
      <c r="WUQ65" s="609"/>
      <c r="WUR65" s="609"/>
      <c r="WUS65" s="609"/>
      <c r="WUT65" s="609"/>
      <c r="WUU65" s="609"/>
      <c r="WUV65" s="609"/>
      <c r="WUW65" s="609"/>
      <c r="WUX65" s="609"/>
      <c r="WUY65" s="609"/>
      <c r="WUZ65" s="609"/>
      <c r="WVA65" s="609"/>
      <c r="WVB65" s="609"/>
      <c r="WVC65" s="609"/>
      <c r="WVD65" s="609"/>
      <c r="WVE65" s="609"/>
      <c r="WVF65" s="609"/>
      <c r="WVG65" s="609"/>
      <c r="WVH65" s="609"/>
      <c r="WVI65" s="609"/>
      <c r="WVJ65" s="609"/>
      <c r="WVK65" s="609"/>
      <c r="WVL65" s="609"/>
      <c r="WVM65" s="609"/>
      <c r="WVN65" s="609"/>
      <c r="WVO65" s="609"/>
      <c r="WVP65" s="609"/>
      <c r="WVQ65" s="609"/>
      <c r="WVR65" s="609"/>
      <c r="WVS65" s="609"/>
      <c r="WVT65" s="609"/>
      <c r="WVU65" s="609"/>
      <c r="WVV65" s="609"/>
      <c r="WVW65" s="609"/>
      <c r="WVX65" s="609"/>
      <c r="WVY65" s="609"/>
      <c r="WVZ65" s="609"/>
      <c r="WWA65" s="609"/>
      <c r="WWB65" s="609"/>
      <c r="WWC65" s="609"/>
      <c r="WWD65" s="609"/>
      <c r="WWE65" s="609"/>
      <c r="WWF65" s="609"/>
      <c r="WWG65" s="609"/>
      <c r="WWH65" s="609"/>
      <c r="WWI65" s="609"/>
      <c r="WWJ65" s="609"/>
      <c r="WWK65" s="609"/>
      <c r="WWL65" s="609"/>
      <c r="WWM65" s="609"/>
      <c r="WWN65" s="609"/>
      <c r="WWO65" s="609"/>
      <c r="WWP65" s="609"/>
      <c r="WWQ65" s="609"/>
      <c r="WWR65" s="609"/>
      <c r="WWS65" s="609"/>
      <c r="WWT65" s="609"/>
      <c r="WWU65" s="609"/>
      <c r="WWV65" s="609"/>
      <c r="WWW65" s="609"/>
      <c r="WWX65" s="609"/>
      <c r="WWY65" s="609"/>
      <c r="WWZ65" s="609"/>
      <c r="WXA65" s="609"/>
      <c r="WXB65" s="609"/>
      <c r="WXC65" s="609"/>
      <c r="WXD65" s="609"/>
      <c r="WXE65" s="609"/>
      <c r="WXF65" s="609"/>
      <c r="WXG65" s="609"/>
      <c r="WXH65" s="609"/>
      <c r="WXI65" s="609"/>
      <c r="WXJ65" s="609"/>
      <c r="WXK65" s="609"/>
      <c r="WXL65" s="609"/>
      <c r="WXM65" s="609"/>
      <c r="WXN65" s="609"/>
      <c r="WXO65" s="609"/>
      <c r="WXP65" s="609"/>
      <c r="WXQ65" s="609"/>
      <c r="WXR65" s="609"/>
      <c r="WXS65" s="609"/>
      <c r="WXT65" s="609"/>
      <c r="WXU65" s="609"/>
      <c r="WXV65" s="609"/>
      <c r="WXW65" s="609"/>
      <c r="WXX65" s="609"/>
      <c r="WXY65" s="609"/>
      <c r="WXZ65" s="609"/>
      <c r="WYA65" s="609"/>
      <c r="WYB65" s="609"/>
      <c r="WYC65" s="609"/>
      <c r="WYD65" s="609"/>
      <c r="WYE65" s="609"/>
      <c r="WYF65" s="609"/>
      <c r="WYG65" s="609"/>
      <c r="WYH65" s="609"/>
      <c r="WYI65" s="609"/>
      <c r="WYJ65" s="609"/>
      <c r="WYK65" s="609"/>
      <c r="WYL65" s="609"/>
      <c r="WYM65" s="609"/>
      <c r="WYN65" s="609"/>
      <c r="WYO65" s="609"/>
      <c r="WYP65" s="609"/>
      <c r="WYQ65" s="609"/>
      <c r="WYR65" s="609"/>
      <c r="WYS65" s="609"/>
      <c r="WYT65" s="609"/>
      <c r="WYU65" s="609"/>
      <c r="WYV65" s="609"/>
      <c r="WYW65" s="609"/>
      <c r="WYX65" s="609"/>
      <c r="WYY65" s="609"/>
      <c r="WYZ65" s="609"/>
      <c r="WZA65" s="609"/>
      <c r="WZB65" s="609"/>
      <c r="WZC65" s="609"/>
      <c r="WZD65" s="609"/>
      <c r="WZE65" s="609"/>
      <c r="WZF65" s="609"/>
      <c r="WZG65" s="609"/>
      <c r="WZH65" s="609"/>
      <c r="WZI65" s="609"/>
      <c r="WZJ65" s="609"/>
      <c r="WZK65" s="609"/>
      <c r="WZL65" s="609"/>
      <c r="WZM65" s="609"/>
      <c r="WZN65" s="609"/>
      <c r="WZO65" s="609"/>
      <c r="WZP65" s="609"/>
      <c r="WZQ65" s="609"/>
      <c r="WZR65" s="609"/>
      <c r="WZS65" s="609"/>
      <c r="WZT65" s="609"/>
      <c r="WZU65" s="609"/>
      <c r="WZV65" s="609"/>
      <c r="WZW65" s="609"/>
      <c r="WZX65" s="609"/>
      <c r="WZY65" s="609"/>
      <c r="WZZ65" s="609"/>
      <c r="XAA65" s="609"/>
      <c r="XAB65" s="609"/>
      <c r="XAC65" s="609"/>
      <c r="XAD65" s="609"/>
      <c r="XAE65" s="609"/>
      <c r="XAF65" s="609"/>
      <c r="XAG65" s="609"/>
      <c r="XAH65" s="609"/>
      <c r="XAI65" s="609"/>
      <c r="XAJ65" s="609"/>
      <c r="XAK65" s="609"/>
      <c r="XAL65" s="609"/>
      <c r="XAM65" s="609"/>
      <c r="XAN65" s="609"/>
      <c r="XAO65" s="609"/>
      <c r="XAP65" s="609"/>
      <c r="XAQ65" s="609"/>
      <c r="XAR65" s="609"/>
      <c r="XAS65" s="609"/>
      <c r="XAT65" s="609"/>
      <c r="XAU65" s="609"/>
      <c r="XAV65" s="609"/>
      <c r="XAW65" s="609"/>
      <c r="XAX65" s="609"/>
      <c r="XAY65" s="609"/>
      <c r="XAZ65" s="609"/>
      <c r="XBA65" s="609"/>
      <c r="XBB65" s="609"/>
      <c r="XBC65" s="609"/>
      <c r="XBD65" s="609"/>
      <c r="XBE65" s="609"/>
      <c r="XBF65" s="609"/>
      <c r="XBG65" s="609"/>
      <c r="XBH65" s="609"/>
      <c r="XBI65" s="609"/>
      <c r="XBJ65" s="609"/>
      <c r="XBK65" s="609"/>
      <c r="XBL65" s="609"/>
      <c r="XBM65" s="609"/>
      <c r="XBN65" s="609"/>
      <c r="XBO65" s="609"/>
      <c r="XBP65" s="609"/>
      <c r="XBQ65" s="609"/>
      <c r="XBR65" s="609"/>
      <c r="XBS65" s="609"/>
      <c r="XBT65" s="609"/>
      <c r="XBU65" s="609"/>
      <c r="XBV65" s="609"/>
      <c r="XBW65" s="609"/>
      <c r="XBX65" s="609"/>
      <c r="XBY65" s="609"/>
      <c r="XBZ65" s="609"/>
      <c r="XCA65" s="609"/>
      <c r="XCB65" s="609"/>
      <c r="XCC65" s="609"/>
      <c r="XCD65" s="609"/>
      <c r="XCE65" s="609"/>
      <c r="XCF65" s="609"/>
      <c r="XCG65" s="609"/>
      <c r="XCH65" s="609"/>
      <c r="XCI65" s="609"/>
      <c r="XCJ65" s="609"/>
      <c r="XCK65" s="609"/>
      <c r="XCL65" s="609"/>
      <c r="XCM65" s="609"/>
      <c r="XCN65" s="609"/>
      <c r="XCO65" s="609"/>
      <c r="XCP65" s="609"/>
      <c r="XCQ65" s="609"/>
      <c r="XCR65" s="609"/>
      <c r="XCS65" s="609"/>
      <c r="XCT65" s="609"/>
      <c r="XCU65" s="609"/>
      <c r="XCV65" s="609"/>
      <c r="XCW65" s="609"/>
      <c r="XCX65" s="609"/>
      <c r="XCY65" s="609"/>
      <c r="XCZ65" s="609"/>
      <c r="XDA65" s="609"/>
      <c r="XDB65" s="609"/>
      <c r="XDC65" s="609"/>
      <c r="XDD65" s="609"/>
      <c r="XDE65" s="609"/>
      <c r="XDF65" s="609"/>
      <c r="XDG65" s="609"/>
      <c r="XDH65" s="609"/>
      <c r="XDI65" s="609"/>
      <c r="XDJ65" s="609"/>
      <c r="XDK65" s="609"/>
      <c r="XDL65" s="609"/>
      <c r="XDM65" s="609"/>
      <c r="XDN65" s="609"/>
      <c r="XDO65" s="609"/>
      <c r="XDP65" s="609"/>
      <c r="XDQ65" s="609"/>
      <c r="XDR65" s="609"/>
      <c r="XDS65" s="609"/>
      <c r="XDT65" s="609"/>
      <c r="XDU65" s="609"/>
      <c r="XDV65" s="609"/>
      <c r="XDW65" s="609"/>
      <c r="XDX65" s="609"/>
      <c r="XDY65" s="609"/>
      <c r="XDZ65" s="609"/>
      <c r="XEA65" s="609"/>
      <c r="XEB65" s="609"/>
      <c r="XEC65" s="609"/>
      <c r="XED65" s="609"/>
      <c r="XEE65" s="609"/>
      <c r="XEF65" s="609"/>
      <c r="XEG65" s="609"/>
      <c r="XEH65" s="609"/>
      <c r="XEI65" s="609"/>
      <c r="XEJ65" s="609"/>
      <c r="XEK65" s="609"/>
      <c r="XEL65" s="609"/>
      <c r="XEM65" s="609"/>
      <c r="XEN65" s="609"/>
      <c r="XEO65" s="609"/>
      <c r="XEP65" s="609"/>
      <c r="XEQ65" s="609"/>
      <c r="XER65" s="609"/>
      <c r="XES65" s="609"/>
      <c r="XET65" s="609"/>
      <c r="XEU65" s="609"/>
      <c r="XEV65" s="609"/>
      <c r="XEW65" s="609"/>
      <c r="XEX65" s="609"/>
      <c r="XEY65" s="609"/>
      <c r="XEZ65" s="609"/>
      <c r="XFA65" s="609"/>
      <c r="XFB65" s="609"/>
      <c r="XFC65" s="609"/>
      <c r="XFD65" s="609"/>
    </row>
    <row r="66" spans="1:16384">
      <c r="A66" s="1518"/>
      <c r="B66" s="610"/>
      <c r="C66" s="590"/>
      <c r="D66" s="589"/>
      <c r="E66" s="610"/>
      <c r="F66" s="610"/>
      <c r="G66" s="610"/>
      <c r="H66" s="610"/>
      <c r="I66" s="610"/>
      <c r="J66" s="610"/>
      <c r="K66" s="610"/>
      <c r="L66" s="610"/>
      <c r="M66" s="610"/>
      <c r="N66" s="610"/>
      <c r="O66" s="610"/>
      <c r="P66" s="610"/>
      <c r="Q66" s="610"/>
      <c r="R66" s="610"/>
      <c r="S66" s="610"/>
      <c r="T66" s="610"/>
      <c r="U66" s="610"/>
      <c r="V66" s="610"/>
      <c r="W66" s="610"/>
      <c r="X66" s="610"/>
      <c r="Y66" s="610"/>
      <c r="Z66" s="610"/>
      <c r="AA66" s="610"/>
      <c r="AB66" s="610"/>
      <c r="AC66" s="610"/>
      <c r="AD66" s="610"/>
      <c r="AE66" s="610"/>
      <c r="AF66" s="610"/>
      <c r="AG66" s="610"/>
      <c r="AH66" s="610"/>
      <c r="AI66" s="610"/>
      <c r="AJ66" s="610"/>
      <c r="AK66" s="610"/>
      <c r="AL66" s="610"/>
      <c r="AM66" s="610"/>
      <c r="AN66" s="610"/>
      <c r="AO66" s="610"/>
      <c r="AP66" s="610"/>
      <c r="AQ66" s="610"/>
      <c r="AR66" s="610"/>
      <c r="AS66" s="610"/>
      <c r="AT66" s="610"/>
      <c r="AU66" s="610"/>
      <c r="AV66" s="610"/>
      <c r="AW66" s="610"/>
      <c r="AX66" s="610"/>
      <c r="AY66" s="610"/>
      <c r="AZ66" s="610"/>
      <c r="BA66" s="610"/>
      <c r="BB66" s="610"/>
      <c r="BC66" s="610"/>
      <c r="BD66" s="610"/>
      <c r="BE66" s="610"/>
      <c r="BF66" s="610"/>
      <c r="BG66" s="610"/>
      <c r="BH66" s="610"/>
      <c r="BI66" s="610"/>
      <c r="BJ66" s="610"/>
      <c r="BK66" s="610"/>
      <c r="BL66" s="610"/>
      <c r="BM66" s="610"/>
      <c r="BN66" s="610"/>
      <c r="BO66" s="610"/>
      <c r="BP66" s="610"/>
      <c r="BQ66" s="610"/>
      <c r="BR66" s="610"/>
      <c r="BS66" s="610"/>
      <c r="BT66" s="610"/>
      <c r="BU66" s="610"/>
      <c r="BV66" s="610"/>
      <c r="BW66" s="610"/>
      <c r="BX66" s="610"/>
      <c r="BY66" s="610"/>
      <c r="BZ66" s="610"/>
      <c r="CA66" s="610"/>
      <c r="CB66" s="610"/>
      <c r="CC66" s="610"/>
      <c r="CD66" s="610"/>
      <c r="CE66" s="610"/>
      <c r="CF66" s="610"/>
      <c r="CG66" s="610"/>
      <c r="CH66" s="610"/>
      <c r="CI66" s="610"/>
      <c r="CJ66" s="610"/>
      <c r="CK66" s="610"/>
      <c r="CL66" s="610"/>
      <c r="CM66" s="610"/>
      <c r="CN66" s="610"/>
      <c r="CO66" s="610"/>
      <c r="CP66" s="610"/>
      <c r="CQ66" s="610"/>
      <c r="CR66" s="610"/>
      <c r="CS66" s="610"/>
      <c r="CT66" s="610"/>
      <c r="CU66" s="610"/>
      <c r="CV66" s="610"/>
      <c r="CW66" s="610"/>
      <c r="CX66" s="610"/>
      <c r="CY66" s="610"/>
      <c r="CZ66" s="610"/>
      <c r="DA66" s="610"/>
      <c r="DB66" s="610"/>
      <c r="DC66" s="610"/>
      <c r="DD66" s="610"/>
      <c r="DE66" s="610"/>
      <c r="DF66" s="610"/>
      <c r="DG66" s="610"/>
      <c r="DH66" s="610"/>
      <c r="DI66" s="610"/>
      <c r="DJ66" s="610"/>
      <c r="DK66" s="610"/>
      <c r="DL66" s="610"/>
      <c r="DM66" s="610"/>
      <c r="DN66" s="610"/>
      <c r="DO66" s="610"/>
      <c r="DP66" s="610"/>
      <c r="DQ66" s="610"/>
      <c r="DR66" s="610"/>
      <c r="DS66" s="610"/>
      <c r="DT66" s="610"/>
      <c r="DU66" s="610"/>
      <c r="DV66" s="610"/>
      <c r="DW66" s="610"/>
      <c r="DX66" s="610"/>
      <c r="DY66" s="610"/>
      <c r="DZ66" s="610"/>
      <c r="EA66" s="610"/>
      <c r="EB66" s="610"/>
      <c r="EC66" s="610"/>
      <c r="ED66" s="610"/>
      <c r="EE66" s="610"/>
      <c r="EF66" s="610"/>
      <c r="EG66" s="610"/>
      <c r="EH66" s="610"/>
      <c r="EI66" s="610"/>
      <c r="EJ66" s="610"/>
      <c r="EK66" s="610"/>
      <c r="EL66" s="610"/>
      <c r="EM66" s="610"/>
      <c r="EN66" s="610"/>
      <c r="EO66" s="610"/>
      <c r="EP66" s="610"/>
      <c r="EQ66" s="610"/>
      <c r="ER66" s="610"/>
      <c r="ES66" s="610"/>
      <c r="ET66" s="610"/>
      <c r="EU66" s="610"/>
      <c r="EV66" s="610"/>
      <c r="EW66" s="610"/>
      <c r="EX66" s="610"/>
      <c r="EY66" s="610"/>
      <c r="EZ66" s="610"/>
      <c r="FA66" s="610"/>
      <c r="FB66" s="610"/>
      <c r="FC66" s="610"/>
      <c r="FD66" s="610"/>
      <c r="FE66" s="610"/>
      <c r="FF66" s="610"/>
      <c r="FG66" s="610"/>
      <c r="FH66" s="610"/>
      <c r="FI66" s="610"/>
      <c r="FJ66" s="610"/>
      <c r="FK66" s="610"/>
      <c r="FL66" s="610"/>
      <c r="FM66" s="610"/>
      <c r="FN66" s="610"/>
      <c r="FO66" s="610"/>
      <c r="FP66" s="610"/>
      <c r="FQ66" s="610"/>
      <c r="FR66" s="610"/>
      <c r="FS66" s="610"/>
      <c r="FT66" s="610"/>
      <c r="FU66" s="610"/>
      <c r="FV66" s="610"/>
      <c r="FW66" s="610"/>
      <c r="FX66" s="610"/>
      <c r="FY66" s="610"/>
      <c r="FZ66" s="610"/>
      <c r="GA66" s="610"/>
      <c r="GB66" s="610"/>
      <c r="GC66" s="610"/>
      <c r="GD66" s="610"/>
      <c r="GE66" s="610"/>
      <c r="GF66" s="610"/>
      <c r="GG66" s="610"/>
      <c r="GH66" s="610"/>
      <c r="GI66" s="610"/>
      <c r="GJ66" s="610"/>
      <c r="GK66" s="610"/>
      <c r="GL66" s="610"/>
      <c r="GM66" s="610"/>
      <c r="GN66" s="610"/>
      <c r="GO66" s="610"/>
      <c r="GP66" s="610"/>
      <c r="GQ66" s="610"/>
      <c r="GR66" s="610"/>
      <c r="GS66" s="610"/>
      <c r="GT66" s="610"/>
      <c r="GU66" s="610"/>
      <c r="GV66" s="610"/>
      <c r="GW66" s="610"/>
      <c r="GX66" s="610"/>
      <c r="GY66" s="610"/>
      <c r="GZ66" s="610"/>
      <c r="HA66" s="610"/>
      <c r="HB66" s="610"/>
      <c r="HC66" s="610"/>
      <c r="HD66" s="610"/>
      <c r="HE66" s="610"/>
      <c r="HF66" s="610"/>
      <c r="HG66" s="610"/>
      <c r="HH66" s="610"/>
      <c r="HI66" s="610"/>
      <c r="HJ66" s="610"/>
      <c r="HK66" s="610"/>
      <c r="HL66" s="610"/>
      <c r="HM66" s="610"/>
      <c r="HN66" s="610"/>
      <c r="HO66" s="610"/>
      <c r="HP66" s="610"/>
      <c r="HQ66" s="610"/>
      <c r="HR66" s="610"/>
      <c r="HS66" s="610"/>
      <c r="HT66" s="610"/>
      <c r="HU66" s="610"/>
      <c r="HV66" s="610"/>
      <c r="HW66" s="610"/>
      <c r="HX66" s="610"/>
      <c r="HY66" s="610"/>
      <c r="HZ66" s="610"/>
      <c r="IA66" s="610"/>
      <c r="IB66" s="610"/>
      <c r="IC66" s="610"/>
      <c r="ID66" s="610"/>
      <c r="IE66" s="610"/>
      <c r="IF66" s="610"/>
      <c r="IG66" s="610"/>
      <c r="IH66" s="610"/>
      <c r="II66" s="610"/>
      <c r="IJ66" s="610"/>
      <c r="IK66" s="610"/>
      <c r="IL66" s="610"/>
      <c r="IM66" s="610"/>
      <c r="IN66" s="610"/>
      <c r="IO66" s="610"/>
      <c r="IP66" s="610"/>
      <c r="IQ66" s="610"/>
      <c r="IR66" s="610"/>
      <c r="IS66" s="610"/>
      <c r="IT66" s="610"/>
      <c r="IU66" s="610"/>
      <c r="IV66" s="610"/>
      <c r="IW66" s="610"/>
      <c r="IX66" s="610"/>
      <c r="IY66" s="610"/>
      <c r="IZ66" s="610"/>
      <c r="JA66" s="610"/>
      <c r="JB66" s="610"/>
      <c r="JC66" s="610"/>
      <c r="JD66" s="610"/>
      <c r="JE66" s="610"/>
      <c r="JF66" s="610"/>
      <c r="JG66" s="610"/>
      <c r="JH66" s="610"/>
      <c r="JI66" s="610"/>
      <c r="JJ66" s="610"/>
      <c r="JK66" s="610"/>
      <c r="JL66" s="610"/>
      <c r="JM66" s="610"/>
      <c r="JN66" s="610"/>
      <c r="JO66" s="610"/>
      <c r="JP66" s="610"/>
      <c r="JQ66" s="610"/>
      <c r="JR66" s="610"/>
      <c r="JS66" s="610"/>
      <c r="JT66" s="610"/>
      <c r="JU66" s="610"/>
      <c r="JV66" s="610"/>
      <c r="JW66" s="610"/>
      <c r="JX66" s="610"/>
      <c r="JY66" s="610"/>
      <c r="JZ66" s="610"/>
      <c r="KA66" s="610"/>
      <c r="KB66" s="610"/>
      <c r="KC66" s="610"/>
      <c r="KD66" s="610"/>
      <c r="KE66" s="610"/>
      <c r="KF66" s="610"/>
      <c r="KG66" s="610"/>
      <c r="KH66" s="610"/>
      <c r="KI66" s="610"/>
      <c r="KJ66" s="610"/>
      <c r="KK66" s="610"/>
      <c r="KL66" s="610"/>
      <c r="KM66" s="610"/>
      <c r="KN66" s="610"/>
      <c r="KO66" s="610"/>
      <c r="KP66" s="610"/>
      <c r="KQ66" s="610"/>
      <c r="KR66" s="610"/>
      <c r="KS66" s="610"/>
      <c r="KT66" s="610"/>
      <c r="KU66" s="610"/>
      <c r="KV66" s="610"/>
      <c r="KW66" s="610"/>
      <c r="KX66" s="610"/>
      <c r="KY66" s="610"/>
      <c r="KZ66" s="610"/>
      <c r="LA66" s="610"/>
      <c r="LB66" s="610"/>
      <c r="LC66" s="610"/>
      <c r="LD66" s="610"/>
      <c r="LE66" s="610"/>
      <c r="LF66" s="610"/>
      <c r="LG66" s="610"/>
      <c r="LH66" s="610"/>
      <c r="LI66" s="610"/>
      <c r="LJ66" s="610"/>
      <c r="LK66" s="610"/>
      <c r="LL66" s="610"/>
      <c r="LM66" s="610"/>
      <c r="LN66" s="610"/>
      <c r="LO66" s="610"/>
      <c r="LP66" s="610"/>
      <c r="LQ66" s="610"/>
      <c r="LR66" s="610"/>
      <c r="LS66" s="610"/>
      <c r="LT66" s="610"/>
      <c r="LU66" s="610"/>
      <c r="LV66" s="610"/>
      <c r="LW66" s="610"/>
      <c r="LX66" s="610"/>
      <c r="LY66" s="610"/>
      <c r="LZ66" s="610"/>
      <c r="MA66" s="610"/>
      <c r="MB66" s="610"/>
      <c r="MC66" s="610"/>
      <c r="MD66" s="610"/>
      <c r="ME66" s="610"/>
      <c r="MF66" s="610"/>
      <c r="MG66" s="610"/>
      <c r="MH66" s="610"/>
      <c r="MI66" s="610"/>
      <c r="MJ66" s="610"/>
      <c r="MK66" s="610"/>
      <c r="ML66" s="610"/>
      <c r="MM66" s="610"/>
      <c r="MN66" s="610"/>
      <c r="MO66" s="610"/>
      <c r="MP66" s="610"/>
      <c r="MQ66" s="610"/>
      <c r="MR66" s="610"/>
      <c r="MS66" s="610"/>
      <c r="MT66" s="610"/>
      <c r="MU66" s="610"/>
      <c r="MV66" s="610"/>
      <c r="MW66" s="610"/>
      <c r="MX66" s="610"/>
      <c r="MY66" s="610"/>
      <c r="MZ66" s="610"/>
      <c r="NA66" s="610"/>
      <c r="NB66" s="610"/>
      <c r="NC66" s="610"/>
      <c r="ND66" s="610"/>
      <c r="NE66" s="610"/>
      <c r="NF66" s="610"/>
      <c r="NG66" s="610"/>
      <c r="NH66" s="610"/>
      <c r="NI66" s="610"/>
      <c r="NJ66" s="610"/>
      <c r="NK66" s="610"/>
      <c r="NL66" s="610"/>
      <c r="NM66" s="610"/>
      <c r="NN66" s="610"/>
      <c r="NO66" s="610"/>
      <c r="NP66" s="610"/>
      <c r="NQ66" s="610"/>
      <c r="NR66" s="610"/>
      <c r="NS66" s="610"/>
      <c r="NT66" s="610"/>
      <c r="NU66" s="610"/>
      <c r="NV66" s="610"/>
      <c r="NW66" s="610"/>
      <c r="NX66" s="610"/>
      <c r="NY66" s="610"/>
      <c r="NZ66" s="610"/>
      <c r="OA66" s="610"/>
      <c r="OB66" s="610"/>
      <c r="OC66" s="610"/>
      <c r="OD66" s="610"/>
      <c r="OE66" s="610"/>
      <c r="OF66" s="610"/>
      <c r="OG66" s="610"/>
      <c r="OH66" s="610"/>
      <c r="OI66" s="610"/>
      <c r="OJ66" s="610"/>
      <c r="OK66" s="610"/>
      <c r="OL66" s="610"/>
      <c r="OM66" s="610"/>
      <c r="ON66" s="610"/>
      <c r="OO66" s="610"/>
      <c r="OP66" s="610"/>
      <c r="OQ66" s="610"/>
      <c r="OR66" s="610"/>
      <c r="OS66" s="610"/>
      <c r="OT66" s="610"/>
      <c r="OU66" s="610"/>
      <c r="OV66" s="610"/>
      <c r="OW66" s="610"/>
      <c r="OX66" s="610"/>
      <c r="OY66" s="610"/>
      <c r="OZ66" s="610"/>
      <c r="PA66" s="610"/>
      <c r="PB66" s="610"/>
      <c r="PC66" s="610"/>
      <c r="PD66" s="610"/>
      <c r="PE66" s="610"/>
      <c r="PF66" s="610"/>
      <c r="PG66" s="610"/>
      <c r="PH66" s="610"/>
      <c r="PI66" s="610"/>
      <c r="PJ66" s="610"/>
      <c r="PK66" s="610"/>
      <c r="PL66" s="610"/>
      <c r="PM66" s="610"/>
      <c r="PN66" s="610"/>
      <c r="PO66" s="610"/>
      <c r="PP66" s="610"/>
      <c r="PQ66" s="610"/>
      <c r="PR66" s="610"/>
      <c r="PS66" s="610"/>
      <c r="PT66" s="610"/>
      <c r="PU66" s="610"/>
      <c r="PV66" s="610"/>
      <c r="PW66" s="610"/>
      <c r="PX66" s="610"/>
      <c r="PY66" s="610"/>
      <c r="PZ66" s="610"/>
      <c r="QA66" s="610"/>
      <c r="QB66" s="610"/>
      <c r="QC66" s="610"/>
      <c r="QD66" s="610"/>
      <c r="QE66" s="610"/>
      <c r="QF66" s="610"/>
      <c r="QG66" s="610"/>
      <c r="QH66" s="610"/>
      <c r="QI66" s="610"/>
      <c r="QJ66" s="610"/>
      <c r="QK66" s="610"/>
      <c r="QL66" s="610"/>
      <c r="QM66" s="610"/>
      <c r="QN66" s="610"/>
      <c r="QO66" s="610"/>
      <c r="QP66" s="610"/>
      <c r="QQ66" s="610"/>
      <c r="QR66" s="610"/>
      <c r="QS66" s="610"/>
      <c r="QT66" s="610"/>
      <c r="QU66" s="610"/>
      <c r="QV66" s="610"/>
      <c r="QW66" s="610"/>
      <c r="QX66" s="610"/>
      <c r="QY66" s="610"/>
      <c r="QZ66" s="610"/>
      <c r="RA66" s="610"/>
      <c r="RB66" s="610"/>
      <c r="RC66" s="610"/>
      <c r="RD66" s="610"/>
      <c r="RE66" s="610"/>
      <c r="RF66" s="610"/>
      <c r="RG66" s="610"/>
      <c r="RH66" s="610"/>
      <c r="RI66" s="610"/>
      <c r="RJ66" s="610"/>
      <c r="RK66" s="610"/>
      <c r="RL66" s="610"/>
      <c r="RM66" s="610"/>
      <c r="RN66" s="610"/>
      <c r="RO66" s="610"/>
      <c r="RP66" s="610"/>
      <c r="RQ66" s="610"/>
      <c r="RR66" s="610"/>
      <c r="RS66" s="610"/>
      <c r="RT66" s="610"/>
      <c r="RU66" s="610"/>
      <c r="RV66" s="610"/>
      <c r="RW66" s="610"/>
      <c r="RX66" s="610"/>
      <c r="RY66" s="610"/>
      <c r="RZ66" s="610"/>
      <c r="SA66" s="610"/>
      <c r="SB66" s="610"/>
      <c r="SC66" s="610"/>
      <c r="SD66" s="610"/>
      <c r="SE66" s="610"/>
      <c r="SF66" s="610"/>
      <c r="SG66" s="610"/>
      <c r="SH66" s="610"/>
      <c r="SI66" s="610"/>
      <c r="SJ66" s="610"/>
      <c r="SK66" s="610"/>
      <c r="SL66" s="610"/>
      <c r="SM66" s="610"/>
      <c r="SN66" s="610"/>
      <c r="SO66" s="610"/>
      <c r="SP66" s="610"/>
      <c r="SQ66" s="610"/>
      <c r="SR66" s="610"/>
      <c r="SS66" s="610"/>
      <c r="ST66" s="610"/>
      <c r="SU66" s="610"/>
      <c r="SV66" s="610"/>
      <c r="SW66" s="610"/>
      <c r="SX66" s="610"/>
      <c r="SY66" s="610"/>
      <c r="SZ66" s="610"/>
      <c r="TA66" s="610"/>
      <c r="TB66" s="610"/>
      <c r="TC66" s="610"/>
      <c r="TD66" s="610"/>
      <c r="TE66" s="610"/>
      <c r="TF66" s="610"/>
      <c r="TG66" s="610"/>
      <c r="TH66" s="610"/>
      <c r="TI66" s="610"/>
      <c r="TJ66" s="610"/>
      <c r="TK66" s="610"/>
      <c r="TL66" s="610"/>
      <c r="TM66" s="610"/>
      <c r="TN66" s="610"/>
      <c r="TO66" s="610"/>
      <c r="TP66" s="610"/>
      <c r="TQ66" s="610"/>
      <c r="TR66" s="610"/>
      <c r="TS66" s="610"/>
      <c r="TT66" s="610"/>
      <c r="TU66" s="610"/>
      <c r="TV66" s="610"/>
      <c r="TW66" s="610"/>
      <c r="TX66" s="610"/>
      <c r="TY66" s="610"/>
      <c r="TZ66" s="610"/>
      <c r="UA66" s="610"/>
      <c r="UB66" s="610"/>
      <c r="UC66" s="610"/>
      <c r="UD66" s="610"/>
      <c r="UE66" s="610"/>
      <c r="UF66" s="610"/>
      <c r="UG66" s="610"/>
      <c r="UH66" s="610"/>
      <c r="UI66" s="610"/>
      <c r="UJ66" s="610"/>
      <c r="UK66" s="610"/>
      <c r="UL66" s="610"/>
      <c r="UM66" s="610"/>
      <c r="UN66" s="610"/>
      <c r="UO66" s="610"/>
      <c r="UP66" s="610"/>
      <c r="UQ66" s="610"/>
      <c r="UR66" s="610"/>
      <c r="US66" s="610"/>
      <c r="UT66" s="610"/>
      <c r="UU66" s="610"/>
      <c r="UV66" s="610"/>
      <c r="UW66" s="610"/>
      <c r="UX66" s="610"/>
      <c r="UY66" s="610"/>
      <c r="UZ66" s="610"/>
      <c r="VA66" s="610"/>
      <c r="VB66" s="610"/>
      <c r="VC66" s="610"/>
      <c r="VD66" s="610"/>
      <c r="VE66" s="610"/>
      <c r="VF66" s="610"/>
      <c r="VG66" s="610"/>
      <c r="VH66" s="610"/>
      <c r="VI66" s="610"/>
      <c r="VJ66" s="610"/>
      <c r="VK66" s="610"/>
      <c r="VL66" s="610"/>
      <c r="VM66" s="610"/>
      <c r="VN66" s="610"/>
      <c r="VO66" s="610"/>
      <c r="VP66" s="610"/>
      <c r="VQ66" s="610"/>
      <c r="VR66" s="610"/>
      <c r="VS66" s="610"/>
      <c r="VT66" s="610"/>
      <c r="VU66" s="610"/>
      <c r="VV66" s="610"/>
      <c r="VW66" s="610"/>
      <c r="VX66" s="610"/>
      <c r="VY66" s="610"/>
      <c r="VZ66" s="610"/>
      <c r="WA66" s="610"/>
      <c r="WB66" s="610"/>
      <c r="WC66" s="610"/>
      <c r="WD66" s="610"/>
      <c r="WE66" s="610"/>
      <c r="WF66" s="610"/>
      <c r="WG66" s="610"/>
      <c r="WH66" s="610"/>
      <c r="WI66" s="610"/>
      <c r="WJ66" s="610"/>
      <c r="WK66" s="610"/>
      <c r="WL66" s="610"/>
      <c r="WM66" s="610"/>
      <c r="WN66" s="610"/>
      <c r="WO66" s="610"/>
      <c r="WP66" s="610"/>
      <c r="WQ66" s="610"/>
      <c r="WR66" s="610"/>
      <c r="WS66" s="610"/>
      <c r="WT66" s="610"/>
      <c r="WU66" s="610"/>
      <c r="WV66" s="610"/>
      <c r="WW66" s="610"/>
      <c r="WX66" s="610"/>
      <c r="WY66" s="610"/>
      <c r="WZ66" s="610"/>
      <c r="XA66" s="610"/>
      <c r="XB66" s="610"/>
      <c r="XC66" s="610"/>
      <c r="XD66" s="610"/>
      <c r="XE66" s="610"/>
      <c r="XF66" s="610"/>
      <c r="XG66" s="610"/>
      <c r="XH66" s="610"/>
      <c r="XI66" s="610"/>
      <c r="XJ66" s="610"/>
      <c r="XK66" s="610"/>
      <c r="XL66" s="610"/>
      <c r="XM66" s="610"/>
      <c r="XN66" s="610"/>
      <c r="XO66" s="610"/>
      <c r="XP66" s="610"/>
      <c r="XQ66" s="610"/>
      <c r="XR66" s="610"/>
      <c r="XS66" s="610"/>
      <c r="XT66" s="610"/>
      <c r="XU66" s="610"/>
      <c r="XV66" s="610"/>
      <c r="XW66" s="610"/>
      <c r="XX66" s="610"/>
      <c r="XY66" s="610"/>
      <c r="XZ66" s="610"/>
      <c r="YA66" s="610"/>
      <c r="YB66" s="610"/>
      <c r="YC66" s="610"/>
      <c r="YD66" s="610"/>
      <c r="YE66" s="610"/>
      <c r="YF66" s="610"/>
      <c r="YG66" s="610"/>
      <c r="YH66" s="610"/>
      <c r="YI66" s="610"/>
      <c r="YJ66" s="610"/>
      <c r="YK66" s="610"/>
      <c r="YL66" s="610"/>
      <c r="YM66" s="610"/>
      <c r="YN66" s="610"/>
      <c r="YO66" s="610"/>
      <c r="YP66" s="610"/>
      <c r="YQ66" s="610"/>
      <c r="YR66" s="610"/>
      <c r="YS66" s="610"/>
      <c r="YT66" s="610"/>
      <c r="YU66" s="610"/>
      <c r="YV66" s="610"/>
      <c r="YW66" s="610"/>
      <c r="YX66" s="610"/>
      <c r="YY66" s="610"/>
      <c r="YZ66" s="610"/>
      <c r="ZA66" s="610"/>
      <c r="ZB66" s="610"/>
      <c r="ZC66" s="610"/>
      <c r="ZD66" s="610"/>
      <c r="ZE66" s="610"/>
      <c r="ZF66" s="610"/>
      <c r="ZG66" s="610"/>
      <c r="ZH66" s="610"/>
      <c r="ZI66" s="610"/>
      <c r="ZJ66" s="610"/>
      <c r="ZK66" s="610"/>
      <c r="ZL66" s="610"/>
      <c r="ZM66" s="610"/>
      <c r="ZN66" s="610"/>
      <c r="ZO66" s="610"/>
      <c r="ZP66" s="610"/>
      <c r="ZQ66" s="610"/>
      <c r="ZR66" s="610"/>
      <c r="ZS66" s="610"/>
      <c r="ZT66" s="610"/>
      <c r="ZU66" s="610"/>
      <c r="ZV66" s="610"/>
      <c r="ZW66" s="610"/>
      <c r="ZX66" s="610"/>
      <c r="ZY66" s="610"/>
      <c r="ZZ66" s="610"/>
      <c r="AAA66" s="610"/>
      <c r="AAB66" s="610"/>
      <c r="AAC66" s="610"/>
      <c r="AAD66" s="610"/>
      <c r="AAE66" s="610"/>
      <c r="AAF66" s="610"/>
      <c r="AAG66" s="610"/>
      <c r="AAH66" s="610"/>
      <c r="AAI66" s="610"/>
      <c r="AAJ66" s="610"/>
      <c r="AAK66" s="610"/>
      <c r="AAL66" s="610"/>
      <c r="AAM66" s="610"/>
      <c r="AAN66" s="610"/>
      <c r="AAO66" s="610"/>
      <c r="AAP66" s="610"/>
      <c r="AAQ66" s="610"/>
      <c r="AAR66" s="610"/>
      <c r="AAS66" s="610"/>
      <c r="AAT66" s="610"/>
      <c r="AAU66" s="610"/>
      <c r="AAV66" s="610"/>
      <c r="AAW66" s="610"/>
      <c r="AAX66" s="610"/>
      <c r="AAY66" s="610"/>
      <c r="AAZ66" s="610"/>
      <c r="ABA66" s="610"/>
      <c r="ABB66" s="610"/>
      <c r="ABC66" s="610"/>
      <c r="ABD66" s="610"/>
      <c r="ABE66" s="610"/>
      <c r="ABF66" s="610"/>
      <c r="ABG66" s="610"/>
      <c r="ABH66" s="610"/>
      <c r="ABI66" s="610"/>
      <c r="ABJ66" s="610"/>
      <c r="ABK66" s="610"/>
      <c r="ABL66" s="610"/>
      <c r="ABM66" s="610"/>
      <c r="ABN66" s="610"/>
      <c r="ABO66" s="610"/>
      <c r="ABP66" s="610"/>
      <c r="ABQ66" s="610"/>
      <c r="ABR66" s="610"/>
      <c r="ABS66" s="610"/>
      <c r="ABT66" s="610"/>
      <c r="ABU66" s="610"/>
      <c r="ABV66" s="610"/>
      <c r="ABW66" s="610"/>
      <c r="ABX66" s="610"/>
      <c r="ABY66" s="610"/>
      <c r="ABZ66" s="610"/>
      <c r="ACA66" s="610"/>
      <c r="ACB66" s="610"/>
      <c r="ACC66" s="610"/>
      <c r="ACD66" s="610"/>
      <c r="ACE66" s="610"/>
      <c r="ACF66" s="610"/>
      <c r="ACG66" s="610"/>
      <c r="ACH66" s="610"/>
      <c r="ACI66" s="610"/>
      <c r="ACJ66" s="610"/>
      <c r="ACK66" s="610"/>
      <c r="ACL66" s="610"/>
      <c r="ACM66" s="610"/>
      <c r="ACN66" s="610"/>
      <c r="ACO66" s="610"/>
      <c r="ACP66" s="610"/>
      <c r="ACQ66" s="610"/>
      <c r="ACR66" s="610"/>
      <c r="ACS66" s="610"/>
      <c r="ACT66" s="610"/>
      <c r="ACU66" s="610"/>
      <c r="ACV66" s="610"/>
      <c r="ACW66" s="610"/>
      <c r="ACX66" s="610"/>
      <c r="ACY66" s="610"/>
      <c r="ACZ66" s="610"/>
      <c r="ADA66" s="610"/>
      <c r="ADB66" s="610"/>
      <c r="ADC66" s="610"/>
      <c r="ADD66" s="610"/>
      <c r="ADE66" s="610"/>
      <c r="ADF66" s="610"/>
      <c r="ADG66" s="610"/>
      <c r="ADH66" s="610"/>
      <c r="ADI66" s="610"/>
      <c r="ADJ66" s="610"/>
      <c r="ADK66" s="610"/>
      <c r="ADL66" s="610"/>
      <c r="ADM66" s="610"/>
      <c r="ADN66" s="610"/>
      <c r="ADO66" s="610"/>
      <c r="ADP66" s="610"/>
      <c r="ADQ66" s="610"/>
      <c r="ADR66" s="610"/>
      <c r="ADS66" s="610"/>
      <c r="ADT66" s="610"/>
      <c r="ADU66" s="610"/>
      <c r="ADV66" s="610"/>
      <c r="ADW66" s="610"/>
      <c r="ADX66" s="610"/>
      <c r="ADY66" s="610"/>
      <c r="ADZ66" s="610"/>
      <c r="AEA66" s="610"/>
      <c r="AEB66" s="610"/>
      <c r="AEC66" s="610"/>
      <c r="AED66" s="610"/>
      <c r="AEE66" s="610"/>
      <c r="AEF66" s="610"/>
      <c r="AEG66" s="610"/>
      <c r="AEH66" s="610"/>
      <c r="AEI66" s="610"/>
      <c r="AEJ66" s="610"/>
      <c r="AEK66" s="610"/>
      <c r="AEL66" s="610"/>
      <c r="AEM66" s="610"/>
      <c r="AEN66" s="610"/>
      <c r="AEO66" s="610"/>
      <c r="AEP66" s="610"/>
      <c r="AEQ66" s="610"/>
      <c r="AER66" s="610"/>
      <c r="AES66" s="610"/>
      <c r="AET66" s="610"/>
      <c r="AEU66" s="610"/>
      <c r="AEV66" s="610"/>
      <c r="AEW66" s="610"/>
      <c r="AEX66" s="610"/>
      <c r="AEY66" s="610"/>
      <c r="AEZ66" s="610"/>
      <c r="AFA66" s="610"/>
      <c r="AFB66" s="610"/>
      <c r="AFC66" s="610"/>
      <c r="AFD66" s="610"/>
      <c r="AFE66" s="610"/>
      <c r="AFF66" s="610"/>
      <c r="AFG66" s="610"/>
      <c r="AFH66" s="610"/>
      <c r="AFI66" s="610"/>
      <c r="AFJ66" s="610"/>
      <c r="AFK66" s="610"/>
      <c r="AFL66" s="610"/>
      <c r="AFM66" s="610"/>
      <c r="AFN66" s="610"/>
      <c r="AFO66" s="610"/>
      <c r="AFP66" s="610"/>
      <c r="AFQ66" s="610"/>
      <c r="AFR66" s="610"/>
      <c r="AFS66" s="610"/>
      <c r="AFT66" s="610"/>
      <c r="AFU66" s="610"/>
      <c r="AFV66" s="610"/>
      <c r="AFW66" s="610"/>
      <c r="AFX66" s="610"/>
      <c r="AFY66" s="610"/>
      <c r="AFZ66" s="610"/>
      <c r="AGA66" s="610"/>
      <c r="AGB66" s="610"/>
      <c r="AGC66" s="610"/>
      <c r="AGD66" s="610"/>
      <c r="AGE66" s="610"/>
      <c r="AGF66" s="610"/>
      <c r="AGG66" s="610"/>
      <c r="AGH66" s="610"/>
      <c r="AGI66" s="610"/>
      <c r="AGJ66" s="610"/>
      <c r="AGK66" s="610"/>
      <c r="AGL66" s="610"/>
      <c r="AGM66" s="610"/>
      <c r="AGN66" s="610"/>
      <c r="AGO66" s="610"/>
      <c r="AGP66" s="610"/>
      <c r="AGQ66" s="610"/>
      <c r="AGR66" s="610"/>
      <c r="AGS66" s="610"/>
      <c r="AGT66" s="610"/>
      <c r="AGU66" s="610"/>
      <c r="AGV66" s="610"/>
      <c r="AGW66" s="610"/>
      <c r="AGX66" s="610"/>
      <c r="AGY66" s="610"/>
      <c r="AGZ66" s="610"/>
      <c r="AHA66" s="610"/>
      <c r="AHB66" s="610"/>
      <c r="AHC66" s="610"/>
      <c r="AHD66" s="610"/>
      <c r="AHE66" s="610"/>
      <c r="AHF66" s="610"/>
      <c r="AHG66" s="610"/>
      <c r="AHH66" s="610"/>
      <c r="AHI66" s="610"/>
      <c r="AHJ66" s="610"/>
      <c r="AHK66" s="610"/>
      <c r="AHL66" s="610"/>
      <c r="AHM66" s="610"/>
      <c r="AHN66" s="610"/>
      <c r="AHO66" s="610"/>
      <c r="AHP66" s="610"/>
      <c r="AHQ66" s="610"/>
      <c r="AHR66" s="610"/>
      <c r="AHS66" s="610"/>
      <c r="AHT66" s="610"/>
      <c r="AHU66" s="610"/>
      <c r="AHV66" s="610"/>
      <c r="AHW66" s="610"/>
      <c r="AHX66" s="610"/>
      <c r="AHY66" s="610"/>
      <c r="AHZ66" s="610"/>
      <c r="AIA66" s="610"/>
      <c r="AIB66" s="610"/>
      <c r="AIC66" s="610"/>
      <c r="AID66" s="610"/>
      <c r="AIE66" s="610"/>
      <c r="AIF66" s="610"/>
      <c r="AIG66" s="610"/>
      <c r="AIH66" s="610"/>
      <c r="AII66" s="610"/>
      <c r="AIJ66" s="610"/>
      <c r="AIK66" s="610"/>
      <c r="AIL66" s="610"/>
      <c r="AIM66" s="610"/>
      <c r="AIN66" s="610"/>
      <c r="AIO66" s="610"/>
      <c r="AIP66" s="610"/>
      <c r="AIQ66" s="610"/>
      <c r="AIR66" s="610"/>
      <c r="AIS66" s="610"/>
      <c r="AIT66" s="610"/>
      <c r="AIU66" s="610"/>
      <c r="AIV66" s="610"/>
      <c r="AIW66" s="610"/>
      <c r="AIX66" s="610"/>
      <c r="AIY66" s="610"/>
      <c r="AIZ66" s="610"/>
      <c r="AJA66" s="610"/>
      <c r="AJB66" s="610"/>
      <c r="AJC66" s="610"/>
      <c r="AJD66" s="610"/>
      <c r="AJE66" s="610"/>
      <c r="AJF66" s="610"/>
      <c r="AJG66" s="610"/>
      <c r="AJH66" s="610"/>
      <c r="AJI66" s="610"/>
      <c r="AJJ66" s="610"/>
      <c r="AJK66" s="610"/>
      <c r="AJL66" s="610"/>
      <c r="AJM66" s="610"/>
      <c r="AJN66" s="610"/>
      <c r="AJO66" s="610"/>
      <c r="AJP66" s="610"/>
      <c r="AJQ66" s="610"/>
      <c r="AJR66" s="610"/>
      <c r="AJS66" s="610"/>
      <c r="AJT66" s="610"/>
      <c r="AJU66" s="610"/>
      <c r="AJV66" s="610"/>
      <c r="AJW66" s="610"/>
      <c r="AJX66" s="610"/>
      <c r="AJY66" s="610"/>
      <c r="AJZ66" s="610"/>
      <c r="AKA66" s="610"/>
      <c r="AKB66" s="610"/>
      <c r="AKC66" s="610"/>
      <c r="AKD66" s="610"/>
      <c r="AKE66" s="610"/>
      <c r="AKF66" s="610"/>
      <c r="AKG66" s="610"/>
      <c r="AKH66" s="610"/>
      <c r="AKI66" s="610"/>
      <c r="AKJ66" s="610"/>
      <c r="AKK66" s="610"/>
      <c r="AKL66" s="610"/>
      <c r="AKM66" s="610"/>
      <c r="AKN66" s="610"/>
      <c r="AKO66" s="610"/>
      <c r="AKP66" s="610"/>
      <c r="AKQ66" s="610"/>
      <c r="AKR66" s="610"/>
      <c r="AKS66" s="610"/>
      <c r="AKT66" s="610"/>
      <c r="AKU66" s="610"/>
      <c r="AKV66" s="610"/>
      <c r="AKW66" s="610"/>
      <c r="AKX66" s="610"/>
      <c r="AKY66" s="610"/>
      <c r="AKZ66" s="610"/>
      <c r="ALA66" s="610"/>
      <c r="ALB66" s="610"/>
      <c r="ALC66" s="610"/>
      <c r="ALD66" s="610"/>
      <c r="ALE66" s="610"/>
      <c r="ALF66" s="610"/>
      <c r="ALG66" s="610"/>
      <c r="ALH66" s="610"/>
      <c r="ALI66" s="610"/>
      <c r="ALJ66" s="610"/>
      <c r="ALK66" s="610"/>
      <c r="ALL66" s="610"/>
      <c r="ALM66" s="610"/>
      <c r="ALN66" s="610"/>
      <c r="ALO66" s="610"/>
      <c r="ALP66" s="610"/>
      <c r="ALQ66" s="610"/>
      <c r="ALR66" s="610"/>
      <c r="ALS66" s="610"/>
      <c r="ALT66" s="610"/>
      <c r="ALU66" s="610"/>
      <c r="ALV66" s="610"/>
      <c r="ALW66" s="610"/>
      <c r="ALX66" s="610"/>
      <c r="ALY66" s="610"/>
      <c r="ALZ66" s="610"/>
      <c r="AMA66" s="610"/>
      <c r="AMB66" s="610"/>
      <c r="AMC66" s="610"/>
      <c r="AMD66" s="610"/>
      <c r="AME66" s="610"/>
      <c r="AMF66" s="610"/>
      <c r="AMG66" s="610"/>
      <c r="AMH66" s="610"/>
      <c r="AMI66" s="610"/>
      <c r="AMJ66" s="610"/>
      <c r="AMK66" s="610"/>
      <c r="AML66" s="610"/>
      <c r="AMM66" s="610"/>
      <c r="AMN66" s="610"/>
      <c r="AMO66" s="610"/>
      <c r="AMP66" s="610"/>
      <c r="AMQ66" s="610"/>
      <c r="AMR66" s="610"/>
      <c r="AMS66" s="610"/>
      <c r="AMT66" s="610"/>
      <c r="AMU66" s="610"/>
      <c r="AMV66" s="610"/>
      <c r="AMW66" s="610"/>
      <c r="AMX66" s="610"/>
      <c r="AMY66" s="610"/>
      <c r="AMZ66" s="610"/>
      <c r="ANA66" s="610"/>
      <c r="ANB66" s="610"/>
      <c r="ANC66" s="610"/>
      <c r="AND66" s="610"/>
      <c r="ANE66" s="610"/>
      <c r="ANF66" s="610"/>
      <c r="ANG66" s="610"/>
      <c r="ANH66" s="610"/>
      <c r="ANI66" s="610"/>
      <c r="ANJ66" s="610"/>
      <c r="ANK66" s="610"/>
      <c r="ANL66" s="610"/>
      <c r="ANM66" s="610"/>
      <c r="ANN66" s="610"/>
      <c r="ANO66" s="610"/>
      <c r="ANP66" s="610"/>
      <c r="ANQ66" s="610"/>
      <c r="ANR66" s="610"/>
      <c r="ANS66" s="610"/>
      <c r="ANT66" s="610"/>
      <c r="ANU66" s="610"/>
      <c r="ANV66" s="610"/>
      <c r="ANW66" s="610"/>
      <c r="ANX66" s="610"/>
      <c r="ANY66" s="610"/>
      <c r="ANZ66" s="610"/>
      <c r="AOA66" s="610"/>
      <c r="AOB66" s="610"/>
      <c r="AOC66" s="610"/>
      <c r="AOD66" s="610"/>
      <c r="AOE66" s="610"/>
      <c r="AOF66" s="610"/>
      <c r="AOG66" s="610"/>
      <c r="AOH66" s="610"/>
      <c r="AOI66" s="610"/>
      <c r="AOJ66" s="610"/>
      <c r="AOK66" s="610"/>
      <c r="AOL66" s="610"/>
      <c r="AOM66" s="610"/>
      <c r="AON66" s="610"/>
      <c r="AOO66" s="610"/>
      <c r="AOP66" s="610"/>
      <c r="AOQ66" s="610"/>
      <c r="AOR66" s="610"/>
      <c r="AOS66" s="610"/>
      <c r="AOT66" s="610"/>
      <c r="AOU66" s="610"/>
      <c r="AOV66" s="610"/>
      <c r="AOW66" s="610"/>
      <c r="AOX66" s="610"/>
      <c r="AOY66" s="610"/>
      <c r="AOZ66" s="610"/>
      <c r="APA66" s="610"/>
      <c r="APB66" s="610"/>
      <c r="APC66" s="610"/>
      <c r="APD66" s="610"/>
      <c r="APE66" s="610"/>
      <c r="APF66" s="610"/>
      <c r="APG66" s="610"/>
      <c r="APH66" s="610"/>
      <c r="API66" s="610"/>
      <c r="APJ66" s="610"/>
      <c r="APK66" s="610"/>
      <c r="APL66" s="610"/>
      <c r="APM66" s="610"/>
      <c r="APN66" s="610"/>
      <c r="APO66" s="610"/>
      <c r="APP66" s="610"/>
      <c r="APQ66" s="610"/>
      <c r="APR66" s="610"/>
      <c r="APS66" s="610"/>
      <c r="APT66" s="610"/>
      <c r="APU66" s="610"/>
      <c r="APV66" s="610"/>
      <c r="APW66" s="610"/>
      <c r="APX66" s="610"/>
      <c r="APY66" s="610"/>
      <c r="APZ66" s="610"/>
      <c r="AQA66" s="610"/>
      <c r="AQB66" s="610"/>
      <c r="AQC66" s="610"/>
      <c r="AQD66" s="610"/>
      <c r="AQE66" s="610"/>
      <c r="AQF66" s="610"/>
      <c r="AQG66" s="610"/>
      <c r="AQH66" s="610"/>
      <c r="AQI66" s="610"/>
      <c r="AQJ66" s="610"/>
      <c r="AQK66" s="610"/>
      <c r="AQL66" s="610"/>
      <c r="AQM66" s="610"/>
      <c r="AQN66" s="610"/>
      <c r="AQO66" s="610"/>
      <c r="AQP66" s="610"/>
      <c r="AQQ66" s="610"/>
      <c r="AQR66" s="610"/>
      <c r="AQS66" s="610"/>
      <c r="AQT66" s="610"/>
      <c r="AQU66" s="610"/>
      <c r="AQV66" s="610"/>
      <c r="AQW66" s="610"/>
      <c r="AQX66" s="610"/>
      <c r="AQY66" s="610"/>
      <c r="AQZ66" s="610"/>
      <c r="ARA66" s="610"/>
      <c r="ARB66" s="610"/>
      <c r="ARC66" s="610"/>
      <c r="ARD66" s="610"/>
      <c r="ARE66" s="610"/>
      <c r="ARF66" s="610"/>
      <c r="ARG66" s="610"/>
      <c r="ARH66" s="610"/>
      <c r="ARI66" s="610"/>
      <c r="ARJ66" s="610"/>
      <c r="ARK66" s="610"/>
      <c r="ARL66" s="610"/>
      <c r="ARM66" s="610"/>
      <c r="ARN66" s="610"/>
      <c r="ARO66" s="610"/>
      <c r="ARP66" s="610"/>
      <c r="ARQ66" s="610"/>
      <c r="ARR66" s="610"/>
      <c r="ARS66" s="610"/>
      <c r="ART66" s="610"/>
      <c r="ARU66" s="610"/>
      <c r="ARV66" s="610"/>
      <c r="ARW66" s="610"/>
      <c r="ARX66" s="610"/>
      <c r="ARY66" s="610"/>
      <c r="ARZ66" s="610"/>
      <c r="ASA66" s="610"/>
      <c r="ASB66" s="610"/>
      <c r="ASC66" s="610"/>
      <c r="ASD66" s="610"/>
      <c r="ASE66" s="610"/>
      <c r="ASF66" s="610"/>
      <c r="ASG66" s="610"/>
      <c r="ASH66" s="610"/>
      <c r="ASI66" s="610"/>
      <c r="ASJ66" s="610"/>
      <c r="ASK66" s="610"/>
      <c r="ASL66" s="610"/>
      <c r="ASM66" s="610"/>
      <c r="ASN66" s="610"/>
      <c r="ASO66" s="610"/>
      <c r="ASP66" s="610"/>
      <c r="ASQ66" s="610"/>
      <c r="ASR66" s="610"/>
      <c r="ASS66" s="610"/>
      <c r="AST66" s="610"/>
      <c r="ASU66" s="610"/>
      <c r="ASV66" s="610"/>
      <c r="ASW66" s="610"/>
      <c r="ASX66" s="610"/>
      <c r="ASY66" s="610"/>
      <c r="ASZ66" s="610"/>
      <c r="ATA66" s="610"/>
      <c r="ATB66" s="610"/>
      <c r="ATC66" s="610"/>
      <c r="ATD66" s="610"/>
      <c r="ATE66" s="610"/>
      <c r="ATF66" s="610"/>
      <c r="ATG66" s="610"/>
      <c r="ATH66" s="610"/>
      <c r="ATI66" s="610"/>
      <c r="ATJ66" s="610"/>
      <c r="ATK66" s="610"/>
      <c r="ATL66" s="610"/>
      <c r="ATM66" s="610"/>
      <c r="ATN66" s="610"/>
      <c r="ATO66" s="610"/>
      <c r="ATP66" s="610"/>
      <c r="ATQ66" s="610"/>
      <c r="ATR66" s="610"/>
      <c r="ATS66" s="610"/>
      <c r="ATT66" s="610"/>
      <c r="ATU66" s="610"/>
      <c r="ATV66" s="610"/>
      <c r="ATW66" s="610"/>
      <c r="ATX66" s="610"/>
      <c r="ATY66" s="610"/>
      <c r="ATZ66" s="610"/>
      <c r="AUA66" s="610"/>
      <c r="AUB66" s="610"/>
      <c r="AUC66" s="610"/>
      <c r="AUD66" s="610"/>
      <c r="AUE66" s="610"/>
      <c r="AUF66" s="610"/>
      <c r="AUG66" s="610"/>
      <c r="AUH66" s="610"/>
      <c r="AUI66" s="610"/>
      <c r="AUJ66" s="610"/>
      <c r="AUK66" s="610"/>
      <c r="AUL66" s="610"/>
      <c r="AUM66" s="610"/>
      <c r="AUN66" s="610"/>
      <c r="AUO66" s="610"/>
      <c r="AUP66" s="610"/>
      <c r="AUQ66" s="610"/>
      <c r="AUR66" s="610"/>
      <c r="AUS66" s="610"/>
      <c r="AUT66" s="610"/>
      <c r="AUU66" s="610"/>
      <c r="AUV66" s="610"/>
      <c r="AUW66" s="610"/>
      <c r="AUX66" s="610"/>
      <c r="AUY66" s="610"/>
      <c r="AUZ66" s="610"/>
      <c r="AVA66" s="610"/>
      <c r="AVB66" s="610"/>
      <c r="AVC66" s="610"/>
      <c r="AVD66" s="610"/>
      <c r="AVE66" s="610"/>
      <c r="AVF66" s="610"/>
      <c r="AVG66" s="610"/>
      <c r="AVH66" s="610"/>
      <c r="AVI66" s="610"/>
      <c r="AVJ66" s="610"/>
      <c r="AVK66" s="610"/>
      <c r="AVL66" s="610"/>
      <c r="AVM66" s="610"/>
      <c r="AVN66" s="610"/>
      <c r="AVO66" s="610"/>
      <c r="AVP66" s="610"/>
      <c r="AVQ66" s="610"/>
      <c r="AVR66" s="610"/>
      <c r="AVS66" s="610"/>
      <c r="AVT66" s="610"/>
      <c r="AVU66" s="610"/>
      <c r="AVV66" s="610"/>
      <c r="AVW66" s="610"/>
      <c r="AVX66" s="610"/>
      <c r="AVY66" s="610"/>
      <c r="AVZ66" s="610"/>
      <c r="AWA66" s="610"/>
      <c r="AWB66" s="610"/>
      <c r="AWC66" s="610"/>
      <c r="AWD66" s="610"/>
      <c r="AWE66" s="610"/>
      <c r="AWF66" s="610"/>
      <c r="AWG66" s="610"/>
      <c r="AWH66" s="610"/>
      <c r="AWI66" s="610"/>
      <c r="AWJ66" s="610"/>
      <c r="AWK66" s="610"/>
      <c r="AWL66" s="610"/>
      <c r="AWM66" s="610"/>
      <c r="AWN66" s="610"/>
      <c r="AWO66" s="610"/>
      <c r="AWP66" s="610"/>
      <c r="AWQ66" s="610"/>
      <c r="AWR66" s="610"/>
      <c r="AWS66" s="610"/>
      <c r="AWT66" s="610"/>
      <c r="AWU66" s="610"/>
      <c r="AWV66" s="610"/>
      <c r="AWW66" s="610"/>
      <c r="AWX66" s="610"/>
      <c r="AWY66" s="610"/>
      <c r="AWZ66" s="610"/>
      <c r="AXA66" s="610"/>
      <c r="AXB66" s="610"/>
      <c r="AXC66" s="610"/>
      <c r="AXD66" s="610"/>
      <c r="AXE66" s="610"/>
      <c r="AXF66" s="610"/>
      <c r="AXG66" s="610"/>
      <c r="AXH66" s="610"/>
      <c r="AXI66" s="610"/>
      <c r="AXJ66" s="610"/>
      <c r="AXK66" s="610"/>
      <c r="AXL66" s="610"/>
      <c r="AXM66" s="610"/>
      <c r="AXN66" s="610"/>
      <c r="AXO66" s="610"/>
      <c r="AXP66" s="610"/>
      <c r="AXQ66" s="610"/>
      <c r="AXR66" s="610"/>
      <c r="AXS66" s="610"/>
      <c r="AXT66" s="610"/>
      <c r="AXU66" s="610"/>
      <c r="AXV66" s="610"/>
      <c r="AXW66" s="610"/>
      <c r="AXX66" s="610"/>
      <c r="AXY66" s="610"/>
      <c r="AXZ66" s="610"/>
      <c r="AYA66" s="610"/>
      <c r="AYB66" s="610"/>
      <c r="AYC66" s="610"/>
      <c r="AYD66" s="610"/>
      <c r="AYE66" s="610"/>
      <c r="AYF66" s="610"/>
      <c r="AYG66" s="610"/>
      <c r="AYH66" s="610"/>
      <c r="AYI66" s="610"/>
      <c r="AYJ66" s="610"/>
      <c r="AYK66" s="610"/>
      <c r="AYL66" s="610"/>
      <c r="AYM66" s="610"/>
      <c r="AYN66" s="610"/>
      <c r="AYO66" s="610"/>
      <c r="AYP66" s="610"/>
      <c r="AYQ66" s="610"/>
      <c r="AYR66" s="610"/>
      <c r="AYS66" s="610"/>
      <c r="AYT66" s="610"/>
      <c r="AYU66" s="610"/>
      <c r="AYV66" s="610"/>
      <c r="AYW66" s="610"/>
      <c r="AYX66" s="610"/>
      <c r="AYY66" s="610"/>
      <c r="AYZ66" s="610"/>
      <c r="AZA66" s="610"/>
      <c r="AZB66" s="610"/>
      <c r="AZC66" s="610"/>
      <c r="AZD66" s="610"/>
      <c r="AZE66" s="610"/>
      <c r="AZF66" s="610"/>
      <c r="AZG66" s="610"/>
      <c r="AZH66" s="610"/>
      <c r="AZI66" s="610"/>
      <c r="AZJ66" s="610"/>
      <c r="AZK66" s="610"/>
      <c r="AZL66" s="610"/>
      <c r="AZM66" s="610"/>
      <c r="AZN66" s="610"/>
      <c r="AZO66" s="610"/>
      <c r="AZP66" s="610"/>
      <c r="AZQ66" s="610"/>
      <c r="AZR66" s="610"/>
      <c r="AZS66" s="610"/>
      <c r="AZT66" s="610"/>
      <c r="AZU66" s="610"/>
      <c r="AZV66" s="610"/>
      <c r="AZW66" s="610"/>
      <c r="AZX66" s="610"/>
      <c r="AZY66" s="610"/>
      <c r="AZZ66" s="610"/>
      <c r="BAA66" s="610"/>
      <c r="BAB66" s="610"/>
      <c r="BAC66" s="610"/>
      <c r="BAD66" s="610"/>
      <c r="BAE66" s="610"/>
      <c r="BAF66" s="610"/>
      <c r="BAG66" s="610"/>
      <c r="BAH66" s="610"/>
      <c r="BAI66" s="610"/>
      <c r="BAJ66" s="610"/>
      <c r="BAK66" s="610"/>
      <c r="BAL66" s="610"/>
      <c r="BAM66" s="610"/>
      <c r="BAN66" s="610"/>
      <c r="BAO66" s="610"/>
      <c r="BAP66" s="610"/>
      <c r="BAQ66" s="610"/>
      <c r="BAR66" s="610"/>
      <c r="BAS66" s="610"/>
      <c r="BAT66" s="610"/>
      <c r="BAU66" s="610"/>
      <c r="BAV66" s="610"/>
      <c r="BAW66" s="610"/>
      <c r="BAX66" s="610"/>
      <c r="BAY66" s="610"/>
      <c r="BAZ66" s="610"/>
      <c r="BBA66" s="610"/>
      <c r="BBB66" s="610"/>
      <c r="BBC66" s="610"/>
      <c r="BBD66" s="610"/>
      <c r="BBE66" s="610"/>
      <c r="BBF66" s="610"/>
      <c r="BBG66" s="610"/>
      <c r="BBH66" s="610"/>
      <c r="BBI66" s="610"/>
      <c r="BBJ66" s="610"/>
      <c r="BBK66" s="610"/>
      <c r="BBL66" s="610"/>
      <c r="BBM66" s="610"/>
      <c r="BBN66" s="610"/>
      <c r="BBO66" s="610"/>
      <c r="BBP66" s="610"/>
      <c r="BBQ66" s="610"/>
      <c r="BBR66" s="610"/>
      <c r="BBS66" s="610"/>
      <c r="BBT66" s="610"/>
      <c r="BBU66" s="610"/>
      <c r="BBV66" s="610"/>
      <c r="BBW66" s="610"/>
      <c r="BBX66" s="610"/>
      <c r="BBY66" s="610"/>
      <c r="BBZ66" s="610"/>
      <c r="BCA66" s="610"/>
      <c r="BCB66" s="610"/>
      <c r="BCC66" s="610"/>
      <c r="BCD66" s="610"/>
      <c r="BCE66" s="610"/>
      <c r="BCF66" s="610"/>
      <c r="BCG66" s="610"/>
      <c r="BCH66" s="610"/>
      <c r="BCI66" s="610"/>
      <c r="BCJ66" s="610"/>
      <c r="BCK66" s="610"/>
      <c r="BCL66" s="610"/>
      <c r="BCM66" s="610"/>
      <c r="BCN66" s="610"/>
      <c r="BCO66" s="610"/>
      <c r="BCP66" s="610"/>
      <c r="BCQ66" s="610"/>
      <c r="BCR66" s="610"/>
      <c r="BCS66" s="610"/>
      <c r="BCT66" s="610"/>
      <c r="BCU66" s="610"/>
      <c r="BCV66" s="610"/>
      <c r="BCW66" s="610"/>
      <c r="BCX66" s="610"/>
      <c r="BCY66" s="610"/>
      <c r="BCZ66" s="610"/>
      <c r="BDA66" s="610"/>
      <c r="BDB66" s="610"/>
      <c r="BDC66" s="610"/>
      <c r="BDD66" s="610"/>
      <c r="BDE66" s="610"/>
      <c r="BDF66" s="610"/>
      <c r="BDG66" s="610"/>
      <c r="BDH66" s="610"/>
      <c r="BDI66" s="610"/>
      <c r="BDJ66" s="610"/>
      <c r="BDK66" s="610"/>
      <c r="BDL66" s="610"/>
      <c r="BDM66" s="610"/>
      <c r="BDN66" s="610"/>
      <c r="BDO66" s="610"/>
      <c r="BDP66" s="610"/>
      <c r="BDQ66" s="610"/>
      <c r="BDR66" s="610"/>
      <c r="BDS66" s="610"/>
      <c r="BDT66" s="610"/>
      <c r="BDU66" s="610"/>
      <c r="BDV66" s="610"/>
      <c r="BDW66" s="610"/>
      <c r="BDX66" s="610"/>
      <c r="BDY66" s="610"/>
      <c r="BDZ66" s="610"/>
      <c r="BEA66" s="610"/>
      <c r="BEB66" s="610"/>
      <c r="BEC66" s="610"/>
      <c r="BED66" s="610"/>
      <c r="BEE66" s="610"/>
      <c r="BEF66" s="610"/>
      <c r="BEG66" s="610"/>
      <c r="BEH66" s="610"/>
      <c r="BEI66" s="610"/>
      <c r="BEJ66" s="610"/>
      <c r="BEK66" s="610"/>
      <c r="BEL66" s="610"/>
      <c r="BEM66" s="610"/>
      <c r="BEN66" s="610"/>
      <c r="BEO66" s="610"/>
      <c r="BEP66" s="610"/>
      <c r="BEQ66" s="610"/>
      <c r="BER66" s="610"/>
      <c r="BES66" s="610"/>
      <c r="BET66" s="610"/>
      <c r="BEU66" s="610"/>
      <c r="BEV66" s="610"/>
      <c r="BEW66" s="610"/>
      <c r="BEX66" s="610"/>
      <c r="BEY66" s="610"/>
      <c r="BEZ66" s="610"/>
      <c r="BFA66" s="610"/>
      <c r="BFB66" s="610"/>
      <c r="BFC66" s="610"/>
      <c r="BFD66" s="610"/>
      <c r="BFE66" s="610"/>
      <c r="BFF66" s="610"/>
      <c r="BFG66" s="610"/>
      <c r="BFH66" s="610"/>
      <c r="BFI66" s="610"/>
      <c r="BFJ66" s="610"/>
      <c r="BFK66" s="610"/>
      <c r="BFL66" s="610"/>
      <c r="BFM66" s="610"/>
      <c r="BFN66" s="610"/>
      <c r="BFO66" s="610"/>
      <c r="BFP66" s="610"/>
      <c r="BFQ66" s="610"/>
      <c r="BFR66" s="610"/>
      <c r="BFS66" s="610"/>
      <c r="BFT66" s="610"/>
      <c r="BFU66" s="610"/>
      <c r="BFV66" s="610"/>
      <c r="BFW66" s="610"/>
      <c r="BFX66" s="610"/>
      <c r="BFY66" s="610"/>
      <c r="BFZ66" s="610"/>
      <c r="BGA66" s="610"/>
      <c r="BGB66" s="610"/>
      <c r="BGC66" s="610"/>
      <c r="BGD66" s="610"/>
      <c r="BGE66" s="610"/>
      <c r="BGF66" s="610"/>
      <c r="BGG66" s="610"/>
      <c r="BGH66" s="610"/>
      <c r="BGI66" s="610"/>
      <c r="BGJ66" s="610"/>
      <c r="BGK66" s="610"/>
      <c r="BGL66" s="610"/>
      <c r="BGM66" s="610"/>
      <c r="BGN66" s="610"/>
      <c r="BGO66" s="610"/>
      <c r="BGP66" s="610"/>
      <c r="BGQ66" s="610"/>
      <c r="BGR66" s="610"/>
      <c r="BGS66" s="610"/>
      <c r="BGT66" s="610"/>
      <c r="BGU66" s="610"/>
      <c r="BGV66" s="610"/>
      <c r="BGW66" s="610"/>
      <c r="BGX66" s="610"/>
      <c r="BGY66" s="610"/>
      <c r="BGZ66" s="610"/>
      <c r="BHA66" s="610"/>
      <c r="BHB66" s="610"/>
      <c r="BHC66" s="610"/>
      <c r="BHD66" s="610"/>
      <c r="BHE66" s="610"/>
      <c r="BHF66" s="610"/>
      <c r="BHG66" s="610"/>
      <c r="BHH66" s="610"/>
      <c r="BHI66" s="610"/>
      <c r="BHJ66" s="610"/>
      <c r="BHK66" s="610"/>
      <c r="BHL66" s="610"/>
      <c r="BHM66" s="610"/>
      <c r="BHN66" s="610"/>
      <c r="BHO66" s="610"/>
      <c r="BHP66" s="610"/>
      <c r="BHQ66" s="610"/>
      <c r="BHR66" s="610"/>
      <c r="BHS66" s="610"/>
      <c r="BHT66" s="610"/>
      <c r="BHU66" s="610"/>
      <c r="BHV66" s="610"/>
      <c r="BHW66" s="610"/>
      <c r="BHX66" s="610"/>
      <c r="BHY66" s="610"/>
      <c r="BHZ66" s="610"/>
      <c r="BIA66" s="610"/>
      <c r="BIB66" s="610"/>
      <c r="BIC66" s="610"/>
      <c r="BID66" s="610"/>
      <c r="BIE66" s="610"/>
      <c r="BIF66" s="610"/>
      <c r="BIG66" s="610"/>
      <c r="BIH66" s="610"/>
      <c r="BII66" s="610"/>
      <c r="BIJ66" s="610"/>
      <c r="BIK66" s="610"/>
      <c r="BIL66" s="610"/>
      <c r="BIM66" s="610"/>
      <c r="BIN66" s="610"/>
      <c r="BIO66" s="610"/>
      <c r="BIP66" s="610"/>
      <c r="BIQ66" s="610"/>
      <c r="BIR66" s="610"/>
      <c r="BIS66" s="610"/>
      <c r="BIT66" s="610"/>
      <c r="BIU66" s="610"/>
      <c r="BIV66" s="610"/>
      <c r="BIW66" s="610"/>
      <c r="BIX66" s="610"/>
      <c r="BIY66" s="610"/>
      <c r="BIZ66" s="610"/>
      <c r="BJA66" s="610"/>
      <c r="BJB66" s="610"/>
      <c r="BJC66" s="610"/>
      <c r="BJD66" s="610"/>
      <c r="BJE66" s="610"/>
      <c r="BJF66" s="610"/>
      <c r="BJG66" s="610"/>
      <c r="BJH66" s="610"/>
      <c r="BJI66" s="610"/>
      <c r="BJJ66" s="610"/>
      <c r="BJK66" s="610"/>
      <c r="BJL66" s="610"/>
      <c r="BJM66" s="610"/>
      <c r="BJN66" s="610"/>
      <c r="BJO66" s="610"/>
      <c r="BJP66" s="610"/>
      <c r="BJQ66" s="610"/>
      <c r="BJR66" s="610"/>
      <c r="BJS66" s="610"/>
      <c r="BJT66" s="610"/>
      <c r="BJU66" s="610"/>
      <c r="BJV66" s="610"/>
      <c r="BJW66" s="610"/>
      <c r="BJX66" s="610"/>
      <c r="BJY66" s="610"/>
      <c r="BJZ66" s="610"/>
      <c r="BKA66" s="610"/>
      <c r="BKB66" s="610"/>
      <c r="BKC66" s="610"/>
      <c r="BKD66" s="610"/>
      <c r="BKE66" s="610"/>
      <c r="BKF66" s="610"/>
      <c r="BKG66" s="610"/>
      <c r="BKH66" s="610"/>
      <c r="BKI66" s="610"/>
      <c r="BKJ66" s="610"/>
      <c r="BKK66" s="610"/>
      <c r="BKL66" s="610"/>
      <c r="BKM66" s="610"/>
      <c r="BKN66" s="610"/>
      <c r="BKO66" s="610"/>
      <c r="BKP66" s="610"/>
      <c r="BKQ66" s="610"/>
      <c r="BKR66" s="610"/>
      <c r="BKS66" s="610"/>
      <c r="BKT66" s="610"/>
      <c r="BKU66" s="610"/>
      <c r="BKV66" s="610"/>
      <c r="BKW66" s="610"/>
      <c r="BKX66" s="610"/>
      <c r="BKY66" s="610"/>
      <c r="BKZ66" s="610"/>
      <c r="BLA66" s="610"/>
      <c r="BLB66" s="610"/>
      <c r="BLC66" s="610"/>
      <c r="BLD66" s="610"/>
      <c r="BLE66" s="610"/>
      <c r="BLF66" s="610"/>
      <c r="BLG66" s="610"/>
      <c r="BLH66" s="610"/>
      <c r="BLI66" s="610"/>
      <c r="BLJ66" s="610"/>
      <c r="BLK66" s="610"/>
      <c r="BLL66" s="610"/>
      <c r="BLM66" s="610"/>
      <c r="BLN66" s="610"/>
      <c r="BLO66" s="610"/>
      <c r="BLP66" s="610"/>
      <c r="BLQ66" s="610"/>
      <c r="BLR66" s="610"/>
      <c r="BLS66" s="610"/>
      <c r="BLT66" s="610"/>
      <c r="BLU66" s="610"/>
      <c r="BLV66" s="610"/>
      <c r="BLW66" s="610"/>
      <c r="BLX66" s="610"/>
      <c r="BLY66" s="610"/>
      <c r="BLZ66" s="610"/>
      <c r="BMA66" s="610"/>
      <c r="BMB66" s="610"/>
      <c r="BMC66" s="610"/>
      <c r="BMD66" s="610"/>
      <c r="BME66" s="610"/>
      <c r="BMF66" s="610"/>
      <c r="BMG66" s="610"/>
      <c r="BMH66" s="610"/>
      <c r="BMI66" s="610"/>
      <c r="BMJ66" s="610"/>
      <c r="BMK66" s="610"/>
      <c r="BML66" s="610"/>
      <c r="BMM66" s="610"/>
      <c r="BMN66" s="610"/>
      <c r="BMO66" s="610"/>
      <c r="BMP66" s="610"/>
      <c r="BMQ66" s="610"/>
      <c r="BMR66" s="610"/>
      <c r="BMS66" s="610"/>
      <c r="BMT66" s="610"/>
      <c r="BMU66" s="610"/>
      <c r="BMV66" s="610"/>
      <c r="BMW66" s="610"/>
      <c r="BMX66" s="610"/>
      <c r="BMY66" s="610"/>
      <c r="BMZ66" s="610"/>
      <c r="BNA66" s="610"/>
      <c r="BNB66" s="610"/>
      <c r="BNC66" s="610"/>
      <c r="BND66" s="610"/>
      <c r="BNE66" s="610"/>
      <c r="BNF66" s="610"/>
      <c r="BNG66" s="610"/>
      <c r="BNH66" s="610"/>
      <c r="BNI66" s="610"/>
      <c r="BNJ66" s="610"/>
      <c r="BNK66" s="610"/>
      <c r="BNL66" s="610"/>
      <c r="BNM66" s="610"/>
      <c r="BNN66" s="610"/>
      <c r="BNO66" s="610"/>
      <c r="BNP66" s="610"/>
      <c r="BNQ66" s="610"/>
      <c r="BNR66" s="610"/>
      <c r="BNS66" s="610"/>
      <c r="BNT66" s="610"/>
      <c r="BNU66" s="610"/>
      <c r="BNV66" s="610"/>
      <c r="BNW66" s="610"/>
      <c r="BNX66" s="610"/>
      <c r="BNY66" s="610"/>
      <c r="BNZ66" s="610"/>
      <c r="BOA66" s="610"/>
      <c r="BOB66" s="610"/>
      <c r="BOC66" s="610"/>
      <c r="BOD66" s="610"/>
      <c r="BOE66" s="610"/>
      <c r="BOF66" s="610"/>
      <c r="BOG66" s="610"/>
      <c r="BOH66" s="610"/>
      <c r="BOI66" s="610"/>
      <c r="BOJ66" s="610"/>
      <c r="BOK66" s="610"/>
      <c r="BOL66" s="610"/>
      <c r="BOM66" s="610"/>
      <c r="BON66" s="610"/>
      <c r="BOO66" s="610"/>
      <c r="BOP66" s="610"/>
      <c r="BOQ66" s="610"/>
      <c r="BOR66" s="610"/>
      <c r="BOS66" s="610"/>
      <c r="BOT66" s="610"/>
      <c r="BOU66" s="610"/>
      <c r="BOV66" s="610"/>
      <c r="BOW66" s="610"/>
      <c r="BOX66" s="610"/>
      <c r="BOY66" s="610"/>
      <c r="BOZ66" s="610"/>
      <c r="BPA66" s="610"/>
      <c r="BPB66" s="610"/>
      <c r="BPC66" s="610"/>
      <c r="BPD66" s="610"/>
      <c r="BPE66" s="610"/>
      <c r="BPF66" s="610"/>
      <c r="BPG66" s="610"/>
      <c r="BPH66" s="610"/>
      <c r="BPI66" s="610"/>
      <c r="BPJ66" s="610"/>
      <c r="BPK66" s="610"/>
      <c r="BPL66" s="610"/>
      <c r="BPM66" s="610"/>
      <c r="BPN66" s="610"/>
      <c r="BPO66" s="610"/>
      <c r="BPP66" s="610"/>
      <c r="BPQ66" s="610"/>
      <c r="BPR66" s="610"/>
      <c r="BPS66" s="610"/>
      <c r="BPT66" s="610"/>
      <c r="BPU66" s="610"/>
      <c r="BPV66" s="610"/>
      <c r="BPW66" s="610"/>
      <c r="BPX66" s="610"/>
      <c r="BPY66" s="610"/>
      <c r="BPZ66" s="610"/>
      <c r="BQA66" s="610"/>
      <c r="BQB66" s="610"/>
      <c r="BQC66" s="610"/>
      <c r="BQD66" s="610"/>
      <c r="BQE66" s="610"/>
      <c r="BQF66" s="610"/>
      <c r="BQG66" s="610"/>
      <c r="BQH66" s="610"/>
      <c r="BQI66" s="610"/>
      <c r="BQJ66" s="610"/>
      <c r="BQK66" s="610"/>
      <c r="BQL66" s="610"/>
      <c r="BQM66" s="610"/>
      <c r="BQN66" s="610"/>
      <c r="BQO66" s="610"/>
      <c r="BQP66" s="610"/>
      <c r="BQQ66" s="610"/>
      <c r="BQR66" s="610"/>
      <c r="BQS66" s="610"/>
      <c r="BQT66" s="610"/>
      <c r="BQU66" s="610"/>
      <c r="BQV66" s="610"/>
      <c r="BQW66" s="610"/>
      <c r="BQX66" s="610"/>
      <c r="BQY66" s="610"/>
      <c r="BQZ66" s="610"/>
      <c r="BRA66" s="610"/>
      <c r="BRB66" s="610"/>
      <c r="BRC66" s="610"/>
      <c r="BRD66" s="610"/>
      <c r="BRE66" s="610"/>
      <c r="BRF66" s="610"/>
      <c r="BRG66" s="610"/>
      <c r="BRH66" s="610"/>
      <c r="BRI66" s="610"/>
      <c r="BRJ66" s="610"/>
      <c r="BRK66" s="610"/>
      <c r="BRL66" s="610"/>
      <c r="BRM66" s="610"/>
      <c r="BRN66" s="610"/>
      <c r="BRO66" s="610"/>
      <c r="BRP66" s="610"/>
      <c r="BRQ66" s="610"/>
      <c r="BRR66" s="610"/>
      <c r="BRS66" s="610"/>
      <c r="BRT66" s="610"/>
      <c r="BRU66" s="610"/>
      <c r="BRV66" s="610"/>
      <c r="BRW66" s="610"/>
      <c r="BRX66" s="610"/>
      <c r="BRY66" s="610"/>
      <c r="BRZ66" s="610"/>
      <c r="BSA66" s="610"/>
      <c r="BSB66" s="610"/>
      <c r="BSC66" s="610"/>
      <c r="BSD66" s="610"/>
      <c r="BSE66" s="610"/>
      <c r="BSF66" s="610"/>
      <c r="BSG66" s="610"/>
      <c r="BSH66" s="610"/>
      <c r="BSI66" s="610"/>
      <c r="BSJ66" s="610"/>
      <c r="BSK66" s="610"/>
      <c r="BSL66" s="610"/>
      <c r="BSM66" s="610"/>
      <c r="BSN66" s="610"/>
      <c r="BSO66" s="610"/>
      <c r="BSP66" s="610"/>
      <c r="BSQ66" s="610"/>
      <c r="BSR66" s="610"/>
      <c r="BSS66" s="610"/>
      <c r="BST66" s="610"/>
      <c r="BSU66" s="610"/>
      <c r="BSV66" s="610"/>
      <c r="BSW66" s="610"/>
      <c r="BSX66" s="610"/>
      <c r="BSY66" s="610"/>
      <c r="BSZ66" s="610"/>
      <c r="BTA66" s="610"/>
      <c r="BTB66" s="610"/>
      <c r="BTC66" s="610"/>
      <c r="BTD66" s="610"/>
      <c r="BTE66" s="610"/>
      <c r="BTF66" s="610"/>
      <c r="BTG66" s="610"/>
      <c r="BTH66" s="610"/>
      <c r="BTI66" s="610"/>
      <c r="BTJ66" s="610"/>
      <c r="BTK66" s="610"/>
      <c r="BTL66" s="610"/>
      <c r="BTM66" s="610"/>
      <c r="BTN66" s="610"/>
      <c r="BTO66" s="610"/>
      <c r="BTP66" s="610"/>
      <c r="BTQ66" s="610"/>
      <c r="BTR66" s="610"/>
      <c r="BTS66" s="610"/>
      <c r="BTT66" s="610"/>
      <c r="BTU66" s="610"/>
      <c r="BTV66" s="610"/>
      <c r="BTW66" s="610"/>
      <c r="BTX66" s="610"/>
      <c r="BTY66" s="610"/>
      <c r="BTZ66" s="610"/>
      <c r="BUA66" s="610"/>
      <c r="BUB66" s="610"/>
      <c r="BUC66" s="610"/>
      <c r="BUD66" s="610"/>
      <c r="BUE66" s="610"/>
      <c r="BUF66" s="610"/>
      <c r="BUG66" s="610"/>
      <c r="BUH66" s="610"/>
      <c r="BUI66" s="610"/>
      <c r="BUJ66" s="610"/>
      <c r="BUK66" s="610"/>
      <c r="BUL66" s="610"/>
      <c r="BUM66" s="610"/>
      <c r="BUN66" s="610"/>
      <c r="BUO66" s="610"/>
      <c r="BUP66" s="610"/>
      <c r="BUQ66" s="610"/>
      <c r="BUR66" s="610"/>
      <c r="BUS66" s="610"/>
      <c r="BUT66" s="610"/>
      <c r="BUU66" s="610"/>
      <c r="BUV66" s="610"/>
      <c r="BUW66" s="610"/>
      <c r="BUX66" s="610"/>
      <c r="BUY66" s="610"/>
      <c r="BUZ66" s="610"/>
      <c r="BVA66" s="610"/>
      <c r="BVB66" s="610"/>
      <c r="BVC66" s="610"/>
      <c r="BVD66" s="610"/>
      <c r="BVE66" s="610"/>
      <c r="BVF66" s="610"/>
      <c r="BVG66" s="610"/>
      <c r="BVH66" s="610"/>
      <c r="BVI66" s="610"/>
      <c r="BVJ66" s="610"/>
      <c r="BVK66" s="610"/>
      <c r="BVL66" s="610"/>
      <c r="BVM66" s="610"/>
      <c r="BVN66" s="610"/>
      <c r="BVO66" s="610"/>
      <c r="BVP66" s="610"/>
      <c r="BVQ66" s="610"/>
      <c r="BVR66" s="610"/>
      <c r="BVS66" s="610"/>
      <c r="BVT66" s="610"/>
      <c r="BVU66" s="610"/>
      <c r="BVV66" s="610"/>
      <c r="BVW66" s="610"/>
      <c r="BVX66" s="610"/>
      <c r="BVY66" s="610"/>
      <c r="BVZ66" s="610"/>
      <c r="BWA66" s="610"/>
      <c r="BWB66" s="610"/>
      <c r="BWC66" s="610"/>
      <c r="BWD66" s="610"/>
      <c r="BWE66" s="610"/>
      <c r="BWF66" s="610"/>
      <c r="BWG66" s="610"/>
      <c r="BWH66" s="610"/>
      <c r="BWI66" s="610"/>
      <c r="BWJ66" s="610"/>
      <c r="BWK66" s="610"/>
      <c r="BWL66" s="610"/>
      <c r="BWM66" s="610"/>
      <c r="BWN66" s="610"/>
      <c r="BWO66" s="610"/>
      <c r="BWP66" s="610"/>
      <c r="BWQ66" s="610"/>
      <c r="BWR66" s="610"/>
      <c r="BWS66" s="610"/>
      <c r="BWT66" s="610"/>
      <c r="BWU66" s="610"/>
      <c r="BWV66" s="610"/>
      <c r="BWW66" s="610"/>
      <c r="BWX66" s="610"/>
      <c r="BWY66" s="610"/>
      <c r="BWZ66" s="610"/>
      <c r="BXA66" s="610"/>
      <c r="BXB66" s="610"/>
      <c r="BXC66" s="610"/>
      <c r="BXD66" s="610"/>
      <c r="BXE66" s="610"/>
      <c r="BXF66" s="610"/>
      <c r="BXG66" s="610"/>
      <c r="BXH66" s="610"/>
      <c r="BXI66" s="610"/>
      <c r="BXJ66" s="610"/>
      <c r="BXK66" s="610"/>
      <c r="BXL66" s="610"/>
      <c r="BXM66" s="610"/>
      <c r="BXN66" s="610"/>
      <c r="BXO66" s="610"/>
      <c r="BXP66" s="610"/>
      <c r="BXQ66" s="610"/>
      <c r="BXR66" s="610"/>
      <c r="BXS66" s="610"/>
      <c r="BXT66" s="610"/>
      <c r="BXU66" s="610"/>
      <c r="BXV66" s="610"/>
      <c r="BXW66" s="610"/>
      <c r="BXX66" s="610"/>
      <c r="BXY66" s="610"/>
      <c r="BXZ66" s="610"/>
      <c r="BYA66" s="610"/>
      <c r="BYB66" s="610"/>
      <c r="BYC66" s="610"/>
      <c r="BYD66" s="610"/>
      <c r="BYE66" s="610"/>
      <c r="BYF66" s="610"/>
      <c r="BYG66" s="610"/>
      <c r="BYH66" s="610"/>
      <c r="BYI66" s="610"/>
      <c r="BYJ66" s="610"/>
      <c r="BYK66" s="610"/>
      <c r="BYL66" s="610"/>
      <c r="BYM66" s="610"/>
      <c r="BYN66" s="610"/>
      <c r="BYO66" s="610"/>
      <c r="BYP66" s="610"/>
      <c r="BYQ66" s="610"/>
      <c r="BYR66" s="610"/>
      <c r="BYS66" s="610"/>
      <c r="BYT66" s="610"/>
      <c r="BYU66" s="610"/>
      <c r="BYV66" s="610"/>
      <c r="BYW66" s="610"/>
      <c r="BYX66" s="610"/>
      <c r="BYY66" s="610"/>
      <c r="BYZ66" s="610"/>
      <c r="BZA66" s="610"/>
      <c r="BZB66" s="610"/>
      <c r="BZC66" s="610"/>
      <c r="BZD66" s="610"/>
      <c r="BZE66" s="610"/>
      <c r="BZF66" s="610"/>
      <c r="BZG66" s="610"/>
      <c r="BZH66" s="610"/>
      <c r="BZI66" s="610"/>
      <c r="BZJ66" s="610"/>
      <c r="BZK66" s="610"/>
      <c r="BZL66" s="610"/>
      <c r="BZM66" s="610"/>
      <c r="BZN66" s="610"/>
      <c r="BZO66" s="610"/>
      <c r="BZP66" s="610"/>
      <c r="BZQ66" s="610"/>
      <c r="BZR66" s="610"/>
      <c r="BZS66" s="610"/>
      <c r="BZT66" s="610"/>
      <c r="BZU66" s="610"/>
      <c r="BZV66" s="610"/>
      <c r="BZW66" s="610"/>
      <c r="BZX66" s="610"/>
      <c r="BZY66" s="610"/>
      <c r="BZZ66" s="610"/>
      <c r="CAA66" s="610"/>
      <c r="CAB66" s="610"/>
      <c r="CAC66" s="610"/>
      <c r="CAD66" s="610"/>
      <c r="CAE66" s="610"/>
      <c r="CAF66" s="610"/>
      <c r="CAG66" s="610"/>
      <c r="CAH66" s="610"/>
      <c r="CAI66" s="610"/>
      <c r="CAJ66" s="610"/>
      <c r="CAK66" s="610"/>
      <c r="CAL66" s="610"/>
      <c r="CAM66" s="610"/>
      <c r="CAN66" s="610"/>
      <c r="CAO66" s="610"/>
      <c r="CAP66" s="610"/>
      <c r="CAQ66" s="610"/>
      <c r="CAR66" s="610"/>
      <c r="CAS66" s="610"/>
      <c r="CAT66" s="610"/>
      <c r="CAU66" s="610"/>
      <c r="CAV66" s="610"/>
      <c r="CAW66" s="610"/>
      <c r="CAX66" s="610"/>
      <c r="CAY66" s="610"/>
      <c r="CAZ66" s="610"/>
      <c r="CBA66" s="610"/>
      <c r="CBB66" s="610"/>
      <c r="CBC66" s="610"/>
      <c r="CBD66" s="610"/>
      <c r="CBE66" s="610"/>
      <c r="CBF66" s="610"/>
      <c r="CBG66" s="610"/>
      <c r="CBH66" s="610"/>
      <c r="CBI66" s="610"/>
      <c r="CBJ66" s="610"/>
      <c r="CBK66" s="610"/>
      <c r="CBL66" s="610"/>
      <c r="CBM66" s="610"/>
      <c r="CBN66" s="610"/>
      <c r="CBO66" s="610"/>
      <c r="CBP66" s="610"/>
      <c r="CBQ66" s="610"/>
      <c r="CBR66" s="610"/>
      <c r="CBS66" s="610"/>
      <c r="CBT66" s="610"/>
      <c r="CBU66" s="610"/>
      <c r="CBV66" s="610"/>
      <c r="CBW66" s="610"/>
      <c r="CBX66" s="610"/>
      <c r="CBY66" s="610"/>
      <c r="CBZ66" s="610"/>
      <c r="CCA66" s="610"/>
      <c r="CCB66" s="610"/>
      <c r="CCC66" s="610"/>
      <c r="CCD66" s="610"/>
      <c r="CCE66" s="610"/>
      <c r="CCF66" s="610"/>
      <c r="CCG66" s="610"/>
      <c r="CCH66" s="610"/>
      <c r="CCI66" s="610"/>
      <c r="CCJ66" s="610"/>
      <c r="CCK66" s="610"/>
      <c r="CCL66" s="610"/>
      <c r="CCM66" s="610"/>
      <c r="CCN66" s="610"/>
      <c r="CCO66" s="610"/>
      <c r="CCP66" s="610"/>
      <c r="CCQ66" s="610"/>
      <c r="CCR66" s="610"/>
      <c r="CCS66" s="610"/>
      <c r="CCT66" s="610"/>
      <c r="CCU66" s="610"/>
      <c r="CCV66" s="610"/>
      <c r="CCW66" s="610"/>
      <c r="CCX66" s="610"/>
      <c r="CCY66" s="610"/>
      <c r="CCZ66" s="610"/>
      <c r="CDA66" s="610"/>
      <c r="CDB66" s="610"/>
      <c r="CDC66" s="610"/>
      <c r="CDD66" s="610"/>
      <c r="CDE66" s="610"/>
      <c r="CDF66" s="610"/>
      <c r="CDG66" s="610"/>
      <c r="CDH66" s="610"/>
      <c r="CDI66" s="610"/>
      <c r="CDJ66" s="610"/>
      <c r="CDK66" s="610"/>
      <c r="CDL66" s="610"/>
      <c r="CDM66" s="610"/>
      <c r="CDN66" s="610"/>
      <c r="CDO66" s="610"/>
      <c r="CDP66" s="610"/>
      <c r="CDQ66" s="610"/>
      <c r="CDR66" s="610"/>
      <c r="CDS66" s="610"/>
      <c r="CDT66" s="610"/>
      <c r="CDU66" s="610"/>
      <c r="CDV66" s="610"/>
      <c r="CDW66" s="610"/>
      <c r="CDX66" s="610"/>
      <c r="CDY66" s="610"/>
      <c r="CDZ66" s="610"/>
      <c r="CEA66" s="610"/>
      <c r="CEB66" s="610"/>
      <c r="CEC66" s="610"/>
      <c r="CED66" s="610"/>
      <c r="CEE66" s="610"/>
      <c r="CEF66" s="610"/>
      <c r="CEG66" s="610"/>
      <c r="CEH66" s="610"/>
      <c r="CEI66" s="610"/>
      <c r="CEJ66" s="610"/>
      <c r="CEK66" s="610"/>
      <c r="CEL66" s="610"/>
      <c r="CEM66" s="610"/>
      <c r="CEN66" s="610"/>
      <c r="CEO66" s="610"/>
      <c r="CEP66" s="610"/>
      <c r="CEQ66" s="610"/>
      <c r="CER66" s="610"/>
      <c r="CES66" s="610"/>
      <c r="CET66" s="610"/>
      <c r="CEU66" s="610"/>
      <c r="CEV66" s="610"/>
      <c r="CEW66" s="610"/>
      <c r="CEX66" s="610"/>
      <c r="CEY66" s="610"/>
      <c r="CEZ66" s="610"/>
      <c r="CFA66" s="610"/>
      <c r="CFB66" s="610"/>
      <c r="CFC66" s="610"/>
      <c r="CFD66" s="610"/>
      <c r="CFE66" s="610"/>
      <c r="CFF66" s="610"/>
      <c r="CFG66" s="610"/>
      <c r="CFH66" s="610"/>
      <c r="CFI66" s="610"/>
      <c r="CFJ66" s="610"/>
      <c r="CFK66" s="610"/>
      <c r="CFL66" s="610"/>
      <c r="CFM66" s="610"/>
      <c r="CFN66" s="610"/>
      <c r="CFO66" s="610"/>
      <c r="CFP66" s="610"/>
      <c r="CFQ66" s="610"/>
      <c r="CFR66" s="610"/>
      <c r="CFS66" s="610"/>
      <c r="CFT66" s="610"/>
      <c r="CFU66" s="610"/>
      <c r="CFV66" s="610"/>
      <c r="CFW66" s="610"/>
      <c r="CFX66" s="610"/>
      <c r="CFY66" s="610"/>
      <c r="CFZ66" s="610"/>
      <c r="CGA66" s="610"/>
      <c r="CGB66" s="610"/>
      <c r="CGC66" s="610"/>
      <c r="CGD66" s="610"/>
      <c r="CGE66" s="610"/>
      <c r="CGF66" s="610"/>
      <c r="CGG66" s="610"/>
      <c r="CGH66" s="610"/>
      <c r="CGI66" s="610"/>
      <c r="CGJ66" s="610"/>
      <c r="CGK66" s="610"/>
      <c r="CGL66" s="610"/>
      <c r="CGM66" s="610"/>
      <c r="CGN66" s="610"/>
      <c r="CGO66" s="610"/>
      <c r="CGP66" s="610"/>
      <c r="CGQ66" s="610"/>
      <c r="CGR66" s="610"/>
      <c r="CGS66" s="610"/>
      <c r="CGT66" s="610"/>
      <c r="CGU66" s="610"/>
      <c r="CGV66" s="610"/>
      <c r="CGW66" s="610"/>
      <c r="CGX66" s="610"/>
      <c r="CGY66" s="610"/>
      <c r="CGZ66" s="610"/>
      <c r="CHA66" s="610"/>
      <c r="CHB66" s="610"/>
      <c r="CHC66" s="610"/>
      <c r="CHD66" s="610"/>
      <c r="CHE66" s="610"/>
      <c r="CHF66" s="610"/>
      <c r="CHG66" s="610"/>
      <c r="CHH66" s="610"/>
      <c r="CHI66" s="610"/>
      <c r="CHJ66" s="610"/>
      <c r="CHK66" s="610"/>
      <c r="CHL66" s="610"/>
      <c r="CHM66" s="610"/>
      <c r="CHN66" s="610"/>
      <c r="CHO66" s="610"/>
      <c r="CHP66" s="610"/>
      <c r="CHQ66" s="610"/>
      <c r="CHR66" s="610"/>
      <c r="CHS66" s="610"/>
      <c r="CHT66" s="610"/>
      <c r="CHU66" s="610"/>
      <c r="CHV66" s="610"/>
      <c r="CHW66" s="610"/>
      <c r="CHX66" s="610"/>
      <c r="CHY66" s="610"/>
      <c r="CHZ66" s="610"/>
      <c r="CIA66" s="610"/>
      <c r="CIB66" s="610"/>
      <c r="CIC66" s="610"/>
      <c r="CID66" s="610"/>
      <c r="CIE66" s="610"/>
      <c r="CIF66" s="610"/>
      <c r="CIG66" s="610"/>
      <c r="CIH66" s="610"/>
      <c r="CII66" s="610"/>
      <c r="CIJ66" s="610"/>
      <c r="CIK66" s="610"/>
      <c r="CIL66" s="610"/>
      <c r="CIM66" s="610"/>
      <c r="CIN66" s="610"/>
      <c r="CIO66" s="610"/>
      <c r="CIP66" s="610"/>
      <c r="CIQ66" s="610"/>
      <c r="CIR66" s="610"/>
      <c r="CIS66" s="610"/>
      <c r="CIT66" s="610"/>
      <c r="CIU66" s="610"/>
      <c r="CIV66" s="610"/>
      <c r="CIW66" s="610"/>
      <c r="CIX66" s="610"/>
      <c r="CIY66" s="610"/>
      <c r="CIZ66" s="610"/>
      <c r="CJA66" s="610"/>
      <c r="CJB66" s="610"/>
      <c r="CJC66" s="610"/>
      <c r="CJD66" s="610"/>
      <c r="CJE66" s="610"/>
      <c r="CJF66" s="610"/>
      <c r="CJG66" s="610"/>
      <c r="CJH66" s="610"/>
      <c r="CJI66" s="610"/>
      <c r="CJJ66" s="610"/>
      <c r="CJK66" s="610"/>
      <c r="CJL66" s="610"/>
      <c r="CJM66" s="610"/>
      <c r="CJN66" s="610"/>
      <c r="CJO66" s="610"/>
      <c r="CJP66" s="610"/>
      <c r="CJQ66" s="610"/>
      <c r="CJR66" s="610"/>
      <c r="CJS66" s="610"/>
      <c r="CJT66" s="610"/>
      <c r="CJU66" s="610"/>
      <c r="CJV66" s="610"/>
      <c r="CJW66" s="610"/>
      <c r="CJX66" s="610"/>
      <c r="CJY66" s="610"/>
      <c r="CJZ66" s="610"/>
      <c r="CKA66" s="610"/>
      <c r="CKB66" s="610"/>
      <c r="CKC66" s="610"/>
      <c r="CKD66" s="610"/>
      <c r="CKE66" s="610"/>
      <c r="CKF66" s="610"/>
      <c r="CKG66" s="610"/>
      <c r="CKH66" s="610"/>
      <c r="CKI66" s="610"/>
      <c r="CKJ66" s="610"/>
      <c r="CKK66" s="610"/>
      <c r="CKL66" s="610"/>
      <c r="CKM66" s="610"/>
      <c r="CKN66" s="610"/>
      <c r="CKO66" s="610"/>
      <c r="CKP66" s="610"/>
      <c r="CKQ66" s="610"/>
      <c r="CKR66" s="610"/>
      <c r="CKS66" s="610"/>
      <c r="CKT66" s="610"/>
      <c r="CKU66" s="610"/>
      <c r="CKV66" s="610"/>
      <c r="CKW66" s="610"/>
      <c r="CKX66" s="610"/>
      <c r="CKY66" s="610"/>
      <c r="CKZ66" s="610"/>
      <c r="CLA66" s="610"/>
      <c r="CLB66" s="610"/>
      <c r="CLC66" s="610"/>
      <c r="CLD66" s="610"/>
      <c r="CLE66" s="610"/>
      <c r="CLF66" s="610"/>
      <c r="CLG66" s="610"/>
      <c r="CLH66" s="610"/>
      <c r="CLI66" s="610"/>
      <c r="CLJ66" s="610"/>
      <c r="CLK66" s="610"/>
      <c r="CLL66" s="610"/>
      <c r="CLM66" s="610"/>
      <c r="CLN66" s="610"/>
      <c r="CLO66" s="610"/>
      <c r="CLP66" s="610"/>
      <c r="CLQ66" s="610"/>
      <c r="CLR66" s="610"/>
      <c r="CLS66" s="610"/>
      <c r="CLT66" s="610"/>
      <c r="CLU66" s="610"/>
      <c r="CLV66" s="610"/>
      <c r="CLW66" s="610"/>
      <c r="CLX66" s="610"/>
      <c r="CLY66" s="610"/>
      <c r="CLZ66" s="610"/>
      <c r="CMA66" s="610"/>
      <c r="CMB66" s="610"/>
      <c r="CMC66" s="610"/>
      <c r="CMD66" s="610"/>
      <c r="CME66" s="610"/>
      <c r="CMF66" s="610"/>
      <c r="CMG66" s="610"/>
      <c r="CMH66" s="610"/>
      <c r="CMI66" s="610"/>
      <c r="CMJ66" s="610"/>
      <c r="CMK66" s="610"/>
      <c r="CML66" s="610"/>
      <c r="CMM66" s="610"/>
      <c r="CMN66" s="610"/>
      <c r="CMO66" s="610"/>
      <c r="CMP66" s="610"/>
      <c r="CMQ66" s="610"/>
      <c r="CMR66" s="610"/>
      <c r="CMS66" s="610"/>
      <c r="CMT66" s="610"/>
      <c r="CMU66" s="610"/>
      <c r="CMV66" s="610"/>
      <c r="CMW66" s="610"/>
      <c r="CMX66" s="610"/>
      <c r="CMY66" s="610"/>
      <c r="CMZ66" s="610"/>
      <c r="CNA66" s="610"/>
      <c r="CNB66" s="610"/>
      <c r="CNC66" s="610"/>
      <c r="CND66" s="610"/>
      <c r="CNE66" s="610"/>
      <c r="CNF66" s="610"/>
      <c r="CNG66" s="610"/>
      <c r="CNH66" s="610"/>
      <c r="CNI66" s="610"/>
      <c r="CNJ66" s="610"/>
      <c r="CNK66" s="610"/>
      <c r="CNL66" s="610"/>
      <c r="CNM66" s="610"/>
      <c r="CNN66" s="610"/>
      <c r="CNO66" s="610"/>
      <c r="CNP66" s="610"/>
      <c r="CNQ66" s="610"/>
      <c r="CNR66" s="610"/>
      <c r="CNS66" s="610"/>
      <c r="CNT66" s="610"/>
      <c r="CNU66" s="610"/>
      <c r="CNV66" s="610"/>
      <c r="CNW66" s="610"/>
      <c r="CNX66" s="610"/>
      <c r="CNY66" s="610"/>
      <c r="CNZ66" s="610"/>
      <c r="COA66" s="610"/>
      <c r="COB66" s="610"/>
      <c r="COC66" s="610"/>
      <c r="COD66" s="610"/>
      <c r="COE66" s="610"/>
      <c r="COF66" s="610"/>
      <c r="COG66" s="610"/>
      <c r="COH66" s="610"/>
      <c r="COI66" s="610"/>
      <c r="COJ66" s="610"/>
      <c r="COK66" s="610"/>
      <c r="COL66" s="610"/>
      <c r="COM66" s="610"/>
      <c r="CON66" s="610"/>
      <c r="COO66" s="610"/>
      <c r="COP66" s="610"/>
      <c r="COQ66" s="610"/>
      <c r="COR66" s="610"/>
      <c r="COS66" s="610"/>
      <c r="COT66" s="610"/>
      <c r="COU66" s="610"/>
      <c r="COV66" s="610"/>
      <c r="COW66" s="610"/>
      <c r="COX66" s="610"/>
      <c r="COY66" s="610"/>
      <c r="COZ66" s="610"/>
      <c r="CPA66" s="610"/>
      <c r="CPB66" s="610"/>
      <c r="CPC66" s="610"/>
      <c r="CPD66" s="610"/>
      <c r="CPE66" s="610"/>
      <c r="CPF66" s="610"/>
      <c r="CPG66" s="610"/>
      <c r="CPH66" s="610"/>
      <c r="CPI66" s="610"/>
      <c r="CPJ66" s="610"/>
      <c r="CPK66" s="610"/>
      <c r="CPL66" s="610"/>
      <c r="CPM66" s="610"/>
      <c r="CPN66" s="610"/>
      <c r="CPO66" s="610"/>
      <c r="CPP66" s="610"/>
      <c r="CPQ66" s="610"/>
      <c r="CPR66" s="610"/>
      <c r="CPS66" s="610"/>
      <c r="CPT66" s="610"/>
      <c r="CPU66" s="610"/>
      <c r="CPV66" s="610"/>
      <c r="CPW66" s="610"/>
      <c r="CPX66" s="610"/>
      <c r="CPY66" s="610"/>
      <c r="CPZ66" s="610"/>
      <c r="CQA66" s="610"/>
      <c r="CQB66" s="610"/>
      <c r="CQC66" s="610"/>
      <c r="CQD66" s="610"/>
      <c r="CQE66" s="610"/>
      <c r="CQF66" s="610"/>
      <c r="CQG66" s="610"/>
      <c r="CQH66" s="610"/>
      <c r="CQI66" s="610"/>
      <c r="CQJ66" s="610"/>
      <c r="CQK66" s="610"/>
      <c r="CQL66" s="610"/>
      <c r="CQM66" s="610"/>
      <c r="CQN66" s="610"/>
      <c r="CQO66" s="610"/>
      <c r="CQP66" s="610"/>
      <c r="CQQ66" s="610"/>
      <c r="CQR66" s="610"/>
      <c r="CQS66" s="610"/>
      <c r="CQT66" s="610"/>
      <c r="CQU66" s="610"/>
      <c r="CQV66" s="610"/>
      <c r="CQW66" s="610"/>
      <c r="CQX66" s="610"/>
      <c r="CQY66" s="610"/>
      <c r="CQZ66" s="610"/>
      <c r="CRA66" s="610"/>
      <c r="CRB66" s="610"/>
      <c r="CRC66" s="610"/>
      <c r="CRD66" s="610"/>
      <c r="CRE66" s="610"/>
      <c r="CRF66" s="610"/>
      <c r="CRG66" s="610"/>
      <c r="CRH66" s="610"/>
      <c r="CRI66" s="610"/>
      <c r="CRJ66" s="610"/>
      <c r="CRK66" s="610"/>
      <c r="CRL66" s="610"/>
      <c r="CRM66" s="610"/>
      <c r="CRN66" s="610"/>
      <c r="CRO66" s="610"/>
      <c r="CRP66" s="610"/>
      <c r="CRQ66" s="610"/>
      <c r="CRR66" s="610"/>
      <c r="CRS66" s="610"/>
      <c r="CRT66" s="610"/>
      <c r="CRU66" s="610"/>
      <c r="CRV66" s="610"/>
      <c r="CRW66" s="610"/>
      <c r="CRX66" s="610"/>
      <c r="CRY66" s="610"/>
      <c r="CRZ66" s="610"/>
      <c r="CSA66" s="610"/>
      <c r="CSB66" s="610"/>
      <c r="CSC66" s="610"/>
      <c r="CSD66" s="610"/>
      <c r="CSE66" s="610"/>
      <c r="CSF66" s="610"/>
      <c r="CSG66" s="610"/>
      <c r="CSH66" s="610"/>
      <c r="CSI66" s="610"/>
      <c r="CSJ66" s="610"/>
      <c r="CSK66" s="610"/>
      <c r="CSL66" s="610"/>
      <c r="CSM66" s="610"/>
      <c r="CSN66" s="610"/>
      <c r="CSO66" s="610"/>
      <c r="CSP66" s="610"/>
      <c r="CSQ66" s="610"/>
      <c r="CSR66" s="610"/>
      <c r="CSS66" s="610"/>
      <c r="CST66" s="610"/>
      <c r="CSU66" s="610"/>
      <c r="CSV66" s="610"/>
      <c r="CSW66" s="610"/>
      <c r="CSX66" s="610"/>
      <c r="CSY66" s="610"/>
      <c r="CSZ66" s="610"/>
      <c r="CTA66" s="610"/>
      <c r="CTB66" s="610"/>
      <c r="CTC66" s="610"/>
      <c r="CTD66" s="610"/>
      <c r="CTE66" s="610"/>
      <c r="CTF66" s="610"/>
      <c r="CTG66" s="610"/>
      <c r="CTH66" s="610"/>
      <c r="CTI66" s="610"/>
      <c r="CTJ66" s="610"/>
      <c r="CTK66" s="610"/>
      <c r="CTL66" s="610"/>
      <c r="CTM66" s="610"/>
      <c r="CTN66" s="610"/>
      <c r="CTO66" s="610"/>
      <c r="CTP66" s="610"/>
      <c r="CTQ66" s="610"/>
      <c r="CTR66" s="610"/>
      <c r="CTS66" s="610"/>
      <c r="CTT66" s="610"/>
      <c r="CTU66" s="610"/>
      <c r="CTV66" s="610"/>
      <c r="CTW66" s="610"/>
      <c r="CTX66" s="610"/>
      <c r="CTY66" s="610"/>
      <c r="CTZ66" s="610"/>
      <c r="CUA66" s="610"/>
      <c r="CUB66" s="610"/>
      <c r="CUC66" s="610"/>
      <c r="CUD66" s="610"/>
      <c r="CUE66" s="610"/>
      <c r="CUF66" s="610"/>
      <c r="CUG66" s="610"/>
      <c r="CUH66" s="610"/>
      <c r="CUI66" s="610"/>
      <c r="CUJ66" s="610"/>
      <c r="CUK66" s="610"/>
      <c r="CUL66" s="610"/>
      <c r="CUM66" s="610"/>
      <c r="CUN66" s="610"/>
      <c r="CUO66" s="610"/>
      <c r="CUP66" s="610"/>
      <c r="CUQ66" s="610"/>
      <c r="CUR66" s="610"/>
      <c r="CUS66" s="610"/>
      <c r="CUT66" s="610"/>
      <c r="CUU66" s="610"/>
      <c r="CUV66" s="610"/>
      <c r="CUW66" s="610"/>
      <c r="CUX66" s="610"/>
      <c r="CUY66" s="610"/>
      <c r="CUZ66" s="610"/>
      <c r="CVA66" s="610"/>
      <c r="CVB66" s="610"/>
      <c r="CVC66" s="610"/>
      <c r="CVD66" s="610"/>
      <c r="CVE66" s="610"/>
      <c r="CVF66" s="610"/>
      <c r="CVG66" s="610"/>
      <c r="CVH66" s="610"/>
      <c r="CVI66" s="610"/>
      <c r="CVJ66" s="610"/>
      <c r="CVK66" s="610"/>
      <c r="CVL66" s="610"/>
      <c r="CVM66" s="610"/>
      <c r="CVN66" s="610"/>
      <c r="CVO66" s="610"/>
      <c r="CVP66" s="610"/>
      <c r="CVQ66" s="610"/>
      <c r="CVR66" s="610"/>
      <c r="CVS66" s="610"/>
      <c r="CVT66" s="610"/>
      <c r="CVU66" s="610"/>
      <c r="CVV66" s="610"/>
      <c r="CVW66" s="610"/>
      <c r="CVX66" s="610"/>
      <c r="CVY66" s="610"/>
      <c r="CVZ66" s="610"/>
      <c r="CWA66" s="610"/>
      <c r="CWB66" s="610"/>
      <c r="CWC66" s="610"/>
      <c r="CWD66" s="610"/>
      <c r="CWE66" s="610"/>
      <c r="CWF66" s="610"/>
      <c r="CWG66" s="610"/>
      <c r="CWH66" s="610"/>
      <c r="CWI66" s="610"/>
      <c r="CWJ66" s="610"/>
      <c r="CWK66" s="610"/>
      <c r="CWL66" s="610"/>
      <c r="CWM66" s="610"/>
      <c r="CWN66" s="610"/>
      <c r="CWO66" s="610"/>
      <c r="CWP66" s="610"/>
      <c r="CWQ66" s="610"/>
      <c r="CWR66" s="610"/>
      <c r="CWS66" s="610"/>
      <c r="CWT66" s="610"/>
      <c r="CWU66" s="610"/>
      <c r="CWV66" s="610"/>
      <c r="CWW66" s="610"/>
      <c r="CWX66" s="610"/>
      <c r="CWY66" s="610"/>
      <c r="CWZ66" s="610"/>
      <c r="CXA66" s="610"/>
      <c r="CXB66" s="610"/>
      <c r="CXC66" s="610"/>
      <c r="CXD66" s="610"/>
      <c r="CXE66" s="610"/>
      <c r="CXF66" s="610"/>
      <c r="CXG66" s="610"/>
      <c r="CXH66" s="610"/>
      <c r="CXI66" s="610"/>
      <c r="CXJ66" s="610"/>
      <c r="CXK66" s="610"/>
      <c r="CXL66" s="610"/>
      <c r="CXM66" s="610"/>
      <c r="CXN66" s="610"/>
      <c r="CXO66" s="610"/>
      <c r="CXP66" s="610"/>
      <c r="CXQ66" s="610"/>
      <c r="CXR66" s="610"/>
      <c r="CXS66" s="610"/>
      <c r="CXT66" s="610"/>
      <c r="CXU66" s="610"/>
      <c r="CXV66" s="610"/>
      <c r="CXW66" s="610"/>
      <c r="CXX66" s="610"/>
      <c r="CXY66" s="610"/>
      <c r="CXZ66" s="610"/>
      <c r="CYA66" s="610"/>
      <c r="CYB66" s="610"/>
      <c r="CYC66" s="610"/>
      <c r="CYD66" s="610"/>
      <c r="CYE66" s="610"/>
      <c r="CYF66" s="610"/>
      <c r="CYG66" s="610"/>
      <c r="CYH66" s="610"/>
      <c r="CYI66" s="610"/>
      <c r="CYJ66" s="610"/>
      <c r="CYK66" s="610"/>
      <c r="CYL66" s="610"/>
      <c r="CYM66" s="610"/>
      <c r="CYN66" s="610"/>
      <c r="CYO66" s="610"/>
      <c r="CYP66" s="610"/>
      <c r="CYQ66" s="610"/>
      <c r="CYR66" s="610"/>
      <c r="CYS66" s="610"/>
      <c r="CYT66" s="610"/>
      <c r="CYU66" s="610"/>
      <c r="CYV66" s="610"/>
      <c r="CYW66" s="610"/>
      <c r="CYX66" s="610"/>
      <c r="CYY66" s="610"/>
      <c r="CYZ66" s="610"/>
      <c r="CZA66" s="610"/>
      <c r="CZB66" s="610"/>
      <c r="CZC66" s="610"/>
      <c r="CZD66" s="610"/>
      <c r="CZE66" s="610"/>
      <c r="CZF66" s="610"/>
      <c r="CZG66" s="610"/>
      <c r="CZH66" s="610"/>
      <c r="CZI66" s="610"/>
      <c r="CZJ66" s="610"/>
      <c r="CZK66" s="610"/>
      <c r="CZL66" s="610"/>
      <c r="CZM66" s="610"/>
      <c r="CZN66" s="610"/>
      <c r="CZO66" s="610"/>
      <c r="CZP66" s="610"/>
      <c r="CZQ66" s="610"/>
      <c r="CZR66" s="610"/>
      <c r="CZS66" s="610"/>
      <c r="CZT66" s="610"/>
      <c r="CZU66" s="610"/>
      <c r="CZV66" s="610"/>
      <c r="CZW66" s="610"/>
      <c r="CZX66" s="610"/>
      <c r="CZY66" s="610"/>
      <c r="CZZ66" s="610"/>
      <c r="DAA66" s="610"/>
      <c r="DAB66" s="610"/>
      <c r="DAC66" s="610"/>
      <c r="DAD66" s="610"/>
      <c r="DAE66" s="610"/>
      <c r="DAF66" s="610"/>
      <c r="DAG66" s="610"/>
      <c r="DAH66" s="610"/>
      <c r="DAI66" s="610"/>
      <c r="DAJ66" s="610"/>
      <c r="DAK66" s="610"/>
      <c r="DAL66" s="610"/>
      <c r="DAM66" s="610"/>
      <c r="DAN66" s="610"/>
      <c r="DAO66" s="610"/>
      <c r="DAP66" s="610"/>
      <c r="DAQ66" s="610"/>
      <c r="DAR66" s="610"/>
      <c r="DAS66" s="610"/>
      <c r="DAT66" s="610"/>
      <c r="DAU66" s="610"/>
      <c r="DAV66" s="610"/>
      <c r="DAW66" s="610"/>
      <c r="DAX66" s="610"/>
      <c r="DAY66" s="610"/>
      <c r="DAZ66" s="610"/>
      <c r="DBA66" s="610"/>
      <c r="DBB66" s="610"/>
      <c r="DBC66" s="610"/>
      <c r="DBD66" s="610"/>
      <c r="DBE66" s="610"/>
      <c r="DBF66" s="610"/>
      <c r="DBG66" s="610"/>
      <c r="DBH66" s="610"/>
      <c r="DBI66" s="610"/>
      <c r="DBJ66" s="610"/>
      <c r="DBK66" s="610"/>
      <c r="DBL66" s="610"/>
      <c r="DBM66" s="610"/>
      <c r="DBN66" s="610"/>
      <c r="DBO66" s="610"/>
      <c r="DBP66" s="610"/>
      <c r="DBQ66" s="610"/>
      <c r="DBR66" s="610"/>
      <c r="DBS66" s="610"/>
      <c r="DBT66" s="610"/>
      <c r="DBU66" s="610"/>
      <c r="DBV66" s="610"/>
      <c r="DBW66" s="610"/>
      <c r="DBX66" s="610"/>
      <c r="DBY66" s="610"/>
      <c r="DBZ66" s="610"/>
      <c r="DCA66" s="610"/>
      <c r="DCB66" s="610"/>
      <c r="DCC66" s="610"/>
      <c r="DCD66" s="610"/>
      <c r="DCE66" s="610"/>
      <c r="DCF66" s="610"/>
      <c r="DCG66" s="610"/>
      <c r="DCH66" s="610"/>
      <c r="DCI66" s="610"/>
      <c r="DCJ66" s="610"/>
      <c r="DCK66" s="610"/>
      <c r="DCL66" s="610"/>
      <c r="DCM66" s="610"/>
      <c r="DCN66" s="610"/>
      <c r="DCO66" s="610"/>
      <c r="DCP66" s="610"/>
      <c r="DCQ66" s="610"/>
      <c r="DCR66" s="610"/>
      <c r="DCS66" s="610"/>
      <c r="DCT66" s="610"/>
      <c r="DCU66" s="610"/>
      <c r="DCV66" s="610"/>
      <c r="DCW66" s="610"/>
      <c r="DCX66" s="610"/>
      <c r="DCY66" s="610"/>
      <c r="DCZ66" s="610"/>
      <c r="DDA66" s="610"/>
      <c r="DDB66" s="610"/>
      <c r="DDC66" s="610"/>
      <c r="DDD66" s="610"/>
      <c r="DDE66" s="610"/>
      <c r="DDF66" s="610"/>
      <c r="DDG66" s="610"/>
      <c r="DDH66" s="610"/>
      <c r="DDI66" s="610"/>
      <c r="DDJ66" s="610"/>
      <c r="DDK66" s="610"/>
      <c r="DDL66" s="610"/>
      <c r="DDM66" s="610"/>
      <c r="DDN66" s="610"/>
      <c r="DDO66" s="610"/>
      <c r="DDP66" s="610"/>
      <c r="DDQ66" s="610"/>
      <c r="DDR66" s="610"/>
      <c r="DDS66" s="610"/>
      <c r="DDT66" s="610"/>
      <c r="DDU66" s="610"/>
      <c r="DDV66" s="610"/>
      <c r="DDW66" s="610"/>
      <c r="DDX66" s="610"/>
      <c r="DDY66" s="610"/>
      <c r="DDZ66" s="610"/>
      <c r="DEA66" s="610"/>
      <c r="DEB66" s="610"/>
      <c r="DEC66" s="610"/>
      <c r="DED66" s="610"/>
      <c r="DEE66" s="610"/>
      <c r="DEF66" s="610"/>
      <c r="DEG66" s="610"/>
      <c r="DEH66" s="610"/>
      <c r="DEI66" s="610"/>
      <c r="DEJ66" s="610"/>
      <c r="DEK66" s="610"/>
      <c r="DEL66" s="610"/>
      <c r="DEM66" s="610"/>
      <c r="DEN66" s="610"/>
      <c r="DEO66" s="610"/>
      <c r="DEP66" s="610"/>
      <c r="DEQ66" s="610"/>
      <c r="DER66" s="610"/>
      <c r="DES66" s="610"/>
      <c r="DET66" s="610"/>
      <c r="DEU66" s="610"/>
      <c r="DEV66" s="610"/>
      <c r="DEW66" s="610"/>
      <c r="DEX66" s="610"/>
      <c r="DEY66" s="610"/>
      <c r="DEZ66" s="610"/>
      <c r="DFA66" s="610"/>
      <c r="DFB66" s="610"/>
      <c r="DFC66" s="610"/>
      <c r="DFD66" s="610"/>
      <c r="DFE66" s="610"/>
      <c r="DFF66" s="610"/>
      <c r="DFG66" s="610"/>
      <c r="DFH66" s="610"/>
      <c r="DFI66" s="610"/>
      <c r="DFJ66" s="610"/>
      <c r="DFK66" s="610"/>
      <c r="DFL66" s="610"/>
      <c r="DFM66" s="610"/>
      <c r="DFN66" s="610"/>
      <c r="DFO66" s="610"/>
      <c r="DFP66" s="610"/>
      <c r="DFQ66" s="610"/>
      <c r="DFR66" s="610"/>
      <c r="DFS66" s="610"/>
      <c r="DFT66" s="610"/>
      <c r="DFU66" s="610"/>
      <c r="DFV66" s="610"/>
      <c r="DFW66" s="610"/>
      <c r="DFX66" s="610"/>
      <c r="DFY66" s="610"/>
      <c r="DFZ66" s="610"/>
      <c r="DGA66" s="610"/>
      <c r="DGB66" s="610"/>
      <c r="DGC66" s="610"/>
      <c r="DGD66" s="610"/>
      <c r="DGE66" s="610"/>
      <c r="DGF66" s="610"/>
      <c r="DGG66" s="610"/>
      <c r="DGH66" s="610"/>
      <c r="DGI66" s="610"/>
      <c r="DGJ66" s="610"/>
      <c r="DGK66" s="610"/>
      <c r="DGL66" s="610"/>
      <c r="DGM66" s="610"/>
      <c r="DGN66" s="610"/>
      <c r="DGO66" s="610"/>
      <c r="DGP66" s="610"/>
      <c r="DGQ66" s="610"/>
      <c r="DGR66" s="610"/>
      <c r="DGS66" s="610"/>
      <c r="DGT66" s="610"/>
      <c r="DGU66" s="610"/>
      <c r="DGV66" s="610"/>
      <c r="DGW66" s="610"/>
      <c r="DGX66" s="610"/>
      <c r="DGY66" s="610"/>
      <c r="DGZ66" s="610"/>
      <c r="DHA66" s="610"/>
      <c r="DHB66" s="610"/>
      <c r="DHC66" s="610"/>
      <c r="DHD66" s="610"/>
      <c r="DHE66" s="610"/>
      <c r="DHF66" s="610"/>
      <c r="DHG66" s="610"/>
      <c r="DHH66" s="610"/>
      <c r="DHI66" s="610"/>
      <c r="DHJ66" s="610"/>
      <c r="DHK66" s="610"/>
      <c r="DHL66" s="610"/>
      <c r="DHM66" s="610"/>
      <c r="DHN66" s="610"/>
      <c r="DHO66" s="610"/>
      <c r="DHP66" s="610"/>
      <c r="DHQ66" s="610"/>
      <c r="DHR66" s="610"/>
      <c r="DHS66" s="610"/>
      <c r="DHT66" s="610"/>
      <c r="DHU66" s="610"/>
      <c r="DHV66" s="610"/>
      <c r="DHW66" s="610"/>
      <c r="DHX66" s="610"/>
      <c r="DHY66" s="610"/>
      <c r="DHZ66" s="610"/>
      <c r="DIA66" s="610"/>
      <c r="DIB66" s="610"/>
      <c r="DIC66" s="610"/>
      <c r="DID66" s="610"/>
      <c r="DIE66" s="610"/>
      <c r="DIF66" s="610"/>
      <c r="DIG66" s="610"/>
      <c r="DIH66" s="610"/>
      <c r="DII66" s="610"/>
      <c r="DIJ66" s="610"/>
      <c r="DIK66" s="610"/>
      <c r="DIL66" s="610"/>
      <c r="DIM66" s="610"/>
      <c r="DIN66" s="610"/>
      <c r="DIO66" s="610"/>
      <c r="DIP66" s="610"/>
      <c r="DIQ66" s="610"/>
      <c r="DIR66" s="610"/>
      <c r="DIS66" s="610"/>
      <c r="DIT66" s="610"/>
      <c r="DIU66" s="610"/>
      <c r="DIV66" s="610"/>
      <c r="DIW66" s="610"/>
      <c r="DIX66" s="610"/>
      <c r="DIY66" s="610"/>
      <c r="DIZ66" s="610"/>
      <c r="DJA66" s="610"/>
      <c r="DJB66" s="610"/>
      <c r="DJC66" s="610"/>
      <c r="DJD66" s="610"/>
      <c r="DJE66" s="610"/>
      <c r="DJF66" s="610"/>
      <c r="DJG66" s="610"/>
      <c r="DJH66" s="610"/>
      <c r="DJI66" s="610"/>
      <c r="DJJ66" s="610"/>
      <c r="DJK66" s="610"/>
      <c r="DJL66" s="610"/>
      <c r="DJM66" s="610"/>
      <c r="DJN66" s="610"/>
      <c r="DJO66" s="610"/>
      <c r="DJP66" s="610"/>
      <c r="DJQ66" s="610"/>
      <c r="DJR66" s="610"/>
      <c r="DJS66" s="610"/>
      <c r="DJT66" s="610"/>
      <c r="DJU66" s="610"/>
      <c r="DJV66" s="610"/>
      <c r="DJW66" s="610"/>
      <c r="DJX66" s="610"/>
      <c r="DJY66" s="610"/>
      <c r="DJZ66" s="610"/>
      <c r="DKA66" s="610"/>
      <c r="DKB66" s="610"/>
      <c r="DKC66" s="610"/>
      <c r="DKD66" s="610"/>
      <c r="DKE66" s="610"/>
      <c r="DKF66" s="610"/>
      <c r="DKG66" s="610"/>
      <c r="DKH66" s="610"/>
      <c r="DKI66" s="610"/>
      <c r="DKJ66" s="610"/>
      <c r="DKK66" s="610"/>
      <c r="DKL66" s="610"/>
      <c r="DKM66" s="610"/>
      <c r="DKN66" s="610"/>
      <c r="DKO66" s="610"/>
      <c r="DKP66" s="610"/>
      <c r="DKQ66" s="610"/>
      <c r="DKR66" s="610"/>
      <c r="DKS66" s="610"/>
      <c r="DKT66" s="610"/>
      <c r="DKU66" s="610"/>
      <c r="DKV66" s="610"/>
      <c r="DKW66" s="610"/>
      <c r="DKX66" s="610"/>
      <c r="DKY66" s="610"/>
      <c r="DKZ66" s="610"/>
      <c r="DLA66" s="610"/>
      <c r="DLB66" s="610"/>
      <c r="DLC66" s="610"/>
      <c r="DLD66" s="610"/>
      <c r="DLE66" s="610"/>
      <c r="DLF66" s="610"/>
      <c r="DLG66" s="610"/>
      <c r="DLH66" s="610"/>
      <c r="DLI66" s="610"/>
      <c r="DLJ66" s="610"/>
      <c r="DLK66" s="610"/>
      <c r="DLL66" s="610"/>
      <c r="DLM66" s="610"/>
      <c r="DLN66" s="610"/>
      <c r="DLO66" s="610"/>
      <c r="DLP66" s="610"/>
      <c r="DLQ66" s="610"/>
      <c r="DLR66" s="610"/>
      <c r="DLS66" s="610"/>
      <c r="DLT66" s="610"/>
      <c r="DLU66" s="610"/>
      <c r="DLV66" s="610"/>
      <c r="DLW66" s="610"/>
      <c r="DLX66" s="610"/>
      <c r="DLY66" s="610"/>
      <c r="DLZ66" s="610"/>
      <c r="DMA66" s="610"/>
      <c r="DMB66" s="610"/>
      <c r="DMC66" s="610"/>
      <c r="DMD66" s="610"/>
      <c r="DME66" s="610"/>
      <c r="DMF66" s="610"/>
      <c r="DMG66" s="610"/>
      <c r="DMH66" s="610"/>
      <c r="DMI66" s="610"/>
      <c r="DMJ66" s="610"/>
      <c r="DMK66" s="610"/>
      <c r="DML66" s="610"/>
      <c r="DMM66" s="610"/>
      <c r="DMN66" s="610"/>
      <c r="DMO66" s="610"/>
      <c r="DMP66" s="610"/>
      <c r="DMQ66" s="610"/>
      <c r="DMR66" s="610"/>
      <c r="DMS66" s="610"/>
      <c r="DMT66" s="610"/>
      <c r="DMU66" s="610"/>
      <c r="DMV66" s="610"/>
      <c r="DMW66" s="610"/>
      <c r="DMX66" s="610"/>
      <c r="DMY66" s="610"/>
      <c r="DMZ66" s="610"/>
      <c r="DNA66" s="610"/>
      <c r="DNB66" s="610"/>
      <c r="DNC66" s="610"/>
      <c r="DND66" s="610"/>
      <c r="DNE66" s="610"/>
      <c r="DNF66" s="610"/>
      <c r="DNG66" s="610"/>
      <c r="DNH66" s="610"/>
      <c r="DNI66" s="610"/>
      <c r="DNJ66" s="610"/>
      <c r="DNK66" s="610"/>
      <c r="DNL66" s="610"/>
      <c r="DNM66" s="610"/>
      <c r="DNN66" s="610"/>
      <c r="DNO66" s="610"/>
      <c r="DNP66" s="610"/>
      <c r="DNQ66" s="610"/>
      <c r="DNR66" s="610"/>
      <c r="DNS66" s="610"/>
      <c r="DNT66" s="610"/>
      <c r="DNU66" s="610"/>
      <c r="DNV66" s="610"/>
      <c r="DNW66" s="610"/>
      <c r="DNX66" s="610"/>
      <c r="DNY66" s="610"/>
      <c r="DNZ66" s="610"/>
      <c r="DOA66" s="610"/>
      <c r="DOB66" s="610"/>
      <c r="DOC66" s="610"/>
      <c r="DOD66" s="610"/>
      <c r="DOE66" s="610"/>
      <c r="DOF66" s="610"/>
      <c r="DOG66" s="610"/>
      <c r="DOH66" s="610"/>
      <c r="DOI66" s="610"/>
      <c r="DOJ66" s="610"/>
      <c r="DOK66" s="610"/>
      <c r="DOL66" s="610"/>
      <c r="DOM66" s="610"/>
      <c r="DON66" s="610"/>
      <c r="DOO66" s="610"/>
      <c r="DOP66" s="610"/>
      <c r="DOQ66" s="610"/>
      <c r="DOR66" s="610"/>
      <c r="DOS66" s="610"/>
      <c r="DOT66" s="610"/>
      <c r="DOU66" s="610"/>
      <c r="DOV66" s="610"/>
      <c r="DOW66" s="610"/>
      <c r="DOX66" s="610"/>
      <c r="DOY66" s="610"/>
      <c r="DOZ66" s="610"/>
      <c r="DPA66" s="610"/>
      <c r="DPB66" s="610"/>
      <c r="DPC66" s="610"/>
      <c r="DPD66" s="610"/>
      <c r="DPE66" s="610"/>
      <c r="DPF66" s="610"/>
      <c r="DPG66" s="610"/>
      <c r="DPH66" s="610"/>
      <c r="DPI66" s="610"/>
      <c r="DPJ66" s="610"/>
      <c r="DPK66" s="610"/>
      <c r="DPL66" s="610"/>
      <c r="DPM66" s="610"/>
      <c r="DPN66" s="610"/>
      <c r="DPO66" s="610"/>
      <c r="DPP66" s="610"/>
      <c r="DPQ66" s="610"/>
      <c r="DPR66" s="610"/>
      <c r="DPS66" s="610"/>
      <c r="DPT66" s="610"/>
      <c r="DPU66" s="610"/>
      <c r="DPV66" s="610"/>
      <c r="DPW66" s="610"/>
      <c r="DPX66" s="610"/>
      <c r="DPY66" s="610"/>
      <c r="DPZ66" s="610"/>
      <c r="DQA66" s="610"/>
      <c r="DQB66" s="610"/>
      <c r="DQC66" s="610"/>
      <c r="DQD66" s="610"/>
      <c r="DQE66" s="610"/>
      <c r="DQF66" s="610"/>
      <c r="DQG66" s="610"/>
      <c r="DQH66" s="610"/>
      <c r="DQI66" s="610"/>
      <c r="DQJ66" s="610"/>
      <c r="DQK66" s="610"/>
      <c r="DQL66" s="610"/>
      <c r="DQM66" s="610"/>
      <c r="DQN66" s="610"/>
      <c r="DQO66" s="610"/>
      <c r="DQP66" s="610"/>
      <c r="DQQ66" s="610"/>
      <c r="DQR66" s="610"/>
      <c r="DQS66" s="610"/>
      <c r="DQT66" s="610"/>
      <c r="DQU66" s="610"/>
      <c r="DQV66" s="610"/>
      <c r="DQW66" s="610"/>
      <c r="DQX66" s="610"/>
      <c r="DQY66" s="610"/>
      <c r="DQZ66" s="610"/>
      <c r="DRA66" s="610"/>
      <c r="DRB66" s="610"/>
      <c r="DRC66" s="610"/>
      <c r="DRD66" s="610"/>
      <c r="DRE66" s="610"/>
      <c r="DRF66" s="610"/>
      <c r="DRG66" s="610"/>
      <c r="DRH66" s="610"/>
      <c r="DRI66" s="610"/>
      <c r="DRJ66" s="610"/>
      <c r="DRK66" s="610"/>
      <c r="DRL66" s="610"/>
      <c r="DRM66" s="610"/>
      <c r="DRN66" s="610"/>
      <c r="DRO66" s="610"/>
      <c r="DRP66" s="610"/>
      <c r="DRQ66" s="610"/>
      <c r="DRR66" s="610"/>
      <c r="DRS66" s="610"/>
      <c r="DRT66" s="610"/>
      <c r="DRU66" s="610"/>
      <c r="DRV66" s="610"/>
      <c r="DRW66" s="610"/>
      <c r="DRX66" s="610"/>
      <c r="DRY66" s="610"/>
      <c r="DRZ66" s="610"/>
      <c r="DSA66" s="610"/>
      <c r="DSB66" s="610"/>
      <c r="DSC66" s="610"/>
      <c r="DSD66" s="610"/>
      <c r="DSE66" s="610"/>
      <c r="DSF66" s="610"/>
      <c r="DSG66" s="610"/>
      <c r="DSH66" s="610"/>
      <c r="DSI66" s="610"/>
      <c r="DSJ66" s="610"/>
      <c r="DSK66" s="610"/>
      <c r="DSL66" s="610"/>
      <c r="DSM66" s="610"/>
      <c r="DSN66" s="610"/>
      <c r="DSO66" s="610"/>
      <c r="DSP66" s="610"/>
      <c r="DSQ66" s="610"/>
      <c r="DSR66" s="610"/>
      <c r="DSS66" s="610"/>
      <c r="DST66" s="610"/>
      <c r="DSU66" s="610"/>
      <c r="DSV66" s="610"/>
      <c r="DSW66" s="610"/>
      <c r="DSX66" s="610"/>
      <c r="DSY66" s="610"/>
      <c r="DSZ66" s="610"/>
      <c r="DTA66" s="610"/>
      <c r="DTB66" s="610"/>
      <c r="DTC66" s="610"/>
      <c r="DTD66" s="610"/>
      <c r="DTE66" s="610"/>
      <c r="DTF66" s="610"/>
      <c r="DTG66" s="610"/>
      <c r="DTH66" s="610"/>
      <c r="DTI66" s="610"/>
      <c r="DTJ66" s="610"/>
      <c r="DTK66" s="610"/>
      <c r="DTL66" s="610"/>
      <c r="DTM66" s="610"/>
      <c r="DTN66" s="610"/>
      <c r="DTO66" s="610"/>
      <c r="DTP66" s="610"/>
      <c r="DTQ66" s="610"/>
      <c r="DTR66" s="610"/>
      <c r="DTS66" s="610"/>
      <c r="DTT66" s="610"/>
      <c r="DTU66" s="610"/>
      <c r="DTV66" s="610"/>
      <c r="DTW66" s="610"/>
      <c r="DTX66" s="610"/>
      <c r="DTY66" s="610"/>
      <c r="DTZ66" s="610"/>
      <c r="DUA66" s="610"/>
      <c r="DUB66" s="610"/>
      <c r="DUC66" s="610"/>
      <c r="DUD66" s="610"/>
      <c r="DUE66" s="610"/>
      <c r="DUF66" s="610"/>
      <c r="DUG66" s="610"/>
      <c r="DUH66" s="610"/>
      <c r="DUI66" s="610"/>
      <c r="DUJ66" s="610"/>
      <c r="DUK66" s="610"/>
      <c r="DUL66" s="610"/>
      <c r="DUM66" s="610"/>
      <c r="DUN66" s="610"/>
      <c r="DUO66" s="610"/>
      <c r="DUP66" s="610"/>
      <c r="DUQ66" s="610"/>
      <c r="DUR66" s="610"/>
      <c r="DUS66" s="610"/>
      <c r="DUT66" s="610"/>
      <c r="DUU66" s="610"/>
      <c r="DUV66" s="610"/>
      <c r="DUW66" s="610"/>
      <c r="DUX66" s="610"/>
      <c r="DUY66" s="610"/>
      <c r="DUZ66" s="610"/>
      <c r="DVA66" s="610"/>
      <c r="DVB66" s="610"/>
      <c r="DVC66" s="610"/>
      <c r="DVD66" s="610"/>
      <c r="DVE66" s="610"/>
      <c r="DVF66" s="610"/>
      <c r="DVG66" s="610"/>
      <c r="DVH66" s="610"/>
      <c r="DVI66" s="610"/>
      <c r="DVJ66" s="610"/>
      <c r="DVK66" s="610"/>
      <c r="DVL66" s="610"/>
      <c r="DVM66" s="610"/>
      <c r="DVN66" s="610"/>
      <c r="DVO66" s="610"/>
      <c r="DVP66" s="610"/>
      <c r="DVQ66" s="610"/>
      <c r="DVR66" s="610"/>
      <c r="DVS66" s="610"/>
      <c r="DVT66" s="610"/>
      <c r="DVU66" s="610"/>
      <c r="DVV66" s="610"/>
      <c r="DVW66" s="610"/>
      <c r="DVX66" s="610"/>
      <c r="DVY66" s="610"/>
      <c r="DVZ66" s="610"/>
      <c r="DWA66" s="610"/>
      <c r="DWB66" s="610"/>
      <c r="DWC66" s="610"/>
      <c r="DWD66" s="610"/>
      <c r="DWE66" s="610"/>
      <c r="DWF66" s="610"/>
      <c r="DWG66" s="610"/>
      <c r="DWH66" s="610"/>
      <c r="DWI66" s="610"/>
      <c r="DWJ66" s="610"/>
      <c r="DWK66" s="610"/>
      <c r="DWL66" s="610"/>
      <c r="DWM66" s="610"/>
      <c r="DWN66" s="610"/>
      <c r="DWO66" s="610"/>
      <c r="DWP66" s="610"/>
      <c r="DWQ66" s="610"/>
      <c r="DWR66" s="610"/>
      <c r="DWS66" s="610"/>
      <c r="DWT66" s="610"/>
      <c r="DWU66" s="610"/>
      <c r="DWV66" s="610"/>
      <c r="DWW66" s="610"/>
      <c r="DWX66" s="610"/>
      <c r="DWY66" s="610"/>
      <c r="DWZ66" s="610"/>
      <c r="DXA66" s="610"/>
      <c r="DXB66" s="610"/>
      <c r="DXC66" s="610"/>
      <c r="DXD66" s="610"/>
      <c r="DXE66" s="610"/>
      <c r="DXF66" s="610"/>
      <c r="DXG66" s="610"/>
      <c r="DXH66" s="610"/>
      <c r="DXI66" s="610"/>
      <c r="DXJ66" s="610"/>
      <c r="DXK66" s="610"/>
      <c r="DXL66" s="610"/>
      <c r="DXM66" s="610"/>
      <c r="DXN66" s="610"/>
      <c r="DXO66" s="610"/>
      <c r="DXP66" s="610"/>
      <c r="DXQ66" s="610"/>
      <c r="DXR66" s="610"/>
      <c r="DXS66" s="610"/>
      <c r="DXT66" s="610"/>
      <c r="DXU66" s="610"/>
      <c r="DXV66" s="610"/>
      <c r="DXW66" s="610"/>
      <c r="DXX66" s="610"/>
      <c r="DXY66" s="610"/>
      <c r="DXZ66" s="610"/>
      <c r="DYA66" s="610"/>
      <c r="DYB66" s="610"/>
      <c r="DYC66" s="610"/>
      <c r="DYD66" s="610"/>
      <c r="DYE66" s="610"/>
      <c r="DYF66" s="610"/>
      <c r="DYG66" s="610"/>
      <c r="DYH66" s="610"/>
      <c r="DYI66" s="610"/>
      <c r="DYJ66" s="610"/>
      <c r="DYK66" s="610"/>
      <c r="DYL66" s="610"/>
      <c r="DYM66" s="610"/>
      <c r="DYN66" s="610"/>
      <c r="DYO66" s="610"/>
      <c r="DYP66" s="610"/>
      <c r="DYQ66" s="610"/>
      <c r="DYR66" s="610"/>
      <c r="DYS66" s="610"/>
      <c r="DYT66" s="610"/>
      <c r="DYU66" s="610"/>
      <c r="DYV66" s="610"/>
      <c r="DYW66" s="610"/>
      <c r="DYX66" s="610"/>
      <c r="DYY66" s="610"/>
      <c r="DYZ66" s="610"/>
      <c r="DZA66" s="610"/>
      <c r="DZB66" s="610"/>
      <c r="DZC66" s="610"/>
      <c r="DZD66" s="610"/>
      <c r="DZE66" s="610"/>
      <c r="DZF66" s="610"/>
      <c r="DZG66" s="610"/>
      <c r="DZH66" s="610"/>
      <c r="DZI66" s="610"/>
      <c r="DZJ66" s="610"/>
      <c r="DZK66" s="610"/>
      <c r="DZL66" s="610"/>
      <c r="DZM66" s="610"/>
      <c r="DZN66" s="610"/>
      <c r="DZO66" s="610"/>
      <c r="DZP66" s="610"/>
      <c r="DZQ66" s="610"/>
      <c r="DZR66" s="610"/>
      <c r="DZS66" s="610"/>
      <c r="DZT66" s="610"/>
      <c r="DZU66" s="610"/>
      <c r="DZV66" s="610"/>
      <c r="DZW66" s="610"/>
      <c r="DZX66" s="610"/>
      <c r="DZY66" s="610"/>
      <c r="DZZ66" s="610"/>
      <c r="EAA66" s="610"/>
      <c r="EAB66" s="610"/>
      <c r="EAC66" s="610"/>
      <c r="EAD66" s="610"/>
      <c r="EAE66" s="610"/>
      <c r="EAF66" s="610"/>
      <c r="EAG66" s="610"/>
      <c r="EAH66" s="610"/>
      <c r="EAI66" s="610"/>
      <c r="EAJ66" s="610"/>
      <c r="EAK66" s="610"/>
      <c r="EAL66" s="610"/>
      <c r="EAM66" s="610"/>
      <c r="EAN66" s="610"/>
      <c r="EAO66" s="610"/>
      <c r="EAP66" s="610"/>
      <c r="EAQ66" s="610"/>
      <c r="EAR66" s="610"/>
      <c r="EAS66" s="610"/>
      <c r="EAT66" s="610"/>
      <c r="EAU66" s="610"/>
      <c r="EAV66" s="610"/>
      <c r="EAW66" s="610"/>
      <c r="EAX66" s="610"/>
      <c r="EAY66" s="610"/>
      <c r="EAZ66" s="610"/>
      <c r="EBA66" s="610"/>
      <c r="EBB66" s="610"/>
      <c r="EBC66" s="610"/>
      <c r="EBD66" s="610"/>
      <c r="EBE66" s="610"/>
      <c r="EBF66" s="610"/>
      <c r="EBG66" s="610"/>
      <c r="EBH66" s="610"/>
      <c r="EBI66" s="610"/>
      <c r="EBJ66" s="610"/>
      <c r="EBK66" s="610"/>
      <c r="EBL66" s="610"/>
      <c r="EBM66" s="610"/>
      <c r="EBN66" s="610"/>
      <c r="EBO66" s="610"/>
      <c r="EBP66" s="610"/>
      <c r="EBQ66" s="610"/>
      <c r="EBR66" s="610"/>
      <c r="EBS66" s="610"/>
      <c r="EBT66" s="610"/>
      <c r="EBU66" s="610"/>
      <c r="EBV66" s="610"/>
      <c r="EBW66" s="610"/>
      <c r="EBX66" s="610"/>
      <c r="EBY66" s="610"/>
      <c r="EBZ66" s="610"/>
      <c r="ECA66" s="610"/>
      <c r="ECB66" s="610"/>
      <c r="ECC66" s="610"/>
      <c r="ECD66" s="610"/>
      <c r="ECE66" s="610"/>
      <c r="ECF66" s="610"/>
      <c r="ECG66" s="610"/>
      <c r="ECH66" s="610"/>
      <c r="ECI66" s="610"/>
      <c r="ECJ66" s="610"/>
      <c r="ECK66" s="610"/>
      <c r="ECL66" s="610"/>
      <c r="ECM66" s="610"/>
      <c r="ECN66" s="610"/>
      <c r="ECO66" s="610"/>
      <c r="ECP66" s="610"/>
      <c r="ECQ66" s="610"/>
      <c r="ECR66" s="610"/>
      <c r="ECS66" s="610"/>
      <c r="ECT66" s="610"/>
      <c r="ECU66" s="610"/>
      <c r="ECV66" s="610"/>
      <c r="ECW66" s="610"/>
      <c r="ECX66" s="610"/>
      <c r="ECY66" s="610"/>
      <c r="ECZ66" s="610"/>
      <c r="EDA66" s="610"/>
      <c r="EDB66" s="610"/>
      <c r="EDC66" s="610"/>
      <c r="EDD66" s="610"/>
      <c r="EDE66" s="610"/>
      <c r="EDF66" s="610"/>
      <c r="EDG66" s="610"/>
      <c r="EDH66" s="610"/>
      <c r="EDI66" s="610"/>
      <c r="EDJ66" s="610"/>
      <c r="EDK66" s="610"/>
      <c r="EDL66" s="610"/>
      <c r="EDM66" s="610"/>
      <c r="EDN66" s="610"/>
      <c r="EDO66" s="610"/>
      <c r="EDP66" s="610"/>
      <c r="EDQ66" s="610"/>
      <c r="EDR66" s="610"/>
      <c r="EDS66" s="610"/>
      <c r="EDT66" s="610"/>
      <c r="EDU66" s="610"/>
      <c r="EDV66" s="610"/>
      <c r="EDW66" s="610"/>
      <c r="EDX66" s="610"/>
      <c r="EDY66" s="610"/>
      <c r="EDZ66" s="610"/>
      <c r="EEA66" s="610"/>
      <c r="EEB66" s="610"/>
      <c r="EEC66" s="610"/>
      <c r="EED66" s="610"/>
      <c r="EEE66" s="610"/>
      <c r="EEF66" s="610"/>
      <c r="EEG66" s="610"/>
      <c r="EEH66" s="610"/>
      <c r="EEI66" s="610"/>
      <c r="EEJ66" s="610"/>
      <c r="EEK66" s="610"/>
      <c r="EEL66" s="610"/>
      <c r="EEM66" s="610"/>
      <c r="EEN66" s="610"/>
      <c r="EEO66" s="610"/>
      <c r="EEP66" s="610"/>
      <c r="EEQ66" s="610"/>
      <c r="EER66" s="610"/>
      <c r="EES66" s="610"/>
      <c r="EET66" s="610"/>
      <c r="EEU66" s="610"/>
      <c r="EEV66" s="610"/>
      <c r="EEW66" s="610"/>
      <c r="EEX66" s="610"/>
      <c r="EEY66" s="610"/>
      <c r="EEZ66" s="610"/>
      <c r="EFA66" s="610"/>
      <c r="EFB66" s="610"/>
      <c r="EFC66" s="610"/>
      <c r="EFD66" s="610"/>
      <c r="EFE66" s="610"/>
      <c r="EFF66" s="610"/>
      <c r="EFG66" s="610"/>
      <c r="EFH66" s="610"/>
      <c r="EFI66" s="610"/>
      <c r="EFJ66" s="610"/>
      <c r="EFK66" s="610"/>
      <c r="EFL66" s="610"/>
      <c r="EFM66" s="610"/>
      <c r="EFN66" s="610"/>
      <c r="EFO66" s="610"/>
      <c r="EFP66" s="610"/>
      <c r="EFQ66" s="610"/>
      <c r="EFR66" s="610"/>
      <c r="EFS66" s="610"/>
      <c r="EFT66" s="610"/>
      <c r="EFU66" s="610"/>
      <c r="EFV66" s="610"/>
      <c r="EFW66" s="610"/>
      <c r="EFX66" s="610"/>
      <c r="EFY66" s="610"/>
      <c r="EFZ66" s="610"/>
      <c r="EGA66" s="610"/>
      <c r="EGB66" s="610"/>
      <c r="EGC66" s="610"/>
      <c r="EGD66" s="610"/>
      <c r="EGE66" s="610"/>
      <c r="EGF66" s="610"/>
      <c r="EGG66" s="610"/>
      <c r="EGH66" s="610"/>
      <c r="EGI66" s="610"/>
      <c r="EGJ66" s="610"/>
      <c r="EGK66" s="610"/>
      <c r="EGL66" s="610"/>
      <c r="EGM66" s="610"/>
      <c r="EGN66" s="610"/>
      <c r="EGO66" s="610"/>
      <c r="EGP66" s="610"/>
      <c r="EGQ66" s="610"/>
      <c r="EGR66" s="610"/>
      <c r="EGS66" s="610"/>
      <c r="EGT66" s="610"/>
      <c r="EGU66" s="610"/>
      <c r="EGV66" s="610"/>
      <c r="EGW66" s="610"/>
      <c r="EGX66" s="610"/>
      <c r="EGY66" s="610"/>
      <c r="EGZ66" s="610"/>
      <c r="EHA66" s="610"/>
      <c r="EHB66" s="610"/>
      <c r="EHC66" s="610"/>
      <c r="EHD66" s="610"/>
      <c r="EHE66" s="610"/>
      <c r="EHF66" s="610"/>
      <c r="EHG66" s="610"/>
      <c r="EHH66" s="610"/>
      <c r="EHI66" s="610"/>
      <c r="EHJ66" s="610"/>
      <c r="EHK66" s="610"/>
      <c r="EHL66" s="610"/>
      <c r="EHM66" s="610"/>
      <c r="EHN66" s="610"/>
      <c r="EHO66" s="610"/>
      <c r="EHP66" s="610"/>
      <c r="EHQ66" s="610"/>
      <c r="EHR66" s="610"/>
      <c r="EHS66" s="610"/>
      <c r="EHT66" s="610"/>
      <c r="EHU66" s="610"/>
      <c r="EHV66" s="610"/>
      <c r="EHW66" s="610"/>
      <c r="EHX66" s="610"/>
      <c r="EHY66" s="610"/>
      <c r="EHZ66" s="610"/>
      <c r="EIA66" s="610"/>
      <c r="EIB66" s="610"/>
      <c r="EIC66" s="610"/>
      <c r="EID66" s="610"/>
      <c r="EIE66" s="610"/>
      <c r="EIF66" s="610"/>
      <c r="EIG66" s="610"/>
      <c r="EIH66" s="610"/>
      <c r="EII66" s="610"/>
      <c r="EIJ66" s="610"/>
      <c r="EIK66" s="610"/>
      <c r="EIL66" s="610"/>
      <c r="EIM66" s="610"/>
      <c r="EIN66" s="610"/>
      <c r="EIO66" s="610"/>
      <c r="EIP66" s="610"/>
      <c r="EIQ66" s="610"/>
      <c r="EIR66" s="610"/>
      <c r="EIS66" s="610"/>
      <c r="EIT66" s="610"/>
      <c r="EIU66" s="610"/>
      <c r="EIV66" s="610"/>
      <c r="EIW66" s="610"/>
      <c r="EIX66" s="610"/>
      <c r="EIY66" s="610"/>
      <c r="EIZ66" s="610"/>
      <c r="EJA66" s="610"/>
      <c r="EJB66" s="610"/>
      <c r="EJC66" s="610"/>
      <c r="EJD66" s="610"/>
      <c r="EJE66" s="610"/>
      <c r="EJF66" s="610"/>
      <c r="EJG66" s="610"/>
      <c r="EJH66" s="610"/>
      <c r="EJI66" s="610"/>
      <c r="EJJ66" s="610"/>
      <c r="EJK66" s="610"/>
      <c r="EJL66" s="610"/>
      <c r="EJM66" s="610"/>
      <c r="EJN66" s="610"/>
      <c r="EJO66" s="610"/>
      <c r="EJP66" s="610"/>
      <c r="EJQ66" s="610"/>
      <c r="EJR66" s="610"/>
      <c r="EJS66" s="610"/>
      <c r="EJT66" s="610"/>
      <c r="EJU66" s="610"/>
      <c r="EJV66" s="610"/>
      <c r="EJW66" s="610"/>
      <c r="EJX66" s="610"/>
      <c r="EJY66" s="610"/>
      <c r="EJZ66" s="610"/>
      <c r="EKA66" s="610"/>
      <c r="EKB66" s="610"/>
      <c r="EKC66" s="610"/>
      <c r="EKD66" s="610"/>
      <c r="EKE66" s="610"/>
      <c r="EKF66" s="610"/>
      <c r="EKG66" s="610"/>
      <c r="EKH66" s="610"/>
      <c r="EKI66" s="610"/>
      <c r="EKJ66" s="610"/>
      <c r="EKK66" s="610"/>
      <c r="EKL66" s="610"/>
      <c r="EKM66" s="610"/>
      <c r="EKN66" s="610"/>
      <c r="EKO66" s="610"/>
      <c r="EKP66" s="610"/>
      <c r="EKQ66" s="610"/>
      <c r="EKR66" s="610"/>
      <c r="EKS66" s="610"/>
      <c r="EKT66" s="610"/>
      <c r="EKU66" s="610"/>
      <c r="EKV66" s="610"/>
      <c r="EKW66" s="610"/>
      <c r="EKX66" s="610"/>
      <c r="EKY66" s="610"/>
      <c r="EKZ66" s="610"/>
      <c r="ELA66" s="610"/>
      <c r="ELB66" s="610"/>
      <c r="ELC66" s="610"/>
      <c r="ELD66" s="610"/>
      <c r="ELE66" s="610"/>
      <c r="ELF66" s="610"/>
      <c r="ELG66" s="610"/>
      <c r="ELH66" s="610"/>
      <c r="ELI66" s="610"/>
      <c r="ELJ66" s="610"/>
      <c r="ELK66" s="610"/>
      <c r="ELL66" s="610"/>
      <c r="ELM66" s="610"/>
      <c r="ELN66" s="610"/>
      <c r="ELO66" s="610"/>
      <c r="ELP66" s="610"/>
      <c r="ELQ66" s="610"/>
      <c r="ELR66" s="610"/>
      <c r="ELS66" s="610"/>
      <c r="ELT66" s="610"/>
      <c r="ELU66" s="610"/>
      <c r="ELV66" s="610"/>
      <c r="ELW66" s="610"/>
      <c r="ELX66" s="610"/>
      <c r="ELY66" s="610"/>
      <c r="ELZ66" s="610"/>
      <c r="EMA66" s="610"/>
      <c r="EMB66" s="610"/>
      <c r="EMC66" s="610"/>
      <c r="EMD66" s="610"/>
      <c r="EME66" s="610"/>
      <c r="EMF66" s="610"/>
      <c r="EMG66" s="610"/>
      <c r="EMH66" s="610"/>
      <c r="EMI66" s="610"/>
      <c r="EMJ66" s="610"/>
      <c r="EMK66" s="610"/>
      <c r="EML66" s="610"/>
      <c r="EMM66" s="610"/>
      <c r="EMN66" s="610"/>
      <c r="EMO66" s="610"/>
      <c r="EMP66" s="610"/>
      <c r="EMQ66" s="610"/>
      <c r="EMR66" s="610"/>
      <c r="EMS66" s="610"/>
      <c r="EMT66" s="610"/>
      <c r="EMU66" s="610"/>
      <c r="EMV66" s="610"/>
      <c r="EMW66" s="610"/>
      <c r="EMX66" s="610"/>
      <c r="EMY66" s="610"/>
      <c r="EMZ66" s="610"/>
      <c r="ENA66" s="610"/>
      <c r="ENB66" s="610"/>
      <c r="ENC66" s="610"/>
      <c r="END66" s="610"/>
      <c r="ENE66" s="610"/>
      <c r="ENF66" s="610"/>
      <c r="ENG66" s="610"/>
      <c r="ENH66" s="610"/>
      <c r="ENI66" s="610"/>
      <c r="ENJ66" s="610"/>
      <c r="ENK66" s="610"/>
      <c r="ENL66" s="610"/>
      <c r="ENM66" s="610"/>
      <c r="ENN66" s="610"/>
      <c r="ENO66" s="610"/>
      <c r="ENP66" s="610"/>
      <c r="ENQ66" s="610"/>
      <c r="ENR66" s="610"/>
      <c r="ENS66" s="610"/>
      <c r="ENT66" s="610"/>
      <c r="ENU66" s="610"/>
      <c r="ENV66" s="610"/>
      <c r="ENW66" s="610"/>
      <c r="ENX66" s="610"/>
      <c r="ENY66" s="610"/>
      <c r="ENZ66" s="610"/>
      <c r="EOA66" s="610"/>
      <c r="EOB66" s="610"/>
      <c r="EOC66" s="610"/>
      <c r="EOD66" s="610"/>
      <c r="EOE66" s="610"/>
      <c r="EOF66" s="610"/>
      <c r="EOG66" s="610"/>
      <c r="EOH66" s="610"/>
      <c r="EOI66" s="610"/>
      <c r="EOJ66" s="610"/>
      <c r="EOK66" s="610"/>
      <c r="EOL66" s="610"/>
      <c r="EOM66" s="610"/>
      <c r="EON66" s="610"/>
      <c r="EOO66" s="610"/>
      <c r="EOP66" s="610"/>
      <c r="EOQ66" s="610"/>
      <c r="EOR66" s="610"/>
      <c r="EOS66" s="610"/>
      <c r="EOT66" s="610"/>
      <c r="EOU66" s="610"/>
      <c r="EOV66" s="610"/>
      <c r="EOW66" s="610"/>
      <c r="EOX66" s="610"/>
      <c r="EOY66" s="610"/>
      <c r="EOZ66" s="610"/>
      <c r="EPA66" s="610"/>
      <c r="EPB66" s="610"/>
      <c r="EPC66" s="610"/>
      <c r="EPD66" s="610"/>
      <c r="EPE66" s="610"/>
      <c r="EPF66" s="610"/>
      <c r="EPG66" s="610"/>
      <c r="EPH66" s="610"/>
      <c r="EPI66" s="610"/>
      <c r="EPJ66" s="610"/>
      <c r="EPK66" s="610"/>
      <c r="EPL66" s="610"/>
      <c r="EPM66" s="610"/>
      <c r="EPN66" s="610"/>
      <c r="EPO66" s="610"/>
      <c r="EPP66" s="610"/>
      <c r="EPQ66" s="610"/>
      <c r="EPR66" s="610"/>
      <c r="EPS66" s="610"/>
      <c r="EPT66" s="610"/>
      <c r="EPU66" s="610"/>
      <c r="EPV66" s="610"/>
      <c r="EPW66" s="610"/>
      <c r="EPX66" s="610"/>
      <c r="EPY66" s="610"/>
      <c r="EPZ66" s="610"/>
      <c r="EQA66" s="610"/>
      <c r="EQB66" s="610"/>
      <c r="EQC66" s="610"/>
      <c r="EQD66" s="610"/>
      <c r="EQE66" s="610"/>
      <c r="EQF66" s="610"/>
      <c r="EQG66" s="610"/>
      <c r="EQH66" s="610"/>
      <c r="EQI66" s="610"/>
      <c r="EQJ66" s="610"/>
      <c r="EQK66" s="610"/>
      <c r="EQL66" s="610"/>
      <c r="EQM66" s="610"/>
      <c r="EQN66" s="610"/>
      <c r="EQO66" s="610"/>
      <c r="EQP66" s="610"/>
      <c r="EQQ66" s="610"/>
      <c r="EQR66" s="610"/>
      <c r="EQS66" s="610"/>
      <c r="EQT66" s="610"/>
      <c r="EQU66" s="610"/>
      <c r="EQV66" s="610"/>
      <c r="EQW66" s="610"/>
      <c r="EQX66" s="610"/>
      <c r="EQY66" s="610"/>
      <c r="EQZ66" s="610"/>
      <c r="ERA66" s="610"/>
      <c r="ERB66" s="610"/>
      <c r="ERC66" s="610"/>
      <c r="ERD66" s="610"/>
      <c r="ERE66" s="610"/>
      <c r="ERF66" s="610"/>
      <c r="ERG66" s="610"/>
      <c r="ERH66" s="610"/>
      <c r="ERI66" s="610"/>
      <c r="ERJ66" s="610"/>
      <c r="ERK66" s="610"/>
      <c r="ERL66" s="610"/>
      <c r="ERM66" s="610"/>
      <c r="ERN66" s="610"/>
      <c r="ERO66" s="610"/>
      <c r="ERP66" s="610"/>
      <c r="ERQ66" s="610"/>
      <c r="ERR66" s="610"/>
      <c r="ERS66" s="610"/>
      <c r="ERT66" s="610"/>
      <c r="ERU66" s="610"/>
      <c r="ERV66" s="610"/>
      <c r="ERW66" s="610"/>
      <c r="ERX66" s="610"/>
      <c r="ERY66" s="610"/>
      <c r="ERZ66" s="610"/>
      <c r="ESA66" s="610"/>
      <c r="ESB66" s="610"/>
      <c r="ESC66" s="610"/>
      <c r="ESD66" s="610"/>
      <c r="ESE66" s="610"/>
      <c r="ESF66" s="610"/>
      <c r="ESG66" s="610"/>
      <c r="ESH66" s="610"/>
      <c r="ESI66" s="610"/>
      <c r="ESJ66" s="610"/>
      <c r="ESK66" s="610"/>
      <c r="ESL66" s="610"/>
      <c r="ESM66" s="610"/>
      <c r="ESN66" s="610"/>
      <c r="ESO66" s="610"/>
      <c r="ESP66" s="610"/>
      <c r="ESQ66" s="610"/>
      <c r="ESR66" s="610"/>
      <c r="ESS66" s="610"/>
      <c r="EST66" s="610"/>
      <c r="ESU66" s="610"/>
      <c r="ESV66" s="610"/>
      <c r="ESW66" s="610"/>
      <c r="ESX66" s="610"/>
      <c r="ESY66" s="610"/>
      <c r="ESZ66" s="610"/>
      <c r="ETA66" s="610"/>
      <c r="ETB66" s="610"/>
      <c r="ETC66" s="610"/>
      <c r="ETD66" s="610"/>
      <c r="ETE66" s="610"/>
      <c r="ETF66" s="610"/>
      <c r="ETG66" s="610"/>
      <c r="ETH66" s="610"/>
      <c r="ETI66" s="610"/>
      <c r="ETJ66" s="610"/>
      <c r="ETK66" s="610"/>
      <c r="ETL66" s="610"/>
      <c r="ETM66" s="610"/>
      <c r="ETN66" s="610"/>
      <c r="ETO66" s="610"/>
      <c r="ETP66" s="610"/>
      <c r="ETQ66" s="610"/>
      <c r="ETR66" s="610"/>
      <c r="ETS66" s="610"/>
      <c r="ETT66" s="610"/>
      <c r="ETU66" s="610"/>
      <c r="ETV66" s="610"/>
      <c r="ETW66" s="610"/>
      <c r="ETX66" s="610"/>
      <c r="ETY66" s="610"/>
      <c r="ETZ66" s="610"/>
      <c r="EUA66" s="610"/>
      <c r="EUB66" s="610"/>
      <c r="EUC66" s="610"/>
      <c r="EUD66" s="610"/>
      <c r="EUE66" s="610"/>
      <c r="EUF66" s="610"/>
      <c r="EUG66" s="610"/>
      <c r="EUH66" s="610"/>
      <c r="EUI66" s="610"/>
      <c r="EUJ66" s="610"/>
      <c r="EUK66" s="610"/>
      <c r="EUL66" s="610"/>
      <c r="EUM66" s="610"/>
      <c r="EUN66" s="610"/>
      <c r="EUO66" s="610"/>
      <c r="EUP66" s="610"/>
      <c r="EUQ66" s="610"/>
      <c r="EUR66" s="610"/>
      <c r="EUS66" s="610"/>
      <c r="EUT66" s="610"/>
      <c r="EUU66" s="610"/>
      <c r="EUV66" s="610"/>
      <c r="EUW66" s="610"/>
      <c r="EUX66" s="610"/>
      <c r="EUY66" s="610"/>
      <c r="EUZ66" s="610"/>
      <c r="EVA66" s="610"/>
      <c r="EVB66" s="610"/>
      <c r="EVC66" s="610"/>
      <c r="EVD66" s="610"/>
      <c r="EVE66" s="610"/>
      <c r="EVF66" s="610"/>
      <c r="EVG66" s="610"/>
      <c r="EVH66" s="610"/>
      <c r="EVI66" s="610"/>
      <c r="EVJ66" s="610"/>
      <c r="EVK66" s="610"/>
      <c r="EVL66" s="610"/>
      <c r="EVM66" s="610"/>
      <c r="EVN66" s="610"/>
      <c r="EVO66" s="610"/>
      <c r="EVP66" s="610"/>
      <c r="EVQ66" s="610"/>
      <c r="EVR66" s="610"/>
      <c r="EVS66" s="610"/>
      <c r="EVT66" s="610"/>
      <c r="EVU66" s="610"/>
      <c r="EVV66" s="610"/>
      <c r="EVW66" s="610"/>
      <c r="EVX66" s="610"/>
      <c r="EVY66" s="610"/>
      <c r="EVZ66" s="610"/>
      <c r="EWA66" s="610"/>
      <c r="EWB66" s="610"/>
      <c r="EWC66" s="610"/>
      <c r="EWD66" s="610"/>
      <c r="EWE66" s="610"/>
      <c r="EWF66" s="610"/>
      <c r="EWG66" s="610"/>
      <c r="EWH66" s="610"/>
      <c r="EWI66" s="610"/>
      <c r="EWJ66" s="610"/>
      <c r="EWK66" s="610"/>
      <c r="EWL66" s="610"/>
      <c r="EWM66" s="610"/>
      <c r="EWN66" s="610"/>
      <c r="EWO66" s="610"/>
      <c r="EWP66" s="610"/>
      <c r="EWQ66" s="610"/>
      <c r="EWR66" s="610"/>
      <c r="EWS66" s="610"/>
      <c r="EWT66" s="610"/>
      <c r="EWU66" s="610"/>
      <c r="EWV66" s="610"/>
      <c r="EWW66" s="610"/>
      <c r="EWX66" s="610"/>
      <c r="EWY66" s="610"/>
      <c r="EWZ66" s="610"/>
      <c r="EXA66" s="610"/>
      <c r="EXB66" s="610"/>
      <c r="EXC66" s="610"/>
      <c r="EXD66" s="610"/>
      <c r="EXE66" s="610"/>
      <c r="EXF66" s="610"/>
      <c r="EXG66" s="610"/>
      <c r="EXH66" s="610"/>
      <c r="EXI66" s="610"/>
      <c r="EXJ66" s="610"/>
      <c r="EXK66" s="610"/>
      <c r="EXL66" s="610"/>
      <c r="EXM66" s="610"/>
      <c r="EXN66" s="610"/>
      <c r="EXO66" s="610"/>
      <c r="EXP66" s="610"/>
      <c r="EXQ66" s="610"/>
      <c r="EXR66" s="610"/>
      <c r="EXS66" s="610"/>
      <c r="EXT66" s="610"/>
      <c r="EXU66" s="610"/>
      <c r="EXV66" s="610"/>
      <c r="EXW66" s="610"/>
      <c r="EXX66" s="610"/>
      <c r="EXY66" s="610"/>
      <c r="EXZ66" s="610"/>
      <c r="EYA66" s="610"/>
      <c r="EYB66" s="610"/>
      <c r="EYC66" s="610"/>
      <c r="EYD66" s="610"/>
      <c r="EYE66" s="610"/>
      <c r="EYF66" s="610"/>
      <c r="EYG66" s="610"/>
      <c r="EYH66" s="610"/>
      <c r="EYI66" s="610"/>
      <c r="EYJ66" s="610"/>
      <c r="EYK66" s="610"/>
      <c r="EYL66" s="610"/>
      <c r="EYM66" s="610"/>
      <c r="EYN66" s="610"/>
      <c r="EYO66" s="610"/>
      <c r="EYP66" s="610"/>
      <c r="EYQ66" s="610"/>
      <c r="EYR66" s="610"/>
      <c r="EYS66" s="610"/>
      <c r="EYT66" s="610"/>
      <c r="EYU66" s="610"/>
      <c r="EYV66" s="610"/>
      <c r="EYW66" s="610"/>
      <c r="EYX66" s="610"/>
      <c r="EYY66" s="610"/>
      <c r="EYZ66" s="610"/>
      <c r="EZA66" s="610"/>
      <c r="EZB66" s="610"/>
      <c r="EZC66" s="610"/>
      <c r="EZD66" s="610"/>
      <c r="EZE66" s="610"/>
      <c r="EZF66" s="610"/>
      <c r="EZG66" s="610"/>
      <c r="EZH66" s="610"/>
      <c r="EZI66" s="610"/>
      <c r="EZJ66" s="610"/>
      <c r="EZK66" s="610"/>
      <c r="EZL66" s="610"/>
      <c r="EZM66" s="610"/>
      <c r="EZN66" s="610"/>
      <c r="EZO66" s="610"/>
      <c r="EZP66" s="610"/>
      <c r="EZQ66" s="610"/>
      <c r="EZR66" s="610"/>
      <c r="EZS66" s="610"/>
      <c r="EZT66" s="610"/>
      <c r="EZU66" s="610"/>
      <c r="EZV66" s="610"/>
      <c r="EZW66" s="610"/>
      <c r="EZX66" s="610"/>
      <c r="EZY66" s="610"/>
      <c r="EZZ66" s="610"/>
      <c r="FAA66" s="610"/>
      <c r="FAB66" s="610"/>
      <c r="FAC66" s="610"/>
      <c r="FAD66" s="610"/>
      <c r="FAE66" s="610"/>
      <c r="FAF66" s="610"/>
      <c r="FAG66" s="610"/>
      <c r="FAH66" s="610"/>
      <c r="FAI66" s="610"/>
      <c r="FAJ66" s="610"/>
      <c r="FAK66" s="610"/>
      <c r="FAL66" s="610"/>
      <c r="FAM66" s="610"/>
      <c r="FAN66" s="610"/>
      <c r="FAO66" s="610"/>
      <c r="FAP66" s="610"/>
      <c r="FAQ66" s="610"/>
      <c r="FAR66" s="610"/>
      <c r="FAS66" s="610"/>
      <c r="FAT66" s="610"/>
      <c r="FAU66" s="610"/>
      <c r="FAV66" s="610"/>
      <c r="FAW66" s="610"/>
      <c r="FAX66" s="610"/>
      <c r="FAY66" s="610"/>
      <c r="FAZ66" s="610"/>
      <c r="FBA66" s="610"/>
      <c r="FBB66" s="610"/>
      <c r="FBC66" s="610"/>
      <c r="FBD66" s="610"/>
      <c r="FBE66" s="610"/>
      <c r="FBF66" s="610"/>
      <c r="FBG66" s="610"/>
      <c r="FBH66" s="610"/>
      <c r="FBI66" s="610"/>
      <c r="FBJ66" s="610"/>
      <c r="FBK66" s="610"/>
      <c r="FBL66" s="610"/>
      <c r="FBM66" s="610"/>
      <c r="FBN66" s="610"/>
      <c r="FBO66" s="610"/>
      <c r="FBP66" s="610"/>
      <c r="FBQ66" s="610"/>
      <c r="FBR66" s="610"/>
      <c r="FBS66" s="610"/>
      <c r="FBT66" s="610"/>
      <c r="FBU66" s="610"/>
      <c r="FBV66" s="610"/>
      <c r="FBW66" s="610"/>
      <c r="FBX66" s="610"/>
      <c r="FBY66" s="610"/>
      <c r="FBZ66" s="610"/>
      <c r="FCA66" s="610"/>
      <c r="FCB66" s="610"/>
      <c r="FCC66" s="610"/>
      <c r="FCD66" s="610"/>
      <c r="FCE66" s="610"/>
      <c r="FCF66" s="610"/>
      <c r="FCG66" s="610"/>
      <c r="FCH66" s="610"/>
      <c r="FCI66" s="610"/>
      <c r="FCJ66" s="610"/>
      <c r="FCK66" s="610"/>
      <c r="FCL66" s="610"/>
      <c r="FCM66" s="610"/>
      <c r="FCN66" s="610"/>
      <c r="FCO66" s="610"/>
      <c r="FCP66" s="610"/>
      <c r="FCQ66" s="610"/>
      <c r="FCR66" s="610"/>
      <c r="FCS66" s="610"/>
      <c r="FCT66" s="610"/>
      <c r="FCU66" s="610"/>
      <c r="FCV66" s="610"/>
      <c r="FCW66" s="610"/>
      <c r="FCX66" s="610"/>
      <c r="FCY66" s="610"/>
      <c r="FCZ66" s="610"/>
      <c r="FDA66" s="610"/>
      <c r="FDB66" s="610"/>
      <c r="FDC66" s="610"/>
      <c r="FDD66" s="610"/>
      <c r="FDE66" s="610"/>
      <c r="FDF66" s="610"/>
      <c r="FDG66" s="610"/>
      <c r="FDH66" s="610"/>
      <c r="FDI66" s="610"/>
      <c r="FDJ66" s="610"/>
      <c r="FDK66" s="610"/>
      <c r="FDL66" s="610"/>
      <c r="FDM66" s="610"/>
      <c r="FDN66" s="610"/>
      <c r="FDO66" s="610"/>
      <c r="FDP66" s="610"/>
      <c r="FDQ66" s="610"/>
      <c r="FDR66" s="610"/>
      <c r="FDS66" s="610"/>
      <c r="FDT66" s="610"/>
      <c r="FDU66" s="610"/>
      <c r="FDV66" s="610"/>
      <c r="FDW66" s="610"/>
      <c r="FDX66" s="610"/>
      <c r="FDY66" s="610"/>
      <c r="FDZ66" s="610"/>
      <c r="FEA66" s="610"/>
      <c r="FEB66" s="610"/>
      <c r="FEC66" s="610"/>
      <c r="FED66" s="610"/>
      <c r="FEE66" s="610"/>
      <c r="FEF66" s="610"/>
      <c r="FEG66" s="610"/>
      <c r="FEH66" s="610"/>
      <c r="FEI66" s="610"/>
      <c r="FEJ66" s="610"/>
      <c r="FEK66" s="610"/>
      <c r="FEL66" s="610"/>
      <c r="FEM66" s="610"/>
      <c r="FEN66" s="610"/>
      <c r="FEO66" s="610"/>
      <c r="FEP66" s="610"/>
      <c r="FEQ66" s="610"/>
      <c r="FER66" s="610"/>
      <c r="FES66" s="610"/>
      <c r="FET66" s="610"/>
      <c r="FEU66" s="610"/>
      <c r="FEV66" s="610"/>
      <c r="FEW66" s="610"/>
      <c r="FEX66" s="610"/>
      <c r="FEY66" s="610"/>
      <c r="FEZ66" s="610"/>
      <c r="FFA66" s="610"/>
      <c r="FFB66" s="610"/>
      <c r="FFC66" s="610"/>
      <c r="FFD66" s="610"/>
      <c r="FFE66" s="610"/>
      <c r="FFF66" s="610"/>
      <c r="FFG66" s="610"/>
      <c r="FFH66" s="610"/>
      <c r="FFI66" s="610"/>
      <c r="FFJ66" s="610"/>
      <c r="FFK66" s="610"/>
      <c r="FFL66" s="610"/>
      <c r="FFM66" s="610"/>
      <c r="FFN66" s="610"/>
      <c r="FFO66" s="610"/>
      <c r="FFP66" s="610"/>
      <c r="FFQ66" s="610"/>
      <c r="FFR66" s="610"/>
      <c r="FFS66" s="610"/>
      <c r="FFT66" s="610"/>
      <c r="FFU66" s="610"/>
      <c r="FFV66" s="610"/>
      <c r="FFW66" s="610"/>
      <c r="FFX66" s="610"/>
      <c r="FFY66" s="610"/>
      <c r="FFZ66" s="610"/>
      <c r="FGA66" s="610"/>
      <c r="FGB66" s="610"/>
      <c r="FGC66" s="610"/>
      <c r="FGD66" s="610"/>
      <c r="FGE66" s="610"/>
      <c r="FGF66" s="610"/>
      <c r="FGG66" s="610"/>
      <c r="FGH66" s="610"/>
      <c r="FGI66" s="610"/>
      <c r="FGJ66" s="610"/>
      <c r="FGK66" s="610"/>
      <c r="FGL66" s="610"/>
      <c r="FGM66" s="610"/>
      <c r="FGN66" s="610"/>
      <c r="FGO66" s="610"/>
      <c r="FGP66" s="610"/>
      <c r="FGQ66" s="610"/>
      <c r="FGR66" s="610"/>
      <c r="FGS66" s="610"/>
      <c r="FGT66" s="610"/>
      <c r="FGU66" s="610"/>
      <c r="FGV66" s="610"/>
      <c r="FGW66" s="610"/>
      <c r="FGX66" s="610"/>
      <c r="FGY66" s="610"/>
      <c r="FGZ66" s="610"/>
      <c r="FHA66" s="610"/>
      <c r="FHB66" s="610"/>
      <c r="FHC66" s="610"/>
      <c r="FHD66" s="610"/>
      <c r="FHE66" s="610"/>
      <c r="FHF66" s="610"/>
      <c r="FHG66" s="610"/>
      <c r="FHH66" s="610"/>
      <c r="FHI66" s="610"/>
      <c r="FHJ66" s="610"/>
      <c r="FHK66" s="610"/>
      <c r="FHL66" s="610"/>
      <c r="FHM66" s="610"/>
      <c r="FHN66" s="610"/>
      <c r="FHO66" s="610"/>
      <c r="FHP66" s="610"/>
      <c r="FHQ66" s="610"/>
      <c r="FHR66" s="610"/>
      <c r="FHS66" s="610"/>
      <c r="FHT66" s="610"/>
      <c r="FHU66" s="610"/>
      <c r="FHV66" s="610"/>
      <c r="FHW66" s="610"/>
      <c r="FHX66" s="610"/>
      <c r="FHY66" s="610"/>
      <c r="FHZ66" s="610"/>
      <c r="FIA66" s="610"/>
      <c r="FIB66" s="610"/>
      <c r="FIC66" s="610"/>
      <c r="FID66" s="610"/>
      <c r="FIE66" s="610"/>
      <c r="FIF66" s="610"/>
      <c r="FIG66" s="610"/>
      <c r="FIH66" s="610"/>
      <c r="FII66" s="610"/>
      <c r="FIJ66" s="610"/>
      <c r="FIK66" s="610"/>
      <c r="FIL66" s="610"/>
      <c r="FIM66" s="610"/>
      <c r="FIN66" s="610"/>
      <c r="FIO66" s="610"/>
      <c r="FIP66" s="610"/>
      <c r="FIQ66" s="610"/>
      <c r="FIR66" s="610"/>
      <c r="FIS66" s="610"/>
      <c r="FIT66" s="610"/>
      <c r="FIU66" s="610"/>
      <c r="FIV66" s="610"/>
      <c r="FIW66" s="610"/>
      <c r="FIX66" s="610"/>
      <c r="FIY66" s="610"/>
      <c r="FIZ66" s="610"/>
      <c r="FJA66" s="610"/>
      <c r="FJB66" s="610"/>
      <c r="FJC66" s="610"/>
      <c r="FJD66" s="610"/>
      <c r="FJE66" s="610"/>
      <c r="FJF66" s="610"/>
      <c r="FJG66" s="610"/>
      <c r="FJH66" s="610"/>
      <c r="FJI66" s="610"/>
      <c r="FJJ66" s="610"/>
      <c r="FJK66" s="610"/>
      <c r="FJL66" s="610"/>
      <c r="FJM66" s="610"/>
      <c r="FJN66" s="610"/>
      <c r="FJO66" s="610"/>
      <c r="FJP66" s="610"/>
      <c r="FJQ66" s="610"/>
      <c r="FJR66" s="610"/>
      <c r="FJS66" s="610"/>
      <c r="FJT66" s="610"/>
      <c r="FJU66" s="610"/>
      <c r="FJV66" s="610"/>
      <c r="FJW66" s="610"/>
      <c r="FJX66" s="610"/>
      <c r="FJY66" s="610"/>
      <c r="FJZ66" s="610"/>
      <c r="FKA66" s="610"/>
      <c r="FKB66" s="610"/>
      <c r="FKC66" s="610"/>
      <c r="FKD66" s="610"/>
      <c r="FKE66" s="610"/>
      <c r="FKF66" s="610"/>
      <c r="FKG66" s="610"/>
      <c r="FKH66" s="610"/>
      <c r="FKI66" s="610"/>
      <c r="FKJ66" s="610"/>
      <c r="FKK66" s="610"/>
      <c r="FKL66" s="610"/>
      <c r="FKM66" s="610"/>
      <c r="FKN66" s="610"/>
      <c r="FKO66" s="610"/>
      <c r="FKP66" s="610"/>
      <c r="FKQ66" s="610"/>
      <c r="FKR66" s="610"/>
      <c r="FKS66" s="610"/>
      <c r="FKT66" s="610"/>
      <c r="FKU66" s="610"/>
      <c r="FKV66" s="610"/>
      <c r="FKW66" s="610"/>
      <c r="FKX66" s="610"/>
      <c r="FKY66" s="610"/>
      <c r="FKZ66" s="610"/>
      <c r="FLA66" s="610"/>
      <c r="FLB66" s="610"/>
      <c r="FLC66" s="610"/>
      <c r="FLD66" s="610"/>
      <c r="FLE66" s="610"/>
      <c r="FLF66" s="610"/>
      <c r="FLG66" s="610"/>
      <c r="FLH66" s="610"/>
      <c r="FLI66" s="610"/>
      <c r="FLJ66" s="610"/>
      <c r="FLK66" s="610"/>
      <c r="FLL66" s="610"/>
      <c r="FLM66" s="610"/>
      <c r="FLN66" s="610"/>
      <c r="FLO66" s="610"/>
      <c r="FLP66" s="610"/>
      <c r="FLQ66" s="610"/>
      <c r="FLR66" s="610"/>
      <c r="FLS66" s="610"/>
      <c r="FLT66" s="610"/>
      <c r="FLU66" s="610"/>
      <c r="FLV66" s="610"/>
      <c r="FLW66" s="610"/>
      <c r="FLX66" s="610"/>
      <c r="FLY66" s="610"/>
      <c r="FLZ66" s="610"/>
      <c r="FMA66" s="610"/>
      <c r="FMB66" s="610"/>
      <c r="FMC66" s="610"/>
      <c r="FMD66" s="610"/>
      <c r="FME66" s="610"/>
      <c r="FMF66" s="610"/>
      <c r="FMG66" s="610"/>
      <c r="FMH66" s="610"/>
      <c r="FMI66" s="610"/>
      <c r="FMJ66" s="610"/>
      <c r="FMK66" s="610"/>
      <c r="FML66" s="610"/>
      <c r="FMM66" s="610"/>
      <c r="FMN66" s="610"/>
      <c r="FMO66" s="610"/>
      <c r="FMP66" s="610"/>
      <c r="FMQ66" s="610"/>
      <c r="FMR66" s="610"/>
      <c r="FMS66" s="610"/>
      <c r="FMT66" s="610"/>
      <c r="FMU66" s="610"/>
      <c r="FMV66" s="610"/>
      <c r="FMW66" s="610"/>
      <c r="FMX66" s="610"/>
      <c r="FMY66" s="610"/>
      <c r="FMZ66" s="610"/>
      <c r="FNA66" s="610"/>
      <c r="FNB66" s="610"/>
      <c r="FNC66" s="610"/>
      <c r="FND66" s="610"/>
      <c r="FNE66" s="610"/>
      <c r="FNF66" s="610"/>
      <c r="FNG66" s="610"/>
      <c r="FNH66" s="610"/>
      <c r="FNI66" s="610"/>
      <c r="FNJ66" s="610"/>
      <c r="FNK66" s="610"/>
      <c r="FNL66" s="610"/>
      <c r="FNM66" s="610"/>
      <c r="FNN66" s="610"/>
      <c r="FNO66" s="610"/>
      <c r="FNP66" s="610"/>
      <c r="FNQ66" s="610"/>
      <c r="FNR66" s="610"/>
      <c r="FNS66" s="610"/>
      <c r="FNT66" s="610"/>
      <c r="FNU66" s="610"/>
      <c r="FNV66" s="610"/>
      <c r="FNW66" s="610"/>
      <c r="FNX66" s="610"/>
      <c r="FNY66" s="610"/>
      <c r="FNZ66" s="610"/>
      <c r="FOA66" s="610"/>
      <c r="FOB66" s="610"/>
      <c r="FOC66" s="610"/>
      <c r="FOD66" s="610"/>
      <c r="FOE66" s="610"/>
      <c r="FOF66" s="610"/>
      <c r="FOG66" s="610"/>
      <c r="FOH66" s="610"/>
      <c r="FOI66" s="610"/>
      <c r="FOJ66" s="610"/>
      <c r="FOK66" s="610"/>
      <c r="FOL66" s="610"/>
      <c r="FOM66" s="610"/>
      <c r="FON66" s="610"/>
      <c r="FOO66" s="610"/>
      <c r="FOP66" s="610"/>
      <c r="FOQ66" s="610"/>
      <c r="FOR66" s="610"/>
      <c r="FOS66" s="610"/>
      <c r="FOT66" s="610"/>
      <c r="FOU66" s="610"/>
      <c r="FOV66" s="610"/>
      <c r="FOW66" s="610"/>
      <c r="FOX66" s="610"/>
      <c r="FOY66" s="610"/>
      <c r="FOZ66" s="610"/>
      <c r="FPA66" s="610"/>
      <c r="FPB66" s="610"/>
      <c r="FPC66" s="610"/>
      <c r="FPD66" s="610"/>
      <c r="FPE66" s="610"/>
      <c r="FPF66" s="610"/>
      <c r="FPG66" s="610"/>
      <c r="FPH66" s="610"/>
      <c r="FPI66" s="610"/>
      <c r="FPJ66" s="610"/>
      <c r="FPK66" s="610"/>
      <c r="FPL66" s="610"/>
      <c r="FPM66" s="610"/>
      <c r="FPN66" s="610"/>
      <c r="FPO66" s="610"/>
      <c r="FPP66" s="610"/>
      <c r="FPQ66" s="610"/>
      <c r="FPR66" s="610"/>
      <c r="FPS66" s="610"/>
      <c r="FPT66" s="610"/>
      <c r="FPU66" s="610"/>
      <c r="FPV66" s="610"/>
      <c r="FPW66" s="610"/>
      <c r="FPX66" s="610"/>
      <c r="FPY66" s="610"/>
      <c r="FPZ66" s="610"/>
      <c r="FQA66" s="610"/>
      <c r="FQB66" s="610"/>
      <c r="FQC66" s="610"/>
      <c r="FQD66" s="610"/>
      <c r="FQE66" s="610"/>
      <c r="FQF66" s="610"/>
      <c r="FQG66" s="610"/>
      <c r="FQH66" s="610"/>
      <c r="FQI66" s="610"/>
      <c r="FQJ66" s="610"/>
      <c r="FQK66" s="610"/>
      <c r="FQL66" s="610"/>
      <c r="FQM66" s="610"/>
      <c r="FQN66" s="610"/>
      <c r="FQO66" s="610"/>
      <c r="FQP66" s="610"/>
      <c r="FQQ66" s="610"/>
      <c r="FQR66" s="610"/>
      <c r="FQS66" s="610"/>
      <c r="FQT66" s="610"/>
      <c r="FQU66" s="610"/>
      <c r="FQV66" s="610"/>
      <c r="FQW66" s="610"/>
      <c r="FQX66" s="610"/>
      <c r="FQY66" s="610"/>
      <c r="FQZ66" s="610"/>
      <c r="FRA66" s="610"/>
      <c r="FRB66" s="610"/>
      <c r="FRC66" s="610"/>
      <c r="FRD66" s="610"/>
      <c r="FRE66" s="610"/>
      <c r="FRF66" s="610"/>
      <c r="FRG66" s="610"/>
      <c r="FRH66" s="610"/>
      <c r="FRI66" s="610"/>
      <c r="FRJ66" s="610"/>
      <c r="FRK66" s="610"/>
      <c r="FRL66" s="610"/>
      <c r="FRM66" s="610"/>
      <c r="FRN66" s="610"/>
      <c r="FRO66" s="610"/>
      <c r="FRP66" s="610"/>
      <c r="FRQ66" s="610"/>
      <c r="FRR66" s="610"/>
      <c r="FRS66" s="610"/>
      <c r="FRT66" s="610"/>
      <c r="FRU66" s="610"/>
      <c r="FRV66" s="610"/>
      <c r="FRW66" s="610"/>
      <c r="FRX66" s="610"/>
      <c r="FRY66" s="610"/>
      <c r="FRZ66" s="610"/>
      <c r="FSA66" s="610"/>
      <c r="FSB66" s="610"/>
      <c r="FSC66" s="610"/>
      <c r="FSD66" s="610"/>
      <c r="FSE66" s="610"/>
      <c r="FSF66" s="610"/>
      <c r="FSG66" s="610"/>
      <c r="FSH66" s="610"/>
      <c r="FSI66" s="610"/>
      <c r="FSJ66" s="610"/>
      <c r="FSK66" s="610"/>
      <c r="FSL66" s="610"/>
      <c r="FSM66" s="610"/>
      <c r="FSN66" s="610"/>
      <c r="FSO66" s="610"/>
      <c r="FSP66" s="610"/>
      <c r="FSQ66" s="610"/>
      <c r="FSR66" s="610"/>
      <c r="FSS66" s="610"/>
      <c r="FST66" s="610"/>
      <c r="FSU66" s="610"/>
      <c r="FSV66" s="610"/>
      <c r="FSW66" s="610"/>
      <c r="FSX66" s="610"/>
      <c r="FSY66" s="610"/>
      <c r="FSZ66" s="610"/>
      <c r="FTA66" s="610"/>
      <c r="FTB66" s="610"/>
      <c r="FTC66" s="610"/>
      <c r="FTD66" s="610"/>
      <c r="FTE66" s="610"/>
      <c r="FTF66" s="610"/>
      <c r="FTG66" s="610"/>
      <c r="FTH66" s="610"/>
      <c r="FTI66" s="610"/>
      <c r="FTJ66" s="610"/>
      <c r="FTK66" s="610"/>
      <c r="FTL66" s="610"/>
      <c r="FTM66" s="610"/>
      <c r="FTN66" s="610"/>
      <c r="FTO66" s="610"/>
      <c r="FTP66" s="610"/>
      <c r="FTQ66" s="610"/>
      <c r="FTR66" s="610"/>
      <c r="FTS66" s="610"/>
      <c r="FTT66" s="610"/>
      <c r="FTU66" s="610"/>
      <c r="FTV66" s="610"/>
      <c r="FTW66" s="610"/>
      <c r="FTX66" s="610"/>
      <c r="FTY66" s="610"/>
      <c r="FTZ66" s="610"/>
      <c r="FUA66" s="610"/>
      <c r="FUB66" s="610"/>
      <c r="FUC66" s="610"/>
      <c r="FUD66" s="610"/>
      <c r="FUE66" s="610"/>
      <c r="FUF66" s="610"/>
      <c r="FUG66" s="610"/>
      <c r="FUH66" s="610"/>
      <c r="FUI66" s="610"/>
      <c r="FUJ66" s="610"/>
      <c r="FUK66" s="610"/>
      <c r="FUL66" s="610"/>
      <c r="FUM66" s="610"/>
      <c r="FUN66" s="610"/>
      <c r="FUO66" s="610"/>
      <c r="FUP66" s="610"/>
      <c r="FUQ66" s="610"/>
      <c r="FUR66" s="610"/>
      <c r="FUS66" s="610"/>
      <c r="FUT66" s="610"/>
      <c r="FUU66" s="610"/>
      <c r="FUV66" s="610"/>
      <c r="FUW66" s="610"/>
      <c r="FUX66" s="610"/>
      <c r="FUY66" s="610"/>
      <c r="FUZ66" s="610"/>
      <c r="FVA66" s="610"/>
      <c r="FVB66" s="610"/>
      <c r="FVC66" s="610"/>
      <c r="FVD66" s="610"/>
      <c r="FVE66" s="610"/>
      <c r="FVF66" s="610"/>
      <c r="FVG66" s="610"/>
      <c r="FVH66" s="610"/>
      <c r="FVI66" s="610"/>
      <c r="FVJ66" s="610"/>
      <c r="FVK66" s="610"/>
      <c r="FVL66" s="610"/>
      <c r="FVM66" s="610"/>
      <c r="FVN66" s="610"/>
      <c r="FVO66" s="610"/>
      <c r="FVP66" s="610"/>
      <c r="FVQ66" s="610"/>
      <c r="FVR66" s="610"/>
      <c r="FVS66" s="610"/>
      <c r="FVT66" s="610"/>
      <c r="FVU66" s="610"/>
      <c r="FVV66" s="610"/>
      <c r="FVW66" s="610"/>
      <c r="FVX66" s="610"/>
      <c r="FVY66" s="610"/>
      <c r="FVZ66" s="610"/>
      <c r="FWA66" s="610"/>
      <c r="FWB66" s="610"/>
      <c r="FWC66" s="610"/>
      <c r="FWD66" s="610"/>
      <c r="FWE66" s="610"/>
      <c r="FWF66" s="610"/>
      <c r="FWG66" s="610"/>
      <c r="FWH66" s="610"/>
      <c r="FWI66" s="610"/>
      <c r="FWJ66" s="610"/>
      <c r="FWK66" s="610"/>
      <c r="FWL66" s="610"/>
      <c r="FWM66" s="610"/>
      <c r="FWN66" s="610"/>
      <c r="FWO66" s="610"/>
      <c r="FWP66" s="610"/>
      <c r="FWQ66" s="610"/>
      <c r="FWR66" s="610"/>
      <c r="FWS66" s="610"/>
      <c r="FWT66" s="610"/>
      <c r="FWU66" s="610"/>
      <c r="FWV66" s="610"/>
      <c r="FWW66" s="610"/>
      <c r="FWX66" s="610"/>
      <c r="FWY66" s="610"/>
      <c r="FWZ66" s="610"/>
      <c r="FXA66" s="610"/>
      <c r="FXB66" s="610"/>
      <c r="FXC66" s="610"/>
      <c r="FXD66" s="610"/>
      <c r="FXE66" s="610"/>
      <c r="FXF66" s="610"/>
      <c r="FXG66" s="610"/>
      <c r="FXH66" s="610"/>
      <c r="FXI66" s="610"/>
      <c r="FXJ66" s="610"/>
      <c r="FXK66" s="610"/>
      <c r="FXL66" s="610"/>
      <c r="FXM66" s="610"/>
      <c r="FXN66" s="610"/>
      <c r="FXO66" s="610"/>
      <c r="FXP66" s="610"/>
      <c r="FXQ66" s="610"/>
      <c r="FXR66" s="610"/>
      <c r="FXS66" s="610"/>
      <c r="FXT66" s="610"/>
      <c r="FXU66" s="610"/>
      <c r="FXV66" s="610"/>
      <c r="FXW66" s="610"/>
      <c r="FXX66" s="610"/>
      <c r="FXY66" s="610"/>
      <c r="FXZ66" s="610"/>
      <c r="FYA66" s="610"/>
      <c r="FYB66" s="610"/>
      <c r="FYC66" s="610"/>
      <c r="FYD66" s="610"/>
      <c r="FYE66" s="610"/>
      <c r="FYF66" s="610"/>
      <c r="FYG66" s="610"/>
      <c r="FYH66" s="610"/>
      <c r="FYI66" s="610"/>
      <c r="FYJ66" s="610"/>
      <c r="FYK66" s="610"/>
      <c r="FYL66" s="610"/>
      <c r="FYM66" s="610"/>
      <c r="FYN66" s="610"/>
      <c r="FYO66" s="610"/>
      <c r="FYP66" s="610"/>
      <c r="FYQ66" s="610"/>
      <c r="FYR66" s="610"/>
      <c r="FYS66" s="610"/>
      <c r="FYT66" s="610"/>
      <c r="FYU66" s="610"/>
      <c r="FYV66" s="610"/>
      <c r="FYW66" s="610"/>
      <c r="FYX66" s="610"/>
      <c r="FYY66" s="610"/>
      <c r="FYZ66" s="610"/>
      <c r="FZA66" s="610"/>
      <c r="FZB66" s="610"/>
      <c r="FZC66" s="610"/>
      <c r="FZD66" s="610"/>
      <c r="FZE66" s="610"/>
      <c r="FZF66" s="610"/>
      <c r="FZG66" s="610"/>
      <c r="FZH66" s="610"/>
      <c r="FZI66" s="610"/>
      <c r="FZJ66" s="610"/>
      <c r="FZK66" s="610"/>
      <c r="FZL66" s="610"/>
      <c r="FZM66" s="610"/>
      <c r="FZN66" s="610"/>
      <c r="FZO66" s="610"/>
      <c r="FZP66" s="610"/>
      <c r="FZQ66" s="610"/>
      <c r="FZR66" s="610"/>
      <c r="FZS66" s="610"/>
      <c r="FZT66" s="610"/>
      <c r="FZU66" s="610"/>
      <c r="FZV66" s="610"/>
      <c r="FZW66" s="610"/>
      <c r="FZX66" s="610"/>
      <c r="FZY66" s="610"/>
      <c r="FZZ66" s="610"/>
      <c r="GAA66" s="610"/>
      <c r="GAB66" s="610"/>
      <c r="GAC66" s="610"/>
      <c r="GAD66" s="610"/>
      <c r="GAE66" s="610"/>
      <c r="GAF66" s="610"/>
      <c r="GAG66" s="610"/>
      <c r="GAH66" s="610"/>
      <c r="GAI66" s="610"/>
      <c r="GAJ66" s="610"/>
      <c r="GAK66" s="610"/>
      <c r="GAL66" s="610"/>
      <c r="GAM66" s="610"/>
      <c r="GAN66" s="610"/>
      <c r="GAO66" s="610"/>
      <c r="GAP66" s="610"/>
      <c r="GAQ66" s="610"/>
      <c r="GAR66" s="610"/>
      <c r="GAS66" s="610"/>
      <c r="GAT66" s="610"/>
      <c r="GAU66" s="610"/>
      <c r="GAV66" s="610"/>
      <c r="GAW66" s="610"/>
      <c r="GAX66" s="610"/>
      <c r="GAY66" s="610"/>
      <c r="GAZ66" s="610"/>
      <c r="GBA66" s="610"/>
      <c r="GBB66" s="610"/>
      <c r="GBC66" s="610"/>
      <c r="GBD66" s="610"/>
      <c r="GBE66" s="610"/>
      <c r="GBF66" s="610"/>
      <c r="GBG66" s="610"/>
      <c r="GBH66" s="610"/>
      <c r="GBI66" s="610"/>
      <c r="GBJ66" s="610"/>
      <c r="GBK66" s="610"/>
      <c r="GBL66" s="610"/>
      <c r="GBM66" s="610"/>
      <c r="GBN66" s="610"/>
      <c r="GBO66" s="610"/>
      <c r="GBP66" s="610"/>
      <c r="GBQ66" s="610"/>
      <c r="GBR66" s="610"/>
      <c r="GBS66" s="610"/>
      <c r="GBT66" s="610"/>
      <c r="GBU66" s="610"/>
      <c r="GBV66" s="610"/>
      <c r="GBW66" s="610"/>
      <c r="GBX66" s="610"/>
      <c r="GBY66" s="610"/>
      <c r="GBZ66" s="610"/>
      <c r="GCA66" s="610"/>
      <c r="GCB66" s="610"/>
      <c r="GCC66" s="610"/>
      <c r="GCD66" s="610"/>
      <c r="GCE66" s="610"/>
      <c r="GCF66" s="610"/>
      <c r="GCG66" s="610"/>
      <c r="GCH66" s="610"/>
      <c r="GCI66" s="610"/>
      <c r="GCJ66" s="610"/>
      <c r="GCK66" s="610"/>
      <c r="GCL66" s="610"/>
      <c r="GCM66" s="610"/>
      <c r="GCN66" s="610"/>
      <c r="GCO66" s="610"/>
      <c r="GCP66" s="610"/>
      <c r="GCQ66" s="610"/>
      <c r="GCR66" s="610"/>
      <c r="GCS66" s="610"/>
      <c r="GCT66" s="610"/>
      <c r="GCU66" s="610"/>
      <c r="GCV66" s="610"/>
      <c r="GCW66" s="610"/>
      <c r="GCX66" s="610"/>
      <c r="GCY66" s="610"/>
      <c r="GCZ66" s="610"/>
      <c r="GDA66" s="610"/>
      <c r="GDB66" s="610"/>
      <c r="GDC66" s="610"/>
      <c r="GDD66" s="610"/>
      <c r="GDE66" s="610"/>
      <c r="GDF66" s="610"/>
      <c r="GDG66" s="610"/>
      <c r="GDH66" s="610"/>
      <c r="GDI66" s="610"/>
      <c r="GDJ66" s="610"/>
      <c r="GDK66" s="610"/>
      <c r="GDL66" s="610"/>
      <c r="GDM66" s="610"/>
      <c r="GDN66" s="610"/>
      <c r="GDO66" s="610"/>
      <c r="GDP66" s="610"/>
      <c r="GDQ66" s="610"/>
      <c r="GDR66" s="610"/>
      <c r="GDS66" s="610"/>
      <c r="GDT66" s="610"/>
      <c r="GDU66" s="610"/>
      <c r="GDV66" s="610"/>
      <c r="GDW66" s="610"/>
      <c r="GDX66" s="610"/>
      <c r="GDY66" s="610"/>
      <c r="GDZ66" s="610"/>
      <c r="GEA66" s="610"/>
      <c r="GEB66" s="610"/>
      <c r="GEC66" s="610"/>
      <c r="GED66" s="610"/>
      <c r="GEE66" s="610"/>
      <c r="GEF66" s="610"/>
      <c r="GEG66" s="610"/>
      <c r="GEH66" s="610"/>
      <c r="GEI66" s="610"/>
      <c r="GEJ66" s="610"/>
      <c r="GEK66" s="610"/>
      <c r="GEL66" s="610"/>
      <c r="GEM66" s="610"/>
      <c r="GEN66" s="610"/>
      <c r="GEO66" s="610"/>
      <c r="GEP66" s="610"/>
      <c r="GEQ66" s="610"/>
      <c r="GER66" s="610"/>
      <c r="GES66" s="610"/>
      <c r="GET66" s="610"/>
      <c r="GEU66" s="610"/>
      <c r="GEV66" s="610"/>
      <c r="GEW66" s="610"/>
      <c r="GEX66" s="610"/>
      <c r="GEY66" s="610"/>
      <c r="GEZ66" s="610"/>
      <c r="GFA66" s="610"/>
      <c r="GFB66" s="610"/>
      <c r="GFC66" s="610"/>
      <c r="GFD66" s="610"/>
      <c r="GFE66" s="610"/>
      <c r="GFF66" s="610"/>
      <c r="GFG66" s="610"/>
      <c r="GFH66" s="610"/>
      <c r="GFI66" s="610"/>
      <c r="GFJ66" s="610"/>
      <c r="GFK66" s="610"/>
      <c r="GFL66" s="610"/>
      <c r="GFM66" s="610"/>
      <c r="GFN66" s="610"/>
      <c r="GFO66" s="610"/>
      <c r="GFP66" s="610"/>
      <c r="GFQ66" s="610"/>
      <c r="GFR66" s="610"/>
      <c r="GFS66" s="610"/>
      <c r="GFT66" s="610"/>
      <c r="GFU66" s="610"/>
      <c r="GFV66" s="610"/>
      <c r="GFW66" s="610"/>
      <c r="GFX66" s="610"/>
      <c r="GFY66" s="610"/>
      <c r="GFZ66" s="610"/>
      <c r="GGA66" s="610"/>
      <c r="GGB66" s="610"/>
      <c r="GGC66" s="610"/>
      <c r="GGD66" s="610"/>
      <c r="GGE66" s="610"/>
      <c r="GGF66" s="610"/>
      <c r="GGG66" s="610"/>
      <c r="GGH66" s="610"/>
      <c r="GGI66" s="610"/>
      <c r="GGJ66" s="610"/>
      <c r="GGK66" s="610"/>
      <c r="GGL66" s="610"/>
      <c r="GGM66" s="610"/>
      <c r="GGN66" s="610"/>
      <c r="GGO66" s="610"/>
      <c r="GGP66" s="610"/>
      <c r="GGQ66" s="610"/>
      <c r="GGR66" s="610"/>
      <c r="GGS66" s="610"/>
      <c r="GGT66" s="610"/>
      <c r="GGU66" s="610"/>
      <c r="GGV66" s="610"/>
      <c r="GGW66" s="610"/>
      <c r="GGX66" s="610"/>
      <c r="GGY66" s="610"/>
      <c r="GGZ66" s="610"/>
      <c r="GHA66" s="610"/>
      <c r="GHB66" s="610"/>
      <c r="GHC66" s="610"/>
      <c r="GHD66" s="610"/>
      <c r="GHE66" s="610"/>
      <c r="GHF66" s="610"/>
      <c r="GHG66" s="610"/>
      <c r="GHH66" s="610"/>
      <c r="GHI66" s="610"/>
      <c r="GHJ66" s="610"/>
      <c r="GHK66" s="610"/>
      <c r="GHL66" s="610"/>
      <c r="GHM66" s="610"/>
      <c r="GHN66" s="610"/>
      <c r="GHO66" s="610"/>
      <c r="GHP66" s="610"/>
      <c r="GHQ66" s="610"/>
      <c r="GHR66" s="610"/>
      <c r="GHS66" s="610"/>
      <c r="GHT66" s="610"/>
      <c r="GHU66" s="610"/>
      <c r="GHV66" s="610"/>
      <c r="GHW66" s="610"/>
      <c r="GHX66" s="610"/>
      <c r="GHY66" s="610"/>
      <c r="GHZ66" s="610"/>
      <c r="GIA66" s="610"/>
      <c r="GIB66" s="610"/>
      <c r="GIC66" s="610"/>
      <c r="GID66" s="610"/>
      <c r="GIE66" s="610"/>
      <c r="GIF66" s="610"/>
      <c r="GIG66" s="610"/>
      <c r="GIH66" s="610"/>
      <c r="GII66" s="610"/>
      <c r="GIJ66" s="610"/>
      <c r="GIK66" s="610"/>
      <c r="GIL66" s="610"/>
      <c r="GIM66" s="610"/>
      <c r="GIN66" s="610"/>
      <c r="GIO66" s="610"/>
      <c r="GIP66" s="610"/>
      <c r="GIQ66" s="610"/>
      <c r="GIR66" s="610"/>
      <c r="GIS66" s="610"/>
      <c r="GIT66" s="610"/>
      <c r="GIU66" s="610"/>
      <c r="GIV66" s="610"/>
      <c r="GIW66" s="610"/>
      <c r="GIX66" s="610"/>
      <c r="GIY66" s="610"/>
      <c r="GIZ66" s="610"/>
      <c r="GJA66" s="610"/>
      <c r="GJB66" s="610"/>
      <c r="GJC66" s="610"/>
      <c r="GJD66" s="610"/>
      <c r="GJE66" s="610"/>
      <c r="GJF66" s="610"/>
      <c r="GJG66" s="610"/>
      <c r="GJH66" s="610"/>
      <c r="GJI66" s="610"/>
      <c r="GJJ66" s="610"/>
      <c r="GJK66" s="610"/>
      <c r="GJL66" s="610"/>
      <c r="GJM66" s="610"/>
      <c r="GJN66" s="610"/>
      <c r="GJO66" s="610"/>
      <c r="GJP66" s="610"/>
      <c r="GJQ66" s="610"/>
      <c r="GJR66" s="610"/>
      <c r="GJS66" s="610"/>
      <c r="GJT66" s="610"/>
      <c r="GJU66" s="610"/>
      <c r="GJV66" s="610"/>
      <c r="GJW66" s="610"/>
      <c r="GJX66" s="610"/>
      <c r="GJY66" s="610"/>
      <c r="GJZ66" s="610"/>
      <c r="GKA66" s="610"/>
      <c r="GKB66" s="610"/>
      <c r="GKC66" s="610"/>
      <c r="GKD66" s="610"/>
      <c r="GKE66" s="610"/>
      <c r="GKF66" s="610"/>
      <c r="GKG66" s="610"/>
      <c r="GKH66" s="610"/>
      <c r="GKI66" s="610"/>
      <c r="GKJ66" s="610"/>
      <c r="GKK66" s="610"/>
      <c r="GKL66" s="610"/>
      <c r="GKM66" s="610"/>
      <c r="GKN66" s="610"/>
      <c r="GKO66" s="610"/>
      <c r="GKP66" s="610"/>
      <c r="GKQ66" s="610"/>
      <c r="GKR66" s="610"/>
      <c r="GKS66" s="610"/>
      <c r="GKT66" s="610"/>
      <c r="GKU66" s="610"/>
      <c r="GKV66" s="610"/>
      <c r="GKW66" s="610"/>
      <c r="GKX66" s="610"/>
      <c r="GKY66" s="610"/>
      <c r="GKZ66" s="610"/>
      <c r="GLA66" s="610"/>
      <c r="GLB66" s="610"/>
      <c r="GLC66" s="610"/>
      <c r="GLD66" s="610"/>
      <c r="GLE66" s="610"/>
      <c r="GLF66" s="610"/>
      <c r="GLG66" s="610"/>
      <c r="GLH66" s="610"/>
      <c r="GLI66" s="610"/>
      <c r="GLJ66" s="610"/>
      <c r="GLK66" s="610"/>
      <c r="GLL66" s="610"/>
      <c r="GLM66" s="610"/>
      <c r="GLN66" s="610"/>
      <c r="GLO66" s="610"/>
      <c r="GLP66" s="610"/>
      <c r="GLQ66" s="610"/>
      <c r="GLR66" s="610"/>
      <c r="GLS66" s="610"/>
      <c r="GLT66" s="610"/>
      <c r="GLU66" s="610"/>
      <c r="GLV66" s="610"/>
      <c r="GLW66" s="610"/>
      <c r="GLX66" s="610"/>
      <c r="GLY66" s="610"/>
      <c r="GLZ66" s="610"/>
      <c r="GMA66" s="610"/>
      <c r="GMB66" s="610"/>
      <c r="GMC66" s="610"/>
      <c r="GMD66" s="610"/>
      <c r="GME66" s="610"/>
      <c r="GMF66" s="610"/>
      <c r="GMG66" s="610"/>
      <c r="GMH66" s="610"/>
      <c r="GMI66" s="610"/>
      <c r="GMJ66" s="610"/>
      <c r="GMK66" s="610"/>
      <c r="GML66" s="610"/>
      <c r="GMM66" s="610"/>
      <c r="GMN66" s="610"/>
      <c r="GMO66" s="610"/>
      <c r="GMP66" s="610"/>
      <c r="GMQ66" s="610"/>
      <c r="GMR66" s="610"/>
      <c r="GMS66" s="610"/>
      <c r="GMT66" s="610"/>
      <c r="GMU66" s="610"/>
      <c r="GMV66" s="610"/>
      <c r="GMW66" s="610"/>
      <c r="GMX66" s="610"/>
      <c r="GMY66" s="610"/>
      <c r="GMZ66" s="610"/>
      <c r="GNA66" s="610"/>
      <c r="GNB66" s="610"/>
      <c r="GNC66" s="610"/>
      <c r="GND66" s="610"/>
      <c r="GNE66" s="610"/>
      <c r="GNF66" s="610"/>
      <c r="GNG66" s="610"/>
      <c r="GNH66" s="610"/>
      <c r="GNI66" s="610"/>
      <c r="GNJ66" s="610"/>
      <c r="GNK66" s="610"/>
      <c r="GNL66" s="610"/>
      <c r="GNM66" s="610"/>
      <c r="GNN66" s="610"/>
      <c r="GNO66" s="610"/>
      <c r="GNP66" s="610"/>
      <c r="GNQ66" s="610"/>
      <c r="GNR66" s="610"/>
      <c r="GNS66" s="610"/>
      <c r="GNT66" s="610"/>
      <c r="GNU66" s="610"/>
      <c r="GNV66" s="610"/>
      <c r="GNW66" s="610"/>
      <c r="GNX66" s="610"/>
      <c r="GNY66" s="610"/>
      <c r="GNZ66" s="610"/>
      <c r="GOA66" s="610"/>
      <c r="GOB66" s="610"/>
      <c r="GOC66" s="610"/>
      <c r="GOD66" s="610"/>
      <c r="GOE66" s="610"/>
      <c r="GOF66" s="610"/>
      <c r="GOG66" s="610"/>
      <c r="GOH66" s="610"/>
      <c r="GOI66" s="610"/>
      <c r="GOJ66" s="610"/>
      <c r="GOK66" s="610"/>
      <c r="GOL66" s="610"/>
      <c r="GOM66" s="610"/>
      <c r="GON66" s="610"/>
      <c r="GOO66" s="610"/>
      <c r="GOP66" s="610"/>
      <c r="GOQ66" s="610"/>
      <c r="GOR66" s="610"/>
      <c r="GOS66" s="610"/>
      <c r="GOT66" s="610"/>
      <c r="GOU66" s="610"/>
      <c r="GOV66" s="610"/>
      <c r="GOW66" s="610"/>
      <c r="GOX66" s="610"/>
      <c r="GOY66" s="610"/>
      <c r="GOZ66" s="610"/>
      <c r="GPA66" s="610"/>
      <c r="GPB66" s="610"/>
      <c r="GPC66" s="610"/>
      <c r="GPD66" s="610"/>
      <c r="GPE66" s="610"/>
      <c r="GPF66" s="610"/>
      <c r="GPG66" s="610"/>
      <c r="GPH66" s="610"/>
      <c r="GPI66" s="610"/>
      <c r="GPJ66" s="610"/>
      <c r="GPK66" s="610"/>
      <c r="GPL66" s="610"/>
      <c r="GPM66" s="610"/>
      <c r="GPN66" s="610"/>
      <c r="GPO66" s="610"/>
      <c r="GPP66" s="610"/>
      <c r="GPQ66" s="610"/>
      <c r="GPR66" s="610"/>
      <c r="GPS66" s="610"/>
      <c r="GPT66" s="610"/>
      <c r="GPU66" s="610"/>
      <c r="GPV66" s="610"/>
      <c r="GPW66" s="610"/>
      <c r="GPX66" s="610"/>
      <c r="GPY66" s="610"/>
      <c r="GPZ66" s="610"/>
      <c r="GQA66" s="610"/>
      <c r="GQB66" s="610"/>
      <c r="GQC66" s="610"/>
      <c r="GQD66" s="610"/>
      <c r="GQE66" s="610"/>
      <c r="GQF66" s="610"/>
      <c r="GQG66" s="610"/>
      <c r="GQH66" s="610"/>
      <c r="GQI66" s="610"/>
      <c r="GQJ66" s="610"/>
      <c r="GQK66" s="610"/>
      <c r="GQL66" s="610"/>
      <c r="GQM66" s="610"/>
      <c r="GQN66" s="610"/>
      <c r="GQO66" s="610"/>
      <c r="GQP66" s="610"/>
      <c r="GQQ66" s="610"/>
      <c r="GQR66" s="610"/>
      <c r="GQS66" s="610"/>
      <c r="GQT66" s="610"/>
      <c r="GQU66" s="610"/>
      <c r="GQV66" s="610"/>
      <c r="GQW66" s="610"/>
      <c r="GQX66" s="610"/>
      <c r="GQY66" s="610"/>
      <c r="GQZ66" s="610"/>
      <c r="GRA66" s="610"/>
      <c r="GRB66" s="610"/>
      <c r="GRC66" s="610"/>
      <c r="GRD66" s="610"/>
      <c r="GRE66" s="610"/>
      <c r="GRF66" s="610"/>
      <c r="GRG66" s="610"/>
      <c r="GRH66" s="610"/>
      <c r="GRI66" s="610"/>
      <c r="GRJ66" s="610"/>
      <c r="GRK66" s="610"/>
      <c r="GRL66" s="610"/>
      <c r="GRM66" s="610"/>
      <c r="GRN66" s="610"/>
      <c r="GRO66" s="610"/>
      <c r="GRP66" s="610"/>
      <c r="GRQ66" s="610"/>
      <c r="GRR66" s="610"/>
      <c r="GRS66" s="610"/>
      <c r="GRT66" s="610"/>
      <c r="GRU66" s="610"/>
      <c r="GRV66" s="610"/>
      <c r="GRW66" s="610"/>
      <c r="GRX66" s="610"/>
      <c r="GRY66" s="610"/>
      <c r="GRZ66" s="610"/>
      <c r="GSA66" s="610"/>
      <c r="GSB66" s="610"/>
      <c r="GSC66" s="610"/>
      <c r="GSD66" s="610"/>
      <c r="GSE66" s="610"/>
      <c r="GSF66" s="610"/>
      <c r="GSG66" s="610"/>
      <c r="GSH66" s="610"/>
      <c r="GSI66" s="610"/>
      <c r="GSJ66" s="610"/>
      <c r="GSK66" s="610"/>
      <c r="GSL66" s="610"/>
      <c r="GSM66" s="610"/>
      <c r="GSN66" s="610"/>
      <c r="GSO66" s="610"/>
      <c r="GSP66" s="610"/>
      <c r="GSQ66" s="610"/>
      <c r="GSR66" s="610"/>
      <c r="GSS66" s="610"/>
      <c r="GST66" s="610"/>
      <c r="GSU66" s="610"/>
      <c r="GSV66" s="610"/>
      <c r="GSW66" s="610"/>
      <c r="GSX66" s="610"/>
      <c r="GSY66" s="610"/>
      <c r="GSZ66" s="610"/>
      <c r="GTA66" s="610"/>
      <c r="GTB66" s="610"/>
      <c r="GTC66" s="610"/>
      <c r="GTD66" s="610"/>
      <c r="GTE66" s="610"/>
      <c r="GTF66" s="610"/>
      <c r="GTG66" s="610"/>
      <c r="GTH66" s="610"/>
      <c r="GTI66" s="610"/>
      <c r="GTJ66" s="610"/>
      <c r="GTK66" s="610"/>
      <c r="GTL66" s="610"/>
      <c r="GTM66" s="610"/>
      <c r="GTN66" s="610"/>
      <c r="GTO66" s="610"/>
      <c r="GTP66" s="610"/>
      <c r="GTQ66" s="610"/>
      <c r="GTR66" s="610"/>
      <c r="GTS66" s="610"/>
      <c r="GTT66" s="610"/>
      <c r="GTU66" s="610"/>
      <c r="GTV66" s="610"/>
      <c r="GTW66" s="610"/>
      <c r="GTX66" s="610"/>
      <c r="GTY66" s="610"/>
      <c r="GTZ66" s="610"/>
      <c r="GUA66" s="610"/>
      <c r="GUB66" s="610"/>
      <c r="GUC66" s="610"/>
      <c r="GUD66" s="610"/>
      <c r="GUE66" s="610"/>
      <c r="GUF66" s="610"/>
      <c r="GUG66" s="610"/>
      <c r="GUH66" s="610"/>
      <c r="GUI66" s="610"/>
      <c r="GUJ66" s="610"/>
      <c r="GUK66" s="610"/>
      <c r="GUL66" s="610"/>
      <c r="GUM66" s="610"/>
      <c r="GUN66" s="610"/>
      <c r="GUO66" s="610"/>
      <c r="GUP66" s="610"/>
      <c r="GUQ66" s="610"/>
      <c r="GUR66" s="610"/>
      <c r="GUS66" s="610"/>
      <c r="GUT66" s="610"/>
      <c r="GUU66" s="610"/>
      <c r="GUV66" s="610"/>
      <c r="GUW66" s="610"/>
      <c r="GUX66" s="610"/>
      <c r="GUY66" s="610"/>
      <c r="GUZ66" s="610"/>
      <c r="GVA66" s="610"/>
      <c r="GVB66" s="610"/>
      <c r="GVC66" s="610"/>
      <c r="GVD66" s="610"/>
      <c r="GVE66" s="610"/>
      <c r="GVF66" s="610"/>
      <c r="GVG66" s="610"/>
      <c r="GVH66" s="610"/>
      <c r="GVI66" s="610"/>
      <c r="GVJ66" s="610"/>
      <c r="GVK66" s="610"/>
      <c r="GVL66" s="610"/>
      <c r="GVM66" s="610"/>
      <c r="GVN66" s="610"/>
      <c r="GVO66" s="610"/>
      <c r="GVP66" s="610"/>
      <c r="GVQ66" s="610"/>
      <c r="GVR66" s="610"/>
      <c r="GVS66" s="610"/>
      <c r="GVT66" s="610"/>
      <c r="GVU66" s="610"/>
      <c r="GVV66" s="610"/>
      <c r="GVW66" s="610"/>
      <c r="GVX66" s="610"/>
      <c r="GVY66" s="610"/>
      <c r="GVZ66" s="610"/>
      <c r="GWA66" s="610"/>
      <c r="GWB66" s="610"/>
      <c r="GWC66" s="610"/>
      <c r="GWD66" s="610"/>
      <c r="GWE66" s="610"/>
      <c r="GWF66" s="610"/>
      <c r="GWG66" s="610"/>
      <c r="GWH66" s="610"/>
      <c r="GWI66" s="610"/>
      <c r="GWJ66" s="610"/>
      <c r="GWK66" s="610"/>
      <c r="GWL66" s="610"/>
      <c r="GWM66" s="610"/>
      <c r="GWN66" s="610"/>
      <c r="GWO66" s="610"/>
      <c r="GWP66" s="610"/>
      <c r="GWQ66" s="610"/>
      <c r="GWR66" s="610"/>
      <c r="GWS66" s="610"/>
      <c r="GWT66" s="610"/>
      <c r="GWU66" s="610"/>
      <c r="GWV66" s="610"/>
      <c r="GWW66" s="610"/>
      <c r="GWX66" s="610"/>
      <c r="GWY66" s="610"/>
      <c r="GWZ66" s="610"/>
      <c r="GXA66" s="610"/>
      <c r="GXB66" s="610"/>
      <c r="GXC66" s="610"/>
      <c r="GXD66" s="610"/>
      <c r="GXE66" s="610"/>
      <c r="GXF66" s="610"/>
      <c r="GXG66" s="610"/>
      <c r="GXH66" s="610"/>
      <c r="GXI66" s="610"/>
      <c r="GXJ66" s="610"/>
      <c r="GXK66" s="610"/>
      <c r="GXL66" s="610"/>
      <c r="GXM66" s="610"/>
      <c r="GXN66" s="610"/>
      <c r="GXO66" s="610"/>
      <c r="GXP66" s="610"/>
      <c r="GXQ66" s="610"/>
      <c r="GXR66" s="610"/>
      <c r="GXS66" s="610"/>
      <c r="GXT66" s="610"/>
      <c r="GXU66" s="610"/>
      <c r="GXV66" s="610"/>
      <c r="GXW66" s="610"/>
      <c r="GXX66" s="610"/>
      <c r="GXY66" s="610"/>
      <c r="GXZ66" s="610"/>
      <c r="GYA66" s="610"/>
      <c r="GYB66" s="610"/>
      <c r="GYC66" s="610"/>
      <c r="GYD66" s="610"/>
      <c r="GYE66" s="610"/>
      <c r="GYF66" s="610"/>
      <c r="GYG66" s="610"/>
      <c r="GYH66" s="610"/>
      <c r="GYI66" s="610"/>
      <c r="GYJ66" s="610"/>
      <c r="GYK66" s="610"/>
      <c r="GYL66" s="610"/>
      <c r="GYM66" s="610"/>
      <c r="GYN66" s="610"/>
      <c r="GYO66" s="610"/>
      <c r="GYP66" s="610"/>
      <c r="GYQ66" s="610"/>
      <c r="GYR66" s="610"/>
      <c r="GYS66" s="610"/>
      <c r="GYT66" s="610"/>
      <c r="GYU66" s="610"/>
      <c r="GYV66" s="610"/>
      <c r="GYW66" s="610"/>
      <c r="GYX66" s="610"/>
      <c r="GYY66" s="610"/>
      <c r="GYZ66" s="610"/>
      <c r="GZA66" s="610"/>
      <c r="GZB66" s="610"/>
      <c r="GZC66" s="610"/>
      <c r="GZD66" s="610"/>
      <c r="GZE66" s="610"/>
      <c r="GZF66" s="610"/>
      <c r="GZG66" s="610"/>
      <c r="GZH66" s="610"/>
      <c r="GZI66" s="610"/>
      <c r="GZJ66" s="610"/>
      <c r="GZK66" s="610"/>
      <c r="GZL66" s="610"/>
      <c r="GZM66" s="610"/>
      <c r="GZN66" s="610"/>
      <c r="GZO66" s="610"/>
      <c r="GZP66" s="610"/>
      <c r="GZQ66" s="610"/>
      <c r="GZR66" s="610"/>
      <c r="GZS66" s="610"/>
      <c r="GZT66" s="610"/>
      <c r="GZU66" s="610"/>
      <c r="GZV66" s="610"/>
      <c r="GZW66" s="610"/>
      <c r="GZX66" s="610"/>
      <c r="GZY66" s="610"/>
      <c r="GZZ66" s="610"/>
      <c r="HAA66" s="610"/>
      <c r="HAB66" s="610"/>
      <c r="HAC66" s="610"/>
      <c r="HAD66" s="610"/>
      <c r="HAE66" s="610"/>
      <c r="HAF66" s="610"/>
      <c r="HAG66" s="610"/>
      <c r="HAH66" s="610"/>
      <c r="HAI66" s="610"/>
      <c r="HAJ66" s="610"/>
      <c r="HAK66" s="610"/>
      <c r="HAL66" s="610"/>
      <c r="HAM66" s="610"/>
      <c r="HAN66" s="610"/>
      <c r="HAO66" s="610"/>
      <c r="HAP66" s="610"/>
      <c r="HAQ66" s="610"/>
      <c r="HAR66" s="610"/>
      <c r="HAS66" s="610"/>
      <c r="HAT66" s="610"/>
      <c r="HAU66" s="610"/>
      <c r="HAV66" s="610"/>
      <c r="HAW66" s="610"/>
      <c r="HAX66" s="610"/>
      <c r="HAY66" s="610"/>
      <c r="HAZ66" s="610"/>
      <c r="HBA66" s="610"/>
      <c r="HBB66" s="610"/>
      <c r="HBC66" s="610"/>
      <c r="HBD66" s="610"/>
      <c r="HBE66" s="610"/>
      <c r="HBF66" s="610"/>
      <c r="HBG66" s="610"/>
      <c r="HBH66" s="610"/>
      <c r="HBI66" s="610"/>
      <c r="HBJ66" s="610"/>
      <c r="HBK66" s="610"/>
      <c r="HBL66" s="610"/>
      <c r="HBM66" s="610"/>
      <c r="HBN66" s="610"/>
      <c r="HBO66" s="610"/>
      <c r="HBP66" s="610"/>
      <c r="HBQ66" s="610"/>
      <c r="HBR66" s="610"/>
      <c r="HBS66" s="610"/>
      <c r="HBT66" s="610"/>
      <c r="HBU66" s="610"/>
      <c r="HBV66" s="610"/>
      <c r="HBW66" s="610"/>
      <c r="HBX66" s="610"/>
      <c r="HBY66" s="610"/>
      <c r="HBZ66" s="610"/>
      <c r="HCA66" s="610"/>
      <c r="HCB66" s="610"/>
      <c r="HCC66" s="610"/>
      <c r="HCD66" s="610"/>
      <c r="HCE66" s="610"/>
      <c r="HCF66" s="610"/>
      <c r="HCG66" s="610"/>
      <c r="HCH66" s="610"/>
      <c r="HCI66" s="610"/>
      <c r="HCJ66" s="610"/>
      <c r="HCK66" s="610"/>
      <c r="HCL66" s="610"/>
      <c r="HCM66" s="610"/>
      <c r="HCN66" s="610"/>
      <c r="HCO66" s="610"/>
      <c r="HCP66" s="610"/>
      <c r="HCQ66" s="610"/>
      <c r="HCR66" s="610"/>
      <c r="HCS66" s="610"/>
      <c r="HCT66" s="610"/>
      <c r="HCU66" s="610"/>
      <c r="HCV66" s="610"/>
      <c r="HCW66" s="610"/>
      <c r="HCX66" s="610"/>
      <c r="HCY66" s="610"/>
      <c r="HCZ66" s="610"/>
      <c r="HDA66" s="610"/>
      <c r="HDB66" s="610"/>
      <c r="HDC66" s="610"/>
      <c r="HDD66" s="610"/>
      <c r="HDE66" s="610"/>
      <c r="HDF66" s="610"/>
      <c r="HDG66" s="610"/>
      <c r="HDH66" s="610"/>
      <c r="HDI66" s="610"/>
      <c r="HDJ66" s="610"/>
      <c r="HDK66" s="610"/>
      <c r="HDL66" s="610"/>
      <c r="HDM66" s="610"/>
      <c r="HDN66" s="610"/>
      <c r="HDO66" s="610"/>
      <c r="HDP66" s="610"/>
      <c r="HDQ66" s="610"/>
      <c r="HDR66" s="610"/>
      <c r="HDS66" s="610"/>
      <c r="HDT66" s="610"/>
      <c r="HDU66" s="610"/>
      <c r="HDV66" s="610"/>
      <c r="HDW66" s="610"/>
      <c r="HDX66" s="610"/>
      <c r="HDY66" s="610"/>
      <c r="HDZ66" s="610"/>
      <c r="HEA66" s="610"/>
      <c r="HEB66" s="610"/>
      <c r="HEC66" s="610"/>
      <c r="HED66" s="610"/>
      <c r="HEE66" s="610"/>
      <c r="HEF66" s="610"/>
      <c r="HEG66" s="610"/>
      <c r="HEH66" s="610"/>
      <c r="HEI66" s="610"/>
      <c r="HEJ66" s="610"/>
      <c r="HEK66" s="610"/>
      <c r="HEL66" s="610"/>
      <c r="HEM66" s="610"/>
      <c r="HEN66" s="610"/>
      <c r="HEO66" s="610"/>
      <c r="HEP66" s="610"/>
      <c r="HEQ66" s="610"/>
      <c r="HER66" s="610"/>
      <c r="HES66" s="610"/>
      <c r="HET66" s="610"/>
      <c r="HEU66" s="610"/>
      <c r="HEV66" s="610"/>
      <c r="HEW66" s="610"/>
      <c r="HEX66" s="610"/>
      <c r="HEY66" s="610"/>
      <c r="HEZ66" s="610"/>
      <c r="HFA66" s="610"/>
      <c r="HFB66" s="610"/>
      <c r="HFC66" s="610"/>
      <c r="HFD66" s="610"/>
      <c r="HFE66" s="610"/>
      <c r="HFF66" s="610"/>
      <c r="HFG66" s="610"/>
      <c r="HFH66" s="610"/>
      <c r="HFI66" s="610"/>
      <c r="HFJ66" s="610"/>
      <c r="HFK66" s="610"/>
      <c r="HFL66" s="610"/>
      <c r="HFM66" s="610"/>
      <c r="HFN66" s="610"/>
      <c r="HFO66" s="610"/>
      <c r="HFP66" s="610"/>
      <c r="HFQ66" s="610"/>
      <c r="HFR66" s="610"/>
      <c r="HFS66" s="610"/>
      <c r="HFT66" s="610"/>
      <c r="HFU66" s="610"/>
      <c r="HFV66" s="610"/>
      <c r="HFW66" s="610"/>
      <c r="HFX66" s="610"/>
      <c r="HFY66" s="610"/>
      <c r="HFZ66" s="610"/>
      <c r="HGA66" s="610"/>
      <c r="HGB66" s="610"/>
      <c r="HGC66" s="610"/>
      <c r="HGD66" s="610"/>
      <c r="HGE66" s="610"/>
      <c r="HGF66" s="610"/>
      <c r="HGG66" s="610"/>
      <c r="HGH66" s="610"/>
      <c r="HGI66" s="610"/>
      <c r="HGJ66" s="610"/>
      <c r="HGK66" s="610"/>
      <c r="HGL66" s="610"/>
      <c r="HGM66" s="610"/>
      <c r="HGN66" s="610"/>
      <c r="HGO66" s="610"/>
      <c r="HGP66" s="610"/>
      <c r="HGQ66" s="610"/>
      <c r="HGR66" s="610"/>
      <c r="HGS66" s="610"/>
      <c r="HGT66" s="610"/>
      <c r="HGU66" s="610"/>
      <c r="HGV66" s="610"/>
      <c r="HGW66" s="610"/>
      <c r="HGX66" s="610"/>
      <c r="HGY66" s="610"/>
      <c r="HGZ66" s="610"/>
      <c r="HHA66" s="610"/>
      <c r="HHB66" s="610"/>
      <c r="HHC66" s="610"/>
      <c r="HHD66" s="610"/>
      <c r="HHE66" s="610"/>
      <c r="HHF66" s="610"/>
      <c r="HHG66" s="610"/>
      <c r="HHH66" s="610"/>
      <c r="HHI66" s="610"/>
      <c r="HHJ66" s="610"/>
      <c r="HHK66" s="610"/>
      <c r="HHL66" s="610"/>
      <c r="HHM66" s="610"/>
      <c r="HHN66" s="610"/>
      <c r="HHO66" s="610"/>
      <c r="HHP66" s="610"/>
      <c r="HHQ66" s="610"/>
      <c r="HHR66" s="610"/>
      <c r="HHS66" s="610"/>
      <c r="HHT66" s="610"/>
      <c r="HHU66" s="610"/>
      <c r="HHV66" s="610"/>
      <c r="HHW66" s="610"/>
      <c r="HHX66" s="610"/>
      <c r="HHY66" s="610"/>
      <c r="HHZ66" s="610"/>
      <c r="HIA66" s="610"/>
      <c r="HIB66" s="610"/>
      <c r="HIC66" s="610"/>
      <c r="HID66" s="610"/>
      <c r="HIE66" s="610"/>
      <c r="HIF66" s="610"/>
      <c r="HIG66" s="610"/>
      <c r="HIH66" s="610"/>
      <c r="HII66" s="610"/>
      <c r="HIJ66" s="610"/>
      <c r="HIK66" s="610"/>
      <c r="HIL66" s="610"/>
      <c r="HIM66" s="610"/>
      <c r="HIN66" s="610"/>
      <c r="HIO66" s="610"/>
      <c r="HIP66" s="610"/>
      <c r="HIQ66" s="610"/>
      <c r="HIR66" s="610"/>
      <c r="HIS66" s="610"/>
      <c r="HIT66" s="610"/>
      <c r="HIU66" s="610"/>
      <c r="HIV66" s="610"/>
      <c r="HIW66" s="610"/>
      <c r="HIX66" s="610"/>
      <c r="HIY66" s="610"/>
      <c r="HIZ66" s="610"/>
      <c r="HJA66" s="610"/>
      <c r="HJB66" s="610"/>
      <c r="HJC66" s="610"/>
      <c r="HJD66" s="610"/>
      <c r="HJE66" s="610"/>
      <c r="HJF66" s="610"/>
      <c r="HJG66" s="610"/>
      <c r="HJH66" s="610"/>
      <c r="HJI66" s="610"/>
      <c r="HJJ66" s="610"/>
      <c r="HJK66" s="610"/>
      <c r="HJL66" s="610"/>
      <c r="HJM66" s="610"/>
      <c r="HJN66" s="610"/>
      <c r="HJO66" s="610"/>
      <c r="HJP66" s="610"/>
      <c r="HJQ66" s="610"/>
      <c r="HJR66" s="610"/>
      <c r="HJS66" s="610"/>
      <c r="HJT66" s="610"/>
      <c r="HJU66" s="610"/>
      <c r="HJV66" s="610"/>
      <c r="HJW66" s="610"/>
      <c r="HJX66" s="610"/>
      <c r="HJY66" s="610"/>
      <c r="HJZ66" s="610"/>
      <c r="HKA66" s="610"/>
      <c r="HKB66" s="610"/>
      <c r="HKC66" s="610"/>
      <c r="HKD66" s="610"/>
      <c r="HKE66" s="610"/>
      <c r="HKF66" s="610"/>
      <c r="HKG66" s="610"/>
      <c r="HKH66" s="610"/>
      <c r="HKI66" s="610"/>
      <c r="HKJ66" s="610"/>
      <c r="HKK66" s="610"/>
      <c r="HKL66" s="610"/>
      <c r="HKM66" s="610"/>
      <c r="HKN66" s="610"/>
      <c r="HKO66" s="610"/>
      <c r="HKP66" s="610"/>
      <c r="HKQ66" s="610"/>
      <c r="HKR66" s="610"/>
      <c r="HKS66" s="610"/>
      <c r="HKT66" s="610"/>
      <c r="HKU66" s="610"/>
      <c r="HKV66" s="610"/>
      <c r="HKW66" s="610"/>
      <c r="HKX66" s="610"/>
      <c r="HKY66" s="610"/>
      <c r="HKZ66" s="610"/>
      <c r="HLA66" s="610"/>
      <c r="HLB66" s="610"/>
      <c r="HLC66" s="610"/>
      <c r="HLD66" s="610"/>
      <c r="HLE66" s="610"/>
      <c r="HLF66" s="610"/>
      <c r="HLG66" s="610"/>
      <c r="HLH66" s="610"/>
      <c r="HLI66" s="610"/>
      <c r="HLJ66" s="610"/>
      <c r="HLK66" s="610"/>
      <c r="HLL66" s="610"/>
      <c r="HLM66" s="610"/>
      <c r="HLN66" s="610"/>
      <c r="HLO66" s="610"/>
      <c r="HLP66" s="610"/>
      <c r="HLQ66" s="610"/>
      <c r="HLR66" s="610"/>
      <c r="HLS66" s="610"/>
      <c r="HLT66" s="610"/>
      <c r="HLU66" s="610"/>
      <c r="HLV66" s="610"/>
      <c r="HLW66" s="610"/>
      <c r="HLX66" s="610"/>
      <c r="HLY66" s="610"/>
      <c r="HLZ66" s="610"/>
      <c r="HMA66" s="610"/>
      <c r="HMB66" s="610"/>
      <c r="HMC66" s="610"/>
      <c r="HMD66" s="610"/>
      <c r="HME66" s="610"/>
      <c r="HMF66" s="610"/>
      <c r="HMG66" s="610"/>
      <c r="HMH66" s="610"/>
      <c r="HMI66" s="610"/>
      <c r="HMJ66" s="610"/>
      <c r="HMK66" s="610"/>
      <c r="HML66" s="610"/>
      <c r="HMM66" s="610"/>
      <c r="HMN66" s="610"/>
      <c r="HMO66" s="610"/>
      <c r="HMP66" s="610"/>
      <c r="HMQ66" s="610"/>
      <c r="HMR66" s="610"/>
      <c r="HMS66" s="610"/>
      <c r="HMT66" s="610"/>
      <c r="HMU66" s="610"/>
      <c r="HMV66" s="610"/>
      <c r="HMW66" s="610"/>
      <c r="HMX66" s="610"/>
      <c r="HMY66" s="610"/>
      <c r="HMZ66" s="610"/>
      <c r="HNA66" s="610"/>
      <c r="HNB66" s="610"/>
      <c r="HNC66" s="610"/>
      <c r="HND66" s="610"/>
      <c r="HNE66" s="610"/>
      <c r="HNF66" s="610"/>
      <c r="HNG66" s="610"/>
      <c r="HNH66" s="610"/>
      <c r="HNI66" s="610"/>
      <c r="HNJ66" s="610"/>
      <c r="HNK66" s="610"/>
      <c r="HNL66" s="610"/>
      <c r="HNM66" s="610"/>
      <c r="HNN66" s="610"/>
      <c r="HNO66" s="610"/>
      <c r="HNP66" s="610"/>
      <c r="HNQ66" s="610"/>
      <c r="HNR66" s="610"/>
      <c r="HNS66" s="610"/>
      <c r="HNT66" s="610"/>
      <c r="HNU66" s="610"/>
      <c r="HNV66" s="610"/>
      <c r="HNW66" s="610"/>
      <c r="HNX66" s="610"/>
      <c r="HNY66" s="610"/>
      <c r="HNZ66" s="610"/>
      <c r="HOA66" s="610"/>
      <c r="HOB66" s="610"/>
      <c r="HOC66" s="610"/>
      <c r="HOD66" s="610"/>
      <c r="HOE66" s="610"/>
      <c r="HOF66" s="610"/>
      <c r="HOG66" s="610"/>
      <c r="HOH66" s="610"/>
      <c r="HOI66" s="610"/>
      <c r="HOJ66" s="610"/>
      <c r="HOK66" s="610"/>
      <c r="HOL66" s="610"/>
      <c r="HOM66" s="610"/>
      <c r="HON66" s="610"/>
      <c r="HOO66" s="610"/>
      <c r="HOP66" s="610"/>
      <c r="HOQ66" s="610"/>
      <c r="HOR66" s="610"/>
      <c r="HOS66" s="610"/>
      <c r="HOT66" s="610"/>
      <c r="HOU66" s="610"/>
      <c r="HOV66" s="610"/>
      <c r="HOW66" s="610"/>
      <c r="HOX66" s="610"/>
      <c r="HOY66" s="610"/>
      <c r="HOZ66" s="610"/>
      <c r="HPA66" s="610"/>
      <c r="HPB66" s="610"/>
      <c r="HPC66" s="610"/>
      <c r="HPD66" s="610"/>
      <c r="HPE66" s="610"/>
      <c r="HPF66" s="610"/>
      <c r="HPG66" s="610"/>
      <c r="HPH66" s="610"/>
      <c r="HPI66" s="610"/>
      <c r="HPJ66" s="610"/>
      <c r="HPK66" s="610"/>
      <c r="HPL66" s="610"/>
      <c r="HPM66" s="610"/>
      <c r="HPN66" s="610"/>
      <c r="HPO66" s="610"/>
      <c r="HPP66" s="610"/>
      <c r="HPQ66" s="610"/>
      <c r="HPR66" s="610"/>
      <c r="HPS66" s="610"/>
      <c r="HPT66" s="610"/>
      <c r="HPU66" s="610"/>
      <c r="HPV66" s="610"/>
      <c r="HPW66" s="610"/>
      <c r="HPX66" s="610"/>
      <c r="HPY66" s="610"/>
      <c r="HPZ66" s="610"/>
      <c r="HQA66" s="610"/>
      <c r="HQB66" s="610"/>
      <c r="HQC66" s="610"/>
      <c r="HQD66" s="610"/>
      <c r="HQE66" s="610"/>
      <c r="HQF66" s="610"/>
      <c r="HQG66" s="610"/>
      <c r="HQH66" s="610"/>
      <c r="HQI66" s="610"/>
      <c r="HQJ66" s="610"/>
      <c r="HQK66" s="610"/>
      <c r="HQL66" s="610"/>
      <c r="HQM66" s="610"/>
      <c r="HQN66" s="610"/>
      <c r="HQO66" s="610"/>
      <c r="HQP66" s="610"/>
      <c r="HQQ66" s="610"/>
      <c r="HQR66" s="610"/>
      <c r="HQS66" s="610"/>
      <c r="HQT66" s="610"/>
      <c r="HQU66" s="610"/>
      <c r="HQV66" s="610"/>
      <c r="HQW66" s="610"/>
      <c r="HQX66" s="610"/>
      <c r="HQY66" s="610"/>
      <c r="HQZ66" s="610"/>
      <c r="HRA66" s="610"/>
      <c r="HRB66" s="610"/>
      <c r="HRC66" s="610"/>
      <c r="HRD66" s="610"/>
      <c r="HRE66" s="610"/>
      <c r="HRF66" s="610"/>
      <c r="HRG66" s="610"/>
      <c r="HRH66" s="610"/>
      <c r="HRI66" s="610"/>
      <c r="HRJ66" s="610"/>
      <c r="HRK66" s="610"/>
      <c r="HRL66" s="610"/>
      <c r="HRM66" s="610"/>
      <c r="HRN66" s="610"/>
      <c r="HRO66" s="610"/>
      <c r="HRP66" s="610"/>
      <c r="HRQ66" s="610"/>
      <c r="HRR66" s="610"/>
      <c r="HRS66" s="610"/>
      <c r="HRT66" s="610"/>
      <c r="HRU66" s="610"/>
      <c r="HRV66" s="610"/>
      <c r="HRW66" s="610"/>
      <c r="HRX66" s="610"/>
      <c r="HRY66" s="610"/>
      <c r="HRZ66" s="610"/>
      <c r="HSA66" s="610"/>
      <c r="HSB66" s="610"/>
      <c r="HSC66" s="610"/>
      <c r="HSD66" s="610"/>
      <c r="HSE66" s="610"/>
      <c r="HSF66" s="610"/>
      <c r="HSG66" s="610"/>
      <c r="HSH66" s="610"/>
      <c r="HSI66" s="610"/>
      <c r="HSJ66" s="610"/>
      <c r="HSK66" s="610"/>
      <c r="HSL66" s="610"/>
      <c r="HSM66" s="610"/>
      <c r="HSN66" s="610"/>
      <c r="HSO66" s="610"/>
      <c r="HSP66" s="610"/>
      <c r="HSQ66" s="610"/>
      <c r="HSR66" s="610"/>
      <c r="HSS66" s="610"/>
      <c r="HST66" s="610"/>
      <c r="HSU66" s="610"/>
      <c r="HSV66" s="610"/>
      <c r="HSW66" s="610"/>
      <c r="HSX66" s="610"/>
      <c r="HSY66" s="610"/>
      <c r="HSZ66" s="610"/>
      <c r="HTA66" s="610"/>
      <c r="HTB66" s="610"/>
      <c r="HTC66" s="610"/>
      <c r="HTD66" s="610"/>
      <c r="HTE66" s="610"/>
      <c r="HTF66" s="610"/>
      <c r="HTG66" s="610"/>
      <c r="HTH66" s="610"/>
      <c r="HTI66" s="610"/>
      <c r="HTJ66" s="610"/>
      <c r="HTK66" s="610"/>
      <c r="HTL66" s="610"/>
      <c r="HTM66" s="610"/>
      <c r="HTN66" s="610"/>
      <c r="HTO66" s="610"/>
      <c r="HTP66" s="610"/>
      <c r="HTQ66" s="610"/>
      <c r="HTR66" s="610"/>
      <c r="HTS66" s="610"/>
      <c r="HTT66" s="610"/>
      <c r="HTU66" s="610"/>
      <c r="HTV66" s="610"/>
      <c r="HTW66" s="610"/>
      <c r="HTX66" s="610"/>
      <c r="HTY66" s="610"/>
      <c r="HTZ66" s="610"/>
      <c r="HUA66" s="610"/>
      <c r="HUB66" s="610"/>
      <c r="HUC66" s="610"/>
      <c r="HUD66" s="610"/>
      <c r="HUE66" s="610"/>
      <c r="HUF66" s="610"/>
      <c r="HUG66" s="610"/>
      <c r="HUH66" s="610"/>
      <c r="HUI66" s="610"/>
      <c r="HUJ66" s="610"/>
      <c r="HUK66" s="610"/>
      <c r="HUL66" s="610"/>
      <c r="HUM66" s="610"/>
      <c r="HUN66" s="610"/>
      <c r="HUO66" s="610"/>
      <c r="HUP66" s="610"/>
      <c r="HUQ66" s="610"/>
      <c r="HUR66" s="610"/>
      <c r="HUS66" s="610"/>
      <c r="HUT66" s="610"/>
      <c r="HUU66" s="610"/>
      <c r="HUV66" s="610"/>
      <c r="HUW66" s="610"/>
      <c r="HUX66" s="610"/>
      <c r="HUY66" s="610"/>
      <c r="HUZ66" s="610"/>
      <c r="HVA66" s="610"/>
      <c r="HVB66" s="610"/>
      <c r="HVC66" s="610"/>
      <c r="HVD66" s="610"/>
      <c r="HVE66" s="610"/>
      <c r="HVF66" s="610"/>
      <c r="HVG66" s="610"/>
      <c r="HVH66" s="610"/>
      <c r="HVI66" s="610"/>
      <c r="HVJ66" s="610"/>
      <c r="HVK66" s="610"/>
      <c r="HVL66" s="610"/>
      <c r="HVM66" s="610"/>
      <c r="HVN66" s="610"/>
      <c r="HVO66" s="610"/>
      <c r="HVP66" s="610"/>
      <c r="HVQ66" s="610"/>
      <c r="HVR66" s="610"/>
      <c r="HVS66" s="610"/>
      <c r="HVT66" s="610"/>
      <c r="HVU66" s="610"/>
      <c r="HVV66" s="610"/>
      <c r="HVW66" s="610"/>
      <c r="HVX66" s="610"/>
      <c r="HVY66" s="610"/>
      <c r="HVZ66" s="610"/>
      <c r="HWA66" s="610"/>
      <c r="HWB66" s="610"/>
      <c r="HWC66" s="610"/>
      <c r="HWD66" s="610"/>
      <c r="HWE66" s="610"/>
      <c r="HWF66" s="610"/>
      <c r="HWG66" s="610"/>
      <c r="HWH66" s="610"/>
      <c r="HWI66" s="610"/>
      <c r="HWJ66" s="610"/>
      <c r="HWK66" s="610"/>
      <c r="HWL66" s="610"/>
      <c r="HWM66" s="610"/>
      <c r="HWN66" s="610"/>
      <c r="HWO66" s="610"/>
      <c r="HWP66" s="610"/>
      <c r="HWQ66" s="610"/>
      <c r="HWR66" s="610"/>
      <c r="HWS66" s="610"/>
      <c r="HWT66" s="610"/>
      <c r="HWU66" s="610"/>
      <c r="HWV66" s="610"/>
      <c r="HWW66" s="610"/>
      <c r="HWX66" s="610"/>
      <c r="HWY66" s="610"/>
      <c r="HWZ66" s="610"/>
      <c r="HXA66" s="610"/>
      <c r="HXB66" s="610"/>
      <c r="HXC66" s="610"/>
      <c r="HXD66" s="610"/>
      <c r="HXE66" s="610"/>
      <c r="HXF66" s="610"/>
      <c r="HXG66" s="610"/>
      <c r="HXH66" s="610"/>
      <c r="HXI66" s="610"/>
      <c r="HXJ66" s="610"/>
      <c r="HXK66" s="610"/>
      <c r="HXL66" s="610"/>
      <c r="HXM66" s="610"/>
      <c r="HXN66" s="610"/>
      <c r="HXO66" s="610"/>
      <c r="HXP66" s="610"/>
      <c r="HXQ66" s="610"/>
      <c r="HXR66" s="610"/>
      <c r="HXS66" s="610"/>
      <c r="HXT66" s="610"/>
      <c r="HXU66" s="610"/>
      <c r="HXV66" s="610"/>
      <c r="HXW66" s="610"/>
      <c r="HXX66" s="610"/>
      <c r="HXY66" s="610"/>
      <c r="HXZ66" s="610"/>
      <c r="HYA66" s="610"/>
      <c r="HYB66" s="610"/>
      <c r="HYC66" s="610"/>
      <c r="HYD66" s="610"/>
      <c r="HYE66" s="610"/>
      <c r="HYF66" s="610"/>
      <c r="HYG66" s="610"/>
      <c r="HYH66" s="610"/>
      <c r="HYI66" s="610"/>
      <c r="HYJ66" s="610"/>
      <c r="HYK66" s="610"/>
      <c r="HYL66" s="610"/>
      <c r="HYM66" s="610"/>
      <c r="HYN66" s="610"/>
      <c r="HYO66" s="610"/>
      <c r="HYP66" s="610"/>
      <c r="HYQ66" s="610"/>
      <c r="HYR66" s="610"/>
      <c r="HYS66" s="610"/>
      <c r="HYT66" s="610"/>
      <c r="HYU66" s="610"/>
      <c r="HYV66" s="610"/>
      <c r="HYW66" s="610"/>
      <c r="HYX66" s="610"/>
      <c r="HYY66" s="610"/>
      <c r="HYZ66" s="610"/>
      <c r="HZA66" s="610"/>
      <c r="HZB66" s="610"/>
      <c r="HZC66" s="610"/>
      <c r="HZD66" s="610"/>
      <c r="HZE66" s="610"/>
      <c r="HZF66" s="610"/>
      <c r="HZG66" s="610"/>
      <c r="HZH66" s="610"/>
      <c r="HZI66" s="610"/>
      <c r="HZJ66" s="610"/>
      <c r="HZK66" s="610"/>
      <c r="HZL66" s="610"/>
      <c r="HZM66" s="610"/>
      <c r="HZN66" s="610"/>
      <c r="HZO66" s="610"/>
      <c r="HZP66" s="610"/>
      <c r="HZQ66" s="610"/>
      <c r="HZR66" s="610"/>
      <c r="HZS66" s="610"/>
      <c r="HZT66" s="610"/>
      <c r="HZU66" s="610"/>
      <c r="HZV66" s="610"/>
      <c r="HZW66" s="610"/>
      <c r="HZX66" s="610"/>
      <c r="HZY66" s="610"/>
      <c r="HZZ66" s="610"/>
      <c r="IAA66" s="610"/>
      <c r="IAB66" s="610"/>
      <c r="IAC66" s="610"/>
      <c r="IAD66" s="610"/>
      <c r="IAE66" s="610"/>
      <c r="IAF66" s="610"/>
      <c r="IAG66" s="610"/>
      <c r="IAH66" s="610"/>
      <c r="IAI66" s="610"/>
      <c r="IAJ66" s="610"/>
      <c r="IAK66" s="610"/>
      <c r="IAL66" s="610"/>
      <c r="IAM66" s="610"/>
      <c r="IAN66" s="610"/>
      <c r="IAO66" s="610"/>
      <c r="IAP66" s="610"/>
      <c r="IAQ66" s="610"/>
      <c r="IAR66" s="610"/>
      <c r="IAS66" s="610"/>
      <c r="IAT66" s="610"/>
      <c r="IAU66" s="610"/>
      <c r="IAV66" s="610"/>
      <c r="IAW66" s="610"/>
      <c r="IAX66" s="610"/>
      <c r="IAY66" s="610"/>
      <c r="IAZ66" s="610"/>
      <c r="IBA66" s="610"/>
      <c r="IBB66" s="610"/>
      <c r="IBC66" s="610"/>
      <c r="IBD66" s="610"/>
      <c r="IBE66" s="610"/>
      <c r="IBF66" s="610"/>
      <c r="IBG66" s="610"/>
      <c r="IBH66" s="610"/>
      <c r="IBI66" s="610"/>
      <c r="IBJ66" s="610"/>
      <c r="IBK66" s="610"/>
      <c r="IBL66" s="610"/>
      <c r="IBM66" s="610"/>
      <c r="IBN66" s="610"/>
      <c r="IBO66" s="610"/>
      <c r="IBP66" s="610"/>
      <c r="IBQ66" s="610"/>
      <c r="IBR66" s="610"/>
      <c r="IBS66" s="610"/>
      <c r="IBT66" s="610"/>
      <c r="IBU66" s="610"/>
      <c r="IBV66" s="610"/>
      <c r="IBW66" s="610"/>
      <c r="IBX66" s="610"/>
      <c r="IBY66" s="610"/>
      <c r="IBZ66" s="610"/>
      <c r="ICA66" s="610"/>
      <c r="ICB66" s="610"/>
      <c r="ICC66" s="610"/>
      <c r="ICD66" s="610"/>
      <c r="ICE66" s="610"/>
      <c r="ICF66" s="610"/>
      <c r="ICG66" s="610"/>
      <c r="ICH66" s="610"/>
      <c r="ICI66" s="610"/>
      <c r="ICJ66" s="610"/>
      <c r="ICK66" s="610"/>
      <c r="ICL66" s="610"/>
      <c r="ICM66" s="610"/>
      <c r="ICN66" s="610"/>
      <c r="ICO66" s="610"/>
      <c r="ICP66" s="610"/>
      <c r="ICQ66" s="610"/>
      <c r="ICR66" s="610"/>
      <c r="ICS66" s="610"/>
      <c r="ICT66" s="610"/>
      <c r="ICU66" s="610"/>
      <c r="ICV66" s="610"/>
      <c r="ICW66" s="610"/>
      <c r="ICX66" s="610"/>
      <c r="ICY66" s="610"/>
      <c r="ICZ66" s="610"/>
      <c r="IDA66" s="610"/>
      <c r="IDB66" s="610"/>
      <c r="IDC66" s="610"/>
      <c r="IDD66" s="610"/>
      <c r="IDE66" s="610"/>
      <c r="IDF66" s="610"/>
      <c r="IDG66" s="610"/>
      <c r="IDH66" s="610"/>
      <c r="IDI66" s="610"/>
      <c r="IDJ66" s="610"/>
      <c r="IDK66" s="610"/>
      <c r="IDL66" s="610"/>
      <c r="IDM66" s="610"/>
      <c r="IDN66" s="610"/>
      <c r="IDO66" s="610"/>
      <c r="IDP66" s="610"/>
      <c r="IDQ66" s="610"/>
      <c r="IDR66" s="610"/>
      <c r="IDS66" s="610"/>
      <c r="IDT66" s="610"/>
      <c r="IDU66" s="610"/>
      <c r="IDV66" s="610"/>
      <c r="IDW66" s="610"/>
      <c r="IDX66" s="610"/>
      <c r="IDY66" s="610"/>
      <c r="IDZ66" s="610"/>
      <c r="IEA66" s="610"/>
      <c r="IEB66" s="610"/>
      <c r="IEC66" s="610"/>
      <c r="IED66" s="610"/>
      <c r="IEE66" s="610"/>
      <c r="IEF66" s="610"/>
      <c r="IEG66" s="610"/>
      <c r="IEH66" s="610"/>
      <c r="IEI66" s="610"/>
      <c r="IEJ66" s="610"/>
      <c r="IEK66" s="610"/>
      <c r="IEL66" s="610"/>
      <c r="IEM66" s="610"/>
      <c r="IEN66" s="610"/>
      <c r="IEO66" s="610"/>
      <c r="IEP66" s="610"/>
      <c r="IEQ66" s="610"/>
      <c r="IER66" s="610"/>
      <c r="IES66" s="610"/>
      <c r="IET66" s="610"/>
      <c r="IEU66" s="610"/>
      <c r="IEV66" s="610"/>
      <c r="IEW66" s="610"/>
      <c r="IEX66" s="610"/>
      <c r="IEY66" s="610"/>
      <c r="IEZ66" s="610"/>
      <c r="IFA66" s="610"/>
      <c r="IFB66" s="610"/>
      <c r="IFC66" s="610"/>
      <c r="IFD66" s="610"/>
      <c r="IFE66" s="610"/>
      <c r="IFF66" s="610"/>
      <c r="IFG66" s="610"/>
      <c r="IFH66" s="610"/>
      <c r="IFI66" s="610"/>
      <c r="IFJ66" s="610"/>
      <c r="IFK66" s="610"/>
      <c r="IFL66" s="610"/>
      <c r="IFM66" s="610"/>
      <c r="IFN66" s="610"/>
      <c r="IFO66" s="610"/>
      <c r="IFP66" s="610"/>
      <c r="IFQ66" s="610"/>
      <c r="IFR66" s="610"/>
      <c r="IFS66" s="610"/>
      <c r="IFT66" s="610"/>
      <c r="IFU66" s="610"/>
      <c r="IFV66" s="610"/>
      <c r="IFW66" s="610"/>
      <c r="IFX66" s="610"/>
      <c r="IFY66" s="610"/>
      <c r="IFZ66" s="610"/>
      <c r="IGA66" s="610"/>
      <c r="IGB66" s="610"/>
      <c r="IGC66" s="610"/>
      <c r="IGD66" s="610"/>
      <c r="IGE66" s="610"/>
      <c r="IGF66" s="610"/>
      <c r="IGG66" s="610"/>
      <c r="IGH66" s="610"/>
      <c r="IGI66" s="610"/>
      <c r="IGJ66" s="610"/>
      <c r="IGK66" s="610"/>
      <c r="IGL66" s="610"/>
      <c r="IGM66" s="610"/>
      <c r="IGN66" s="610"/>
      <c r="IGO66" s="610"/>
      <c r="IGP66" s="610"/>
      <c r="IGQ66" s="610"/>
      <c r="IGR66" s="610"/>
      <c r="IGS66" s="610"/>
      <c r="IGT66" s="610"/>
      <c r="IGU66" s="610"/>
      <c r="IGV66" s="610"/>
      <c r="IGW66" s="610"/>
      <c r="IGX66" s="610"/>
      <c r="IGY66" s="610"/>
      <c r="IGZ66" s="610"/>
      <c r="IHA66" s="610"/>
      <c r="IHB66" s="610"/>
      <c r="IHC66" s="610"/>
      <c r="IHD66" s="610"/>
      <c r="IHE66" s="610"/>
      <c r="IHF66" s="610"/>
      <c r="IHG66" s="610"/>
      <c r="IHH66" s="610"/>
      <c r="IHI66" s="610"/>
      <c r="IHJ66" s="610"/>
      <c r="IHK66" s="610"/>
      <c r="IHL66" s="610"/>
      <c r="IHM66" s="610"/>
      <c r="IHN66" s="610"/>
      <c r="IHO66" s="610"/>
      <c r="IHP66" s="610"/>
      <c r="IHQ66" s="610"/>
      <c r="IHR66" s="610"/>
      <c r="IHS66" s="610"/>
      <c r="IHT66" s="610"/>
      <c r="IHU66" s="610"/>
      <c r="IHV66" s="610"/>
      <c r="IHW66" s="610"/>
      <c r="IHX66" s="610"/>
      <c r="IHY66" s="610"/>
      <c r="IHZ66" s="610"/>
      <c r="IIA66" s="610"/>
      <c r="IIB66" s="610"/>
      <c r="IIC66" s="610"/>
      <c r="IID66" s="610"/>
      <c r="IIE66" s="610"/>
      <c r="IIF66" s="610"/>
      <c r="IIG66" s="610"/>
      <c r="IIH66" s="610"/>
      <c r="III66" s="610"/>
      <c r="IIJ66" s="610"/>
      <c r="IIK66" s="610"/>
      <c r="IIL66" s="610"/>
      <c r="IIM66" s="610"/>
      <c r="IIN66" s="610"/>
      <c r="IIO66" s="610"/>
      <c r="IIP66" s="610"/>
      <c r="IIQ66" s="610"/>
      <c r="IIR66" s="610"/>
      <c r="IIS66" s="610"/>
      <c r="IIT66" s="610"/>
      <c r="IIU66" s="610"/>
      <c r="IIV66" s="610"/>
      <c r="IIW66" s="610"/>
      <c r="IIX66" s="610"/>
      <c r="IIY66" s="610"/>
      <c r="IIZ66" s="610"/>
      <c r="IJA66" s="610"/>
      <c r="IJB66" s="610"/>
      <c r="IJC66" s="610"/>
      <c r="IJD66" s="610"/>
      <c r="IJE66" s="610"/>
      <c r="IJF66" s="610"/>
      <c r="IJG66" s="610"/>
      <c r="IJH66" s="610"/>
      <c r="IJI66" s="610"/>
      <c r="IJJ66" s="610"/>
      <c r="IJK66" s="610"/>
      <c r="IJL66" s="610"/>
      <c r="IJM66" s="610"/>
      <c r="IJN66" s="610"/>
      <c r="IJO66" s="610"/>
      <c r="IJP66" s="610"/>
      <c r="IJQ66" s="610"/>
      <c r="IJR66" s="610"/>
      <c r="IJS66" s="610"/>
      <c r="IJT66" s="610"/>
      <c r="IJU66" s="610"/>
      <c r="IJV66" s="610"/>
      <c r="IJW66" s="610"/>
      <c r="IJX66" s="610"/>
      <c r="IJY66" s="610"/>
      <c r="IJZ66" s="610"/>
      <c r="IKA66" s="610"/>
      <c r="IKB66" s="610"/>
      <c r="IKC66" s="610"/>
      <c r="IKD66" s="610"/>
      <c r="IKE66" s="610"/>
      <c r="IKF66" s="610"/>
      <c r="IKG66" s="610"/>
      <c r="IKH66" s="610"/>
      <c r="IKI66" s="610"/>
      <c r="IKJ66" s="610"/>
      <c r="IKK66" s="610"/>
      <c r="IKL66" s="610"/>
      <c r="IKM66" s="610"/>
      <c r="IKN66" s="610"/>
      <c r="IKO66" s="610"/>
      <c r="IKP66" s="610"/>
      <c r="IKQ66" s="610"/>
      <c r="IKR66" s="610"/>
      <c r="IKS66" s="610"/>
      <c r="IKT66" s="610"/>
      <c r="IKU66" s="610"/>
      <c r="IKV66" s="610"/>
      <c r="IKW66" s="610"/>
      <c r="IKX66" s="610"/>
      <c r="IKY66" s="610"/>
      <c r="IKZ66" s="610"/>
      <c r="ILA66" s="610"/>
      <c r="ILB66" s="610"/>
      <c r="ILC66" s="610"/>
      <c r="ILD66" s="610"/>
      <c r="ILE66" s="610"/>
      <c r="ILF66" s="610"/>
      <c r="ILG66" s="610"/>
      <c r="ILH66" s="610"/>
      <c r="ILI66" s="610"/>
      <c r="ILJ66" s="610"/>
      <c r="ILK66" s="610"/>
      <c r="ILL66" s="610"/>
      <c r="ILM66" s="610"/>
      <c r="ILN66" s="610"/>
      <c r="ILO66" s="610"/>
      <c r="ILP66" s="610"/>
      <c r="ILQ66" s="610"/>
      <c r="ILR66" s="610"/>
      <c r="ILS66" s="610"/>
      <c r="ILT66" s="610"/>
      <c r="ILU66" s="610"/>
      <c r="ILV66" s="610"/>
      <c r="ILW66" s="610"/>
      <c r="ILX66" s="610"/>
      <c r="ILY66" s="610"/>
      <c r="ILZ66" s="610"/>
      <c r="IMA66" s="610"/>
      <c r="IMB66" s="610"/>
      <c r="IMC66" s="610"/>
      <c r="IMD66" s="610"/>
      <c r="IME66" s="610"/>
      <c r="IMF66" s="610"/>
      <c r="IMG66" s="610"/>
      <c r="IMH66" s="610"/>
      <c r="IMI66" s="610"/>
      <c r="IMJ66" s="610"/>
      <c r="IMK66" s="610"/>
      <c r="IML66" s="610"/>
      <c r="IMM66" s="610"/>
      <c r="IMN66" s="610"/>
      <c r="IMO66" s="610"/>
      <c r="IMP66" s="610"/>
      <c r="IMQ66" s="610"/>
      <c r="IMR66" s="610"/>
      <c r="IMS66" s="610"/>
      <c r="IMT66" s="610"/>
      <c r="IMU66" s="610"/>
      <c r="IMV66" s="610"/>
      <c r="IMW66" s="610"/>
      <c r="IMX66" s="610"/>
      <c r="IMY66" s="610"/>
      <c r="IMZ66" s="610"/>
      <c r="INA66" s="610"/>
      <c r="INB66" s="610"/>
      <c r="INC66" s="610"/>
      <c r="IND66" s="610"/>
      <c r="INE66" s="610"/>
      <c r="INF66" s="610"/>
      <c r="ING66" s="610"/>
      <c r="INH66" s="610"/>
      <c r="INI66" s="610"/>
      <c r="INJ66" s="610"/>
      <c r="INK66" s="610"/>
      <c r="INL66" s="610"/>
      <c r="INM66" s="610"/>
      <c r="INN66" s="610"/>
      <c r="INO66" s="610"/>
      <c r="INP66" s="610"/>
      <c r="INQ66" s="610"/>
      <c r="INR66" s="610"/>
      <c r="INS66" s="610"/>
      <c r="INT66" s="610"/>
      <c r="INU66" s="610"/>
      <c r="INV66" s="610"/>
      <c r="INW66" s="610"/>
      <c r="INX66" s="610"/>
      <c r="INY66" s="610"/>
      <c r="INZ66" s="610"/>
      <c r="IOA66" s="610"/>
      <c r="IOB66" s="610"/>
      <c r="IOC66" s="610"/>
      <c r="IOD66" s="610"/>
      <c r="IOE66" s="610"/>
      <c r="IOF66" s="610"/>
      <c r="IOG66" s="610"/>
      <c r="IOH66" s="610"/>
      <c r="IOI66" s="610"/>
      <c r="IOJ66" s="610"/>
      <c r="IOK66" s="610"/>
      <c r="IOL66" s="610"/>
      <c r="IOM66" s="610"/>
      <c r="ION66" s="610"/>
      <c r="IOO66" s="610"/>
      <c r="IOP66" s="610"/>
      <c r="IOQ66" s="610"/>
      <c r="IOR66" s="610"/>
      <c r="IOS66" s="610"/>
      <c r="IOT66" s="610"/>
      <c r="IOU66" s="610"/>
      <c r="IOV66" s="610"/>
      <c r="IOW66" s="610"/>
      <c r="IOX66" s="610"/>
      <c r="IOY66" s="610"/>
      <c r="IOZ66" s="610"/>
      <c r="IPA66" s="610"/>
      <c r="IPB66" s="610"/>
      <c r="IPC66" s="610"/>
      <c r="IPD66" s="610"/>
      <c r="IPE66" s="610"/>
      <c r="IPF66" s="610"/>
      <c r="IPG66" s="610"/>
      <c r="IPH66" s="610"/>
      <c r="IPI66" s="610"/>
      <c r="IPJ66" s="610"/>
      <c r="IPK66" s="610"/>
      <c r="IPL66" s="610"/>
      <c r="IPM66" s="610"/>
      <c r="IPN66" s="610"/>
      <c r="IPO66" s="610"/>
      <c r="IPP66" s="610"/>
      <c r="IPQ66" s="610"/>
      <c r="IPR66" s="610"/>
      <c r="IPS66" s="610"/>
      <c r="IPT66" s="610"/>
      <c r="IPU66" s="610"/>
      <c r="IPV66" s="610"/>
      <c r="IPW66" s="610"/>
      <c r="IPX66" s="610"/>
      <c r="IPY66" s="610"/>
      <c r="IPZ66" s="610"/>
      <c r="IQA66" s="610"/>
      <c r="IQB66" s="610"/>
      <c r="IQC66" s="610"/>
      <c r="IQD66" s="610"/>
      <c r="IQE66" s="610"/>
      <c r="IQF66" s="610"/>
      <c r="IQG66" s="610"/>
      <c r="IQH66" s="610"/>
      <c r="IQI66" s="610"/>
      <c r="IQJ66" s="610"/>
      <c r="IQK66" s="610"/>
      <c r="IQL66" s="610"/>
      <c r="IQM66" s="610"/>
      <c r="IQN66" s="610"/>
      <c r="IQO66" s="610"/>
      <c r="IQP66" s="610"/>
      <c r="IQQ66" s="610"/>
      <c r="IQR66" s="610"/>
      <c r="IQS66" s="610"/>
      <c r="IQT66" s="610"/>
      <c r="IQU66" s="610"/>
      <c r="IQV66" s="610"/>
      <c r="IQW66" s="610"/>
      <c r="IQX66" s="610"/>
      <c r="IQY66" s="610"/>
      <c r="IQZ66" s="610"/>
      <c r="IRA66" s="610"/>
      <c r="IRB66" s="610"/>
      <c r="IRC66" s="610"/>
      <c r="IRD66" s="610"/>
      <c r="IRE66" s="610"/>
      <c r="IRF66" s="610"/>
      <c r="IRG66" s="610"/>
      <c r="IRH66" s="610"/>
      <c r="IRI66" s="610"/>
      <c r="IRJ66" s="610"/>
      <c r="IRK66" s="610"/>
      <c r="IRL66" s="610"/>
      <c r="IRM66" s="610"/>
      <c r="IRN66" s="610"/>
      <c r="IRO66" s="610"/>
      <c r="IRP66" s="610"/>
      <c r="IRQ66" s="610"/>
      <c r="IRR66" s="610"/>
      <c r="IRS66" s="610"/>
      <c r="IRT66" s="610"/>
      <c r="IRU66" s="610"/>
      <c r="IRV66" s="610"/>
      <c r="IRW66" s="610"/>
      <c r="IRX66" s="610"/>
      <c r="IRY66" s="610"/>
      <c r="IRZ66" s="610"/>
      <c r="ISA66" s="610"/>
      <c r="ISB66" s="610"/>
      <c r="ISC66" s="610"/>
      <c r="ISD66" s="610"/>
      <c r="ISE66" s="610"/>
      <c r="ISF66" s="610"/>
      <c r="ISG66" s="610"/>
      <c r="ISH66" s="610"/>
      <c r="ISI66" s="610"/>
      <c r="ISJ66" s="610"/>
      <c r="ISK66" s="610"/>
      <c r="ISL66" s="610"/>
      <c r="ISM66" s="610"/>
      <c r="ISN66" s="610"/>
      <c r="ISO66" s="610"/>
      <c r="ISP66" s="610"/>
      <c r="ISQ66" s="610"/>
      <c r="ISR66" s="610"/>
      <c r="ISS66" s="610"/>
      <c r="IST66" s="610"/>
      <c r="ISU66" s="610"/>
      <c r="ISV66" s="610"/>
      <c r="ISW66" s="610"/>
      <c r="ISX66" s="610"/>
      <c r="ISY66" s="610"/>
      <c r="ISZ66" s="610"/>
      <c r="ITA66" s="610"/>
      <c r="ITB66" s="610"/>
      <c r="ITC66" s="610"/>
      <c r="ITD66" s="610"/>
      <c r="ITE66" s="610"/>
      <c r="ITF66" s="610"/>
      <c r="ITG66" s="610"/>
      <c r="ITH66" s="610"/>
      <c r="ITI66" s="610"/>
      <c r="ITJ66" s="610"/>
      <c r="ITK66" s="610"/>
      <c r="ITL66" s="610"/>
      <c r="ITM66" s="610"/>
      <c r="ITN66" s="610"/>
      <c r="ITO66" s="610"/>
      <c r="ITP66" s="610"/>
      <c r="ITQ66" s="610"/>
      <c r="ITR66" s="610"/>
      <c r="ITS66" s="610"/>
      <c r="ITT66" s="610"/>
      <c r="ITU66" s="610"/>
      <c r="ITV66" s="610"/>
      <c r="ITW66" s="610"/>
      <c r="ITX66" s="610"/>
      <c r="ITY66" s="610"/>
      <c r="ITZ66" s="610"/>
      <c r="IUA66" s="610"/>
      <c r="IUB66" s="610"/>
      <c r="IUC66" s="610"/>
      <c r="IUD66" s="610"/>
      <c r="IUE66" s="610"/>
      <c r="IUF66" s="610"/>
      <c r="IUG66" s="610"/>
      <c r="IUH66" s="610"/>
      <c r="IUI66" s="610"/>
      <c r="IUJ66" s="610"/>
      <c r="IUK66" s="610"/>
      <c r="IUL66" s="610"/>
      <c r="IUM66" s="610"/>
      <c r="IUN66" s="610"/>
      <c r="IUO66" s="610"/>
      <c r="IUP66" s="610"/>
      <c r="IUQ66" s="610"/>
      <c r="IUR66" s="610"/>
      <c r="IUS66" s="610"/>
      <c r="IUT66" s="610"/>
      <c r="IUU66" s="610"/>
      <c r="IUV66" s="610"/>
      <c r="IUW66" s="610"/>
      <c r="IUX66" s="610"/>
      <c r="IUY66" s="610"/>
      <c r="IUZ66" s="610"/>
      <c r="IVA66" s="610"/>
      <c r="IVB66" s="610"/>
      <c r="IVC66" s="610"/>
      <c r="IVD66" s="610"/>
      <c r="IVE66" s="610"/>
      <c r="IVF66" s="610"/>
      <c r="IVG66" s="610"/>
      <c r="IVH66" s="610"/>
      <c r="IVI66" s="610"/>
      <c r="IVJ66" s="610"/>
      <c r="IVK66" s="610"/>
      <c r="IVL66" s="610"/>
      <c r="IVM66" s="610"/>
      <c r="IVN66" s="610"/>
      <c r="IVO66" s="610"/>
      <c r="IVP66" s="610"/>
      <c r="IVQ66" s="610"/>
      <c r="IVR66" s="610"/>
      <c r="IVS66" s="610"/>
      <c r="IVT66" s="610"/>
      <c r="IVU66" s="610"/>
      <c r="IVV66" s="610"/>
      <c r="IVW66" s="610"/>
      <c r="IVX66" s="610"/>
      <c r="IVY66" s="610"/>
      <c r="IVZ66" s="610"/>
      <c r="IWA66" s="610"/>
      <c r="IWB66" s="610"/>
      <c r="IWC66" s="610"/>
      <c r="IWD66" s="610"/>
      <c r="IWE66" s="610"/>
      <c r="IWF66" s="610"/>
      <c r="IWG66" s="610"/>
      <c r="IWH66" s="610"/>
      <c r="IWI66" s="610"/>
      <c r="IWJ66" s="610"/>
      <c r="IWK66" s="610"/>
      <c r="IWL66" s="610"/>
      <c r="IWM66" s="610"/>
      <c r="IWN66" s="610"/>
      <c r="IWO66" s="610"/>
      <c r="IWP66" s="610"/>
      <c r="IWQ66" s="610"/>
      <c r="IWR66" s="610"/>
      <c r="IWS66" s="610"/>
      <c r="IWT66" s="610"/>
      <c r="IWU66" s="610"/>
      <c r="IWV66" s="610"/>
      <c r="IWW66" s="610"/>
      <c r="IWX66" s="610"/>
      <c r="IWY66" s="610"/>
      <c r="IWZ66" s="610"/>
      <c r="IXA66" s="610"/>
      <c r="IXB66" s="610"/>
      <c r="IXC66" s="610"/>
      <c r="IXD66" s="610"/>
      <c r="IXE66" s="610"/>
      <c r="IXF66" s="610"/>
      <c r="IXG66" s="610"/>
      <c r="IXH66" s="610"/>
      <c r="IXI66" s="610"/>
      <c r="IXJ66" s="610"/>
      <c r="IXK66" s="610"/>
      <c r="IXL66" s="610"/>
      <c r="IXM66" s="610"/>
      <c r="IXN66" s="610"/>
      <c r="IXO66" s="610"/>
      <c r="IXP66" s="610"/>
      <c r="IXQ66" s="610"/>
      <c r="IXR66" s="610"/>
      <c r="IXS66" s="610"/>
      <c r="IXT66" s="610"/>
      <c r="IXU66" s="610"/>
      <c r="IXV66" s="610"/>
      <c r="IXW66" s="610"/>
      <c r="IXX66" s="610"/>
      <c r="IXY66" s="610"/>
      <c r="IXZ66" s="610"/>
      <c r="IYA66" s="610"/>
      <c r="IYB66" s="610"/>
      <c r="IYC66" s="610"/>
      <c r="IYD66" s="610"/>
      <c r="IYE66" s="610"/>
      <c r="IYF66" s="610"/>
      <c r="IYG66" s="610"/>
      <c r="IYH66" s="610"/>
      <c r="IYI66" s="610"/>
      <c r="IYJ66" s="610"/>
      <c r="IYK66" s="610"/>
      <c r="IYL66" s="610"/>
      <c r="IYM66" s="610"/>
      <c r="IYN66" s="610"/>
      <c r="IYO66" s="610"/>
      <c r="IYP66" s="610"/>
      <c r="IYQ66" s="610"/>
      <c r="IYR66" s="610"/>
      <c r="IYS66" s="610"/>
      <c r="IYT66" s="610"/>
      <c r="IYU66" s="610"/>
      <c r="IYV66" s="610"/>
      <c r="IYW66" s="610"/>
      <c r="IYX66" s="610"/>
      <c r="IYY66" s="610"/>
      <c r="IYZ66" s="610"/>
      <c r="IZA66" s="610"/>
      <c r="IZB66" s="610"/>
      <c r="IZC66" s="610"/>
      <c r="IZD66" s="610"/>
      <c r="IZE66" s="610"/>
      <c r="IZF66" s="610"/>
      <c r="IZG66" s="610"/>
      <c r="IZH66" s="610"/>
      <c r="IZI66" s="610"/>
      <c r="IZJ66" s="610"/>
      <c r="IZK66" s="610"/>
      <c r="IZL66" s="610"/>
      <c r="IZM66" s="610"/>
      <c r="IZN66" s="610"/>
      <c r="IZO66" s="610"/>
      <c r="IZP66" s="610"/>
      <c r="IZQ66" s="610"/>
      <c r="IZR66" s="610"/>
      <c r="IZS66" s="610"/>
      <c r="IZT66" s="610"/>
      <c r="IZU66" s="610"/>
      <c r="IZV66" s="610"/>
      <c r="IZW66" s="610"/>
      <c r="IZX66" s="610"/>
      <c r="IZY66" s="610"/>
      <c r="IZZ66" s="610"/>
      <c r="JAA66" s="610"/>
      <c r="JAB66" s="610"/>
      <c r="JAC66" s="610"/>
      <c r="JAD66" s="610"/>
      <c r="JAE66" s="610"/>
      <c r="JAF66" s="610"/>
      <c r="JAG66" s="610"/>
      <c r="JAH66" s="610"/>
      <c r="JAI66" s="610"/>
      <c r="JAJ66" s="610"/>
      <c r="JAK66" s="610"/>
      <c r="JAL66" s="610"/>
      <c r="JAM66" s="610"/>
      <c r="JAN66" s="610"/>
      <c r="JAO66" s="610"/>
      <c r="JAP66" s="610"/>
      <c r="JAQ66" s="610"/>
      <c r="JAR66" s="610"/>
      <c r="JAS66" s="610"/>
      <c r="JAT66" s="610"/>
      <c r="JAU66" s="610"/>
      <c r="JAV66" s="610"/>
      <c r="JAW66" s="610"/>
      <c r="JAX66" s="610"/>
      <c r="JAY66" s="610"/>
      <c r="JAZ66" s="610"/>
      <c r="JBA66" s="610"/>
      <c r="JBB66" s="610"/>
      <c r="JBC66" s="610"/>
      <c r="JBD66" s="610"/>
      <c r="JBE66" s="610"/>
      <c r="JBF66" s="610"/>
      <c r="JBG66" s="610"/>
      <c r="JBH66" s="610"/>
      <c r="JBI66" s="610"/>
      <c r="JBJ66" s="610"/>
      <c r="JBK66" s="610"/>
      <c r="JBL66" s="610"/>
      <c r="JBM66" s="610"/>
      <c r="JBN66" s="610"/>
      <c r="JBO66" s="610"/>
      <c r="JBP66" s="610"/>
      <c r="JBQ66" s="610"/>
      <c r="JBR66" s="610"/>
      <c r="JBS66" s="610"/>
      <c r="JBT66" s="610"/>
      <c r="JBU66" s="610"/>
      <c r="JBV66" s="610"/>
      <c r="JBW66" s="610"/>
      <c r="JBX66" s="610"/>
      <c r="JBY66" s="610"/>
      <c r="JBZ66" s="610"/>
      <c r="JCA66" s="610"/>
      <c r="JCB66" s="610"/>
      <c r="JCC66" s="610"/>
      <c r="JCD66" s="610"/>
      <c r="JCE66" s="610"/>
      <c r="JCF66" s="610"/>
      <c r="JCG66" s="610"/>
      <c r="JCH66" s="610"/>
      <c r="JCI66" s="610"/>
      <c r="JCJ66" s="610"/>
      <c r="JCK66" s="610"/>
      <c r="JCL66" s="610"/>
      <c r="JCM66" s="610"/>
      <c r="JCN66" s="610"/>
      <c r="JCO66" s="610"/>
      <c r="JCP66" s="610"/>
      <c r="JCQ66" s="610"/>
      <c r="JCR66" s="610"/>
      <c r="JCS66" s="610"/>
      <c r="JCT66" s="610"/>
      <c r="JCU66" s="610"/>
      <c r="JCV66" s="610"/>
      <c r="JCW66" s="610"/>
      <c r="JCX66" s="610"/>
      <c r="JCY66" s="610"/>
      <c r="JCZ66" s="610"/>
      <c r="JDA66" s="610"/>
      <c r="JDB66" s="610"/>
      <c r="JDC66" s="610"/>
      <c r="JDD66" s="610"/>
      <c r="JDE66" s="610"/>
      <c r="JDF66" s="610"/>
      <c r="JDG66" s="610"/>
      <c r="JDH66" s="610"/>
      <c r="JDI66" s="610"/>
      <c r="JDJ66" s="610"/>
      <c r="JDK66" s="610"/>
      <c r="JDL66" s="610"/>
      <c r="JDM66" s="610"/>
      <c r="JDN66" s="610"/>
      <c r="JDO66" s="610"/>
      <c r="JDP66" s="610"/>
      <c r="JDQ66" s="610"/>
      <c r="JDR66" s="610"/>
      <c r="JDS66" s="610"/>
      <c r="JDT66" s="610"/>
      <c r="JDU66" s="610"/>
      <c r="JDV66" s="610"/>
      <c r="JDW66" s="610"/>
      <c r="JDX66" s="610"/>
      <c r="JDY66" s="610"/>
      <c r="JDZ66" s="610"/>
      <c r="JEA66" s="610"/>
      <c r="JEB66" s="610"/>
      <c r="JEC66" s="610"/>
      <c r="JED66" s="610"/>
      <c r="JEE66" s="610"/>
      <c r="JEF66" s="610"/>
      <c r="JEG66" s="610"/>
      <c r="JEH66" s="610"/>
      <c r="JEI66" s="610"/>
      <c r="JEJ66" s="610"/>
      <c r="JEK66" s="610"/>
      <c r="JEL66" s="610"/>
      <c r="JEM66" s="610"/>
      <c r="JEN66" s="610"/>
      <c r="JEO66" s="610"/>
      <c r="JEP66" s="610"/>
      <c r="JEQ66" s="610"/>
      <c r="JER66" s="610"/>
      <c r="JES66" s="610"/>
      <c r="JET66" s="610"/>
      <c r="JEU66" s="610"/>
      <c r="JEV66" s="610"/>
      <c r="JEW66" s="610"/>
      <c r="JEX66" s="610"/>
      <c r="JEY66" s="610"/>
      <c r="JEZ66" s="610"/>
      <c r="JFA66" s="610"/>
      <c r="JFB66" s="610"/>
      <c r="JFC66" s="610"/>
      <c r="JFD66" s="610"/>
      <c r="JFE66" s="610"/>
      <c r="JFF66" s="610"/>
      <c r="JFG66" s="610"/>
      <c r="JFH66" s="610"/>
      <c r="JFI66" s="610"/>
      <c r="JFJ66" s="610"/>
      <c r="JFK66" s="610"/>
      <c r="JFL66" s="610"/>
      <c r="JFM66" s="610"/>
      <c r="JFN66" s="610"/>
      <c r="JFO66" s="610"/>
      <c r="JFP66" s="610"/>
      <c r="JFQ66" s="610"/>
      <c r="JFR66" s="610"/>
      <c r="JFS66" s="610"/>
      <c r="JFT66" s="610"/>
      <c r="JFU66" s="610"/>
      <c r="JFV66" s="610"/>
      <c r="JFW66" s="610"/>
      <c r="JFX66" s="610"/>
      <c r="JFY66" s="610"/>
      <c r="JFZ66" s="610"/>
      <c r="JGA66" s="610"/>
      <c r="JGB66" s="610"/>
      <c r="JGC66" s="610"/>
      <c r="JGD66" s="610"/>
      <c r="JGE66" s="610"/>
      <c r="JGF66" s="610"/>
      <c r="JGG66" s="610"/>
      <c r="JGH66" s="610"/>
      <c r="JGI66" s="610"/>
      <c r="JGJ66" s="610"/>
      <c r="JGK66" s="610"/>
      <c r="JGL66" s="610"/>
      <c r="JGM66" s="610"/>
      <c r="JGN66" s="610"/>
      <c r="JGO66" s="610"/>
      <c r="JGP66" s="610"/>
      <c r="JGQ66" s="610"/>
      <c r="JGR66" s="610"/>
      <c r="JGS66" s="610"/>
      <c r="JGT66" s="610"/>
      <c r="JGU66" s="610"/>
      <c r="JGV66" s="610"/>
      <c r="JGW66" s="610"/>
      <c r="JGX66" s="610"/>
      <c r="JGY66" s="610"/>
      <c r="JGZ66" s="610"/>
      <c r="JHA66" s="610"/>
      <c r="JHB66" s="610"/>
      <c r="JHC66" s="610"/>
      <c r="JHD66" s="610"/>
      <c r="JHE66" s="610"/>
      <c r="JHF66" s="610"/>
      <c r="JHG66" s="610"/>
      <c r="JHH66" s="610"/>
      <c r="JHI66" s="610"/>
      <c r="JHJ66" s="610"/>
      <c r="JHK66" s="610"/>
      <c r="JHL66" s="610"/>
      <c r="JHM66" s="610"/>
      <c r="JHN66" s="610"/>
      <c r="JHO66" s="610"/>
      <c r="JHP66" s="610"/>
      <c r="JHQ66" s="610"/>
      <c r="JHR66" s="610"/>
      <c r="JHS66" s="610"/>
      <c r="JHT66" s="610"/>
      <c r="JHU66" s="610"/>
      <c r="JHV66" s="610"/>
      <c r="JHW66" s="610"/>
      <c r="JHX66" s="610"/>
      <c r="JHY66" s="610"/>
      <c r="JHZ66" s="610"/>
      <c r="JIA66" s="610"/>
      <c r="JIB66" s="610"/>
      <c r="JIC66" s="610"/>
      <c r="JID66" s="610"/>
      <c r="JIE66" s="610"/>
      <c r="JIF66" s="610"/>
      <c r="JIG66" s="610"/>
      <c r="JIH66" s="610"/>
      <c r="JII66" s="610"/>
      <c r="JIJ66" s="610"/>
      <c r="JIK66" s="610"/>
      <c r="JIL66" s="610"/>
      <c r="JIM66" s="610"/>
      <c r="JIN66" s="610"/>
      <c r="JIO66" s="610"/>
      <c r="JIP66" s="610"/>
      <c r="JIQ66" s="610"/>
      <c r="JIR66" s="610"/>
      <c r="JIS66" s="610"/>
      <c r="JIT66" s="610"/>
      <c r="JIU66" s="610"/>
      <c r="JIV66" s="610"/>
      <c r="JIW66" s="610"/>
      <c r="JIX66" s="610"/>
      <c r="JIY66" s="610"/>
      <c r="JIZ66" s="610"/>
      <c r="JJA66" s="610"/>
      <c r="JJB66" s="610"/>
      <c r="JJC66" s="610"/>
      <c r="JJD66" s="610"/>
      <c r="JJE66" s="610"/>
      <c r="JJF66" s="610"/>
      <c r="JJG66" s="610"/>
      <c r="JJH66" s="610"/>
      <c r="JJI66" s="610"/>
      <c r="JJJ66" s="610"/>
      <c r="JJK66" s="610"/>
      <c r="JJL66" s="610"/>
      <c r="JJM66" s="610"/>
      <c r="JJN66" s="610"/>
      <c r="JJO66" s="610"/>
      <c r="JJP66" s="610"/>
      <c r="JJQ66" s="610"/>
      <c r="JJR66" s="610"/>
      <c r="JJS66" s="610"/>
      <c r="JJT66" s="610"/>
      <c r="JJU66" s="610"/>
      <c r="JJV66" s="610"/>
      <c r="JJW66" s="610"/>
      <c r="JJX66" s="610"/>
      <c r="JJY66" s="610"/>
      <c r="JJZ66" s="610"/>
      <c r="JKA66" s="610"/>
      <c r="JKB66" s="610"/>
      <c r="JKC66" s="610"/>
      <c r="JKD66" s="610"/>
      <c r="JKE66" s="610"/>
      <c r="JKF66" s="610"/>
      <c r="JKG66" s="610"/>
      <c r="JKH66" s="610"/>
      <c r="JKI66" s="610"/>
      <c r="JKJ66" s="610"/>
      <c r="JKK66" s="610"/>
      <c r="JKL66" s="610"/>
      <c r="JKM66" s="610"/>
      <c r="JKN66" s="610"/>
      <c r="JKO66" s="610"/>
      <c r="JKP66" s="610"/>
      <c r="JKQ66" s="610"/>
      <c r="JKR66" s="610"/>
      <c r="JKS66" s="610"/>
      <c r="JKT66" s="610"/>
      <c r="JKU66" s="610"/>
      <c r="JKV66" s="610"/>
      <c r="JKW66" s="610"/>
      <c r="JKX66" s="610"/>
      <c r="JKY66" s="610"/>
      <c r="JKZ66" s="610"/>
      <c r="JLA66" s="610"/>
      <c r="JLB66" s="610"/>
      <c r="JLC66" s="610"/>
      <c r="JLD66" s="610"/>
      <c r="JLE66" s="610"/>
      <c r="JLF66" s="610"/>
      <c r="JLG66" s="610"/>
      <c r="JLH66" s="610"/>
      <c r="JLI66" s="610"/>
      <c r="JLJ66" s="610"/>
      <c r="JLK66" s="610"/>
      <c r="JLL66" s="610"/>
      <c r="JLM66" s="610"/>
      <c r="JLN66" s="610"/>
      <c r="JLO66" s="610"/>
      <c r="JLP66" s="610"/>
      <c r="JLQ66" s="610"/>
      <c r="JLR66" s="610"/>
      <c r="JLS66" s="610"/>
      <c r="JLT66" s="610"/>
      <c r="JLU66" s="610"/>
      <c r="JLV66" s="610"/>
      <c r="JLW66" s="610"/>
      <c r="JLX66" s="610"/>
      <c r="JLY66" s="610"/>
      <c r="JLZ66" s="610"/>
      <c r="JMA66" s="610"/>
      <c r="JMB66" s="610"/>
      <c r="JMC66" s="610"/>
      <c r="JMD66" s="610"/>
      <c r="JME66" s="610"/>
      <c r="JMF66" s="610"/>
      <c r="JMG66" s="610"/>
      <c r="JMH66" s="610"/>
      <c r="JMI66" s="610"/>
      <c r="JMJ66" s="610"/>
      <c r="JMK66" s="610"/>
      <c r="JML66" s="610"/>
      <c r="JMM66" s="610"/>
      <c r="JMN66" s="610"/>
      <c r="JMO66" s="610"/>
      <c r="JMP66" s="610"/>
      <c r="JMQ66" s="610"/>
      <c r="JMR66" s="610"/>
      <c r="JMS66" s="610"/>
      <c r="JMT66" s="610"/>
      <c r="JMU66" s="610"/>
      <c r="JMV66" s="610"/>
      <c r="JMW66" s="610"/>
      <c r="JMX66" s="610"/>
      <c r="JMY66" s="610"/>
      <c r="JMZ66" s="610"/>
      <c r="JNA66" s="610"/>
      <c r="JNB66" s="610"/>
      <c r="JNC66" s="610"/>
      <c r="JND66" s="610"/>
      <c r="JNE66" s="610"/>
      <c r="JNF66" s="610"/>
      <c r="JNG66" s="610"/>
      <c r="JNH66" s="610"/>
      <c r="JNI66" s="610"/>
      <c r="JNJ66" s="610"/>
      <c r="JNK66" s="610"/>
      <c r="JNL66" s="610"/>
      <c r="JNM66" s="610"/>
      <c r="JNN66" s="610"/>
      <c r="JNO66" s="610"/>
      <c r="JNP66" s="610"/>
      <c r="JNQ66" s="610"/>
      <c r="JNR66" s="610"/>
      <c r="JNS66" s="610"/>
      <c r="JNT66" s="610"/>
      <c r="JNU66" s="610"/>
      <c r="JNV66" s="610"/>
      <c r="JNW66" s="610"/>
      <c r="JNX66" s="610"/>
      <c r="JNY66" s="610"/>
      <c r="JNZ66" s="610"/>
      <c r="JOA66" s="610"/>
      <c r="JOB66" s="610"/>
      <c r="JOC66" s="610"/>
      <c r="JOD66" s="610"/>
      <c r="JOE66" s="610"/>
      <c r="JOF66" s="610"/>
      <c r="JOG66" s="610"/>
      <c r="JOH66" s="610"/>
      <c r="JOI66" s="610"/>
      <c r="JOJ66" s="610"/>
      <c r="JOK66" s="610"/>
      <c r="JOL66" s="610"/>
      <c r="JOM66" s="610"/>
      <c r="JON66" s="610"/>
      <c r="JOO66" s="610"/>
      <c r="JOP66" s="610"/>
      <c r="JOQ66" s="610"/>
      <c r="JOR66" s="610"/>
      <c r="JOS66" s="610"/>
      <c r="JOT66" s="610"/>
      <c r="JOU66" s="610"/>
      <c r="JOV66" s="610"/>
      <c r="JOW66" s="610"/>
      <c r="JOX66" s="610"/>
      <c r="JOY66" s="610"/>
      <c r="JOZ66" s="610"/>
      <c r="JPA66" s="610"/>
      <c r="JPB66" s="610"/>
      <c r="JPC66" s="610"/>
      <c r="JPD66" s="610"/>
      <c r="JPE66" s="610"/>
      <c r="JPF66" s="610"/>
      <c r="JPG66" s="610"/>
      <c r="JPH66" s="610"/>
      <c r="JPI66" s="610"/>
      <c r="JPJ66" s="610"/>
      <c r="JPK66" s="610"/>
      <c r="JPL66" s="610"/>
      <c r="JPM66" s="610"/>
      <c r="JPN66" s="610"/>
      <c r="JPO66" s="610"/>
      <c r="JPP66" s="610"/>
      <c r="JPQ66" s="610"/>
      <c r="JPR66" s="610"/>
      <c r="JPS66" s="610"/>
      <c r="JPT66" s="610"/>
      <c r="JPU66" s="610"/>
      <c r="JPV66" s="610"/>
      <c r="JPW66" s="610"/>
      <c r="JPX66" s="610"/>
      <c r="JPY66" s="610"/>
      <c r="JPZ66" s="610"/>
      <c r="JQA66" s="610"/>
      <c r="JQB66" s="610"/>
      <c r="JQC66" s="610"/>
      <c r="JQD66" s="610"/>
      <c r="JQE66" s="610"/>
      <c r="JQF66" s="610"/>
      <c r="JQG66" s="610"/>
      <c r="JQH66" s="610"/>
      <c r="JQI66" s="610"/>
      <c r="JQJ66" s="610"/>
      <c r="JQK66" s="610"/>
      <c r="JQL66" s="610"/>
      <c r="JQM66" s="610"/>
      <c r="JQN66" s="610"/>
      <c r="JQO66" s="610"/>
      <c r="JQP66" s="610"/>
      <c r="JQQ66" s="610"/>
      <c r="JQR66" s="610"/>
      <c r="JQS66" s="610"/>
      <c r="JQT66" s="610"/>
      <c r="JQU66" s="610"/>
      <c r="JQV66" s="610"/>
      <c r="JQW66" s="610"/>
      <c r="JQX66" s="610"/>
      <c r="JQY66" s="610"/>
      <c r="JQZ66" s="610"/>
      <c r="JRA66" s="610"/>
      <c r="JRB66" s="610"/>
      <c r="JRC66" s="610"/>
      <c r="JRD66" s="610"/>
      <c r="JRE66" s="610"/>
      <c r="JRF66" s="610"/>
      <c r="JRG66" s="610"/>
      <c r="JRH66" s="610"/>
      <c r="JRI66" s="610"/>
      <c r="JRJ66" s="610"/>
      <c r="JRK66" s="610"/>
      <c r="JRL66" s="610"/>
      <c r="JRM66" s="610"/>
      <c r="JRN66" s="610"/>
      <c r="JRO66" s="610"/>
      <c r="JRP66" s="610"/>
      <c r="JRQ66" s="610"/>
      <c r="JRR66" s="610"/>
      <c r="JRS66" s="610"/>
      <c r="JRT66" s="610"/>
      <c r="JRU66" s="610"/>
      <c r="JRV66" s="610"/>
      <c r="JRW66" s="610"/>
      <c r="JRX66" s="610"/>
      <c r="JRY66" s="610"/>
      <c r="JRZ66" s="610"/>
      <c r="JSA66" s="610"/>
      <c r="JSB66" s="610"/>
      <c r="JSC66" s="610"/>
      <c r="JSD66" s="610"/>
      <c r="JSE66" s="610"/>
      <c r="JSF66" s="610"/>
      <c r="JSG66" s="610"/>
      <c r="JSH66" s="610"/>
      <c r="JSI66" s="610"/>
      <c r="JSJ66" s="610"/>
      <c r="JSK66" s="610"/>
      <c r="JSL66" s="610"/>
      <c r="JSM66" s="610"/>
      <c r="JSN66" s="610"/>
      <c r="JSO66" s="610"/>
      <c r="JSP66" s="610"/>
      <c r="JSQ66" s="610"/>
      <c r="JSR66" s="610"/>
      <c r="JSS66" s="610"/>
      <c r="JST66" s="610"/>
      <c r="JSU66" s="610"/>
      <c r="JSV66" s="610"/>
      <c r="JSW66" s="610"/>
      <c r="JSX66" s="610"/>
      <c r="JSY66" s="610"/>
      <c r="JSZ66" s="610"/>
      <c r="JTA66" s="610"/>
      <c r="JTB66" s="610"/>
      <c r="JTC66" s="610"/>
      <c r="JTD66" s="610"/>
      <c r="JTE66" s="610"/>
      <c r="JTF66" s="610"/>
      <c r="JTG66" s="610"/>
      <c r="JTH66" s="610"/>
      <c r="JTI66" s="610"/>
      <c r="JTJ66" s="610"/>
      <c r="JTK66" s="610"/>
      <c r="JTL66" s="610"/>
      <c r="JTM66" s="610"/>
      <c r="JTN66" s="610"/>
      <c r="JTO66" s="610"/>
      <c r="JTP66" s="610"/>
      <c r="JTQ66" s="610"/>
      <c r="JTR66" s="610"/>
      <c r="JTS66" s="610"/>
      <c r="JTT66" s="610"/>
      <c r="JTU66" s="610"/>
      <c r="JTV66" s="610"/>
      <c r="JTW66" s="610"/>
      <c r="JTX66" s="610"/>
      <c r="JTY66" s="610"/>
      <c r="JTZ66" s="610"/>
      <c r="JUA66" s="610"/>
      <c r="JUB66" s="610"/>
      <c r="JUC66" s="610"/>
      <c r="JUD66" s="610"/>
      <c r="JUE66" s="610"/>
      <c r="JUF66" s="610"/>
      <c r="JUG66" s="610"/>
      <c r="JUH66" s="610"/>
      <c r="JUI66" s="610"/>
      <c r="JUJ66" s="610"/>
      <c r="JUK66" s="610"/>
      <c r="JUL66" s="610"/>
      <c r="JUM66" s="610"/>
      <c r="JUN66" s="610"/>
      <c r="JUO66" s="610"/>
      <c r="JUP66" s="610"/>
      <c r="JUQ66" s="610"/>
      <c r="JUR66" s="610"/>
      <c r="JUS66" s="610"/>
      <c r="JUT66" s="610"/>
      <c r="JUU66" s="610"/>
      <c r="JUV66" s="610"/>
      <c r="JUW66" s="610"/>
      <c r="JUX66" s="610"/>
      <c r="JUY66" s="610"/>
      <c r="JUZ66" s="610"/>
      <c r="JVA66" s="610"/>
      <c r="JVB66" s="610"/>
      <c r="JVC66" s="610"/>
      <c r="JVD66" s="610"/>
      <c r="JVE66" s="610"/>
      <c r="JVF66" s="610"/>
      <c r="JVG66" s="610"/>
      <c r="JVH66" s="610"/>
      <c r="JVI66" s="610"/>
      <c r="JVJ66" s="610"/>
      <c r="JVK66" s="610"/>
      <c r="JVL66" s="610"/>
      <c r="JVM66" s="610"/>
      <c r="JVN66" s="610"/>
      <c r="JVO66" s="610"/>
      <c r="JVP66" s="610"/>
      <c r="JVQ66" s="610"/>
      <c r="JVR66" s="610"/>
      <c r="JVS66" s="610"/>
      <c r="JVT66" s="610"/>
      <c r="JVU66" s="610"/>
      <c r="JVV66" s="610"/>
      <c r="JVW66" s="610"/>
      <c r="JVX66" s="610"/>
      <c r="JVY66" s="610"/>
      <c r="JVZ66" s="610"/>
      <c r="JWA66" s="610"/>
      <c r="JWB66" s="610"/>
      <c r="JWC66" s="610"/>
      <c r="JWD66" s="610"/>
      <c r="JWE66" s="610"/>
      <c r="JWF66" s="610"/>
      <c r="JWG66" s="610"/>
      <c r="JWH66" s="610"/>
      <c r="JWI66" s="610"/>
      <c r="JWJ66" s="610"/>
      <c r="JWK66" s="610"/>
      <c r="JWL66" s="610"/>
      <c r="JWM66" s="610"/>
      <c r="JWN66" s="610"/>
      <c r="JWO66" s="610"/>
      <c r="JWP66" s="610"/>
      <c r="JWQ66" s="610"/>
      <c r="JWR66" s="610"/>
      <c r="JWS66" s="610"/>
      <c r="JWT66" s="610"/>
      <c r="JWU66" s="610"/>
      <c r="JWV66" s="610"/>
      <c r="JWW66" s="610"/>
      <c r="JWX66" s="610"/>
      <c r="JWY66" s="610"/>
      <c r="JWZ66" s="610"/>
      <c r="JXA66" s="610"/>
      <c r="JXB66" s="610"/>
      <c r="JXC66" s="610"/>
      <c r="JXD66" s="610"/>
      <c r="JXE66" s="610"/>
      <c r="JXF66" s="610"/>
      <c r="JXG66" s="610"/>
      <c r="JXH66" s="610"/>
      <c r="JXI66" s="610"/>
      <c r="JXJ66" s="610"/>
      <c r="JXK66" s="610"/>
      <c r="JXL66" s="610"/>
      <c r="JXM66" s="610"/>
      <c r="JXN66" s="610"/>
      <c r="JXO66" s="610"/>
      <c r="JXP66" s="610"/>
      <c r="JXQ66" s="610"/>
      <c r="JXR66" s="610"/>
      <c r="JXS66" s="610"/>
      <c r="JXT66" s="610"/>
      <c r="JXU66" s="610"/>
      <c r="JXV66" s="610"/>
      <c r="JXW66" s="610"/>
      <c r="JXX66" s="610"/>
      <c r="JXY66" s="610"/>
      <c r="JXZ66" s="610"/>
      <c r="JYA66" s="610"/>
      <c r="JYB66" s="610"/>
      <c r="JYC66" s="610"/>
      <c r="JYD66" s="610"/>
      <c r="JYE66" s="610"/>
      <c r="JYF66" s="610"/>
      <c r="JYG66" s="610"/>
      <c r="JYH66" s="610"/>
      <c r="JYI66" s="610"/>
      <c r="JYJ66" s="610"/>
      <c r="JYK66" s="610"/>
      <c r="JYL66" s="610"/>
      <c r="JYM66" s="610"/>
      <c r="JYN66" s="610"/>
      <c r="JYO66" s="610"/>
      <c r="JYP66" s="610"/>
      <c r="JYQ66" s="610"/>
      <c r="JYR66" s="610"/>
      <c r="JYS66" s="610"/>
      <c r="JYT66" s="610"/>
      <c r="JYU66" s="610"/>
      <c r="JYV66" s="610"/>
      <c r="JYW66" s="610"/>
      <c r="JYX66" s="610"/>
      <c r="JYY66" s="610"/>
      <c r="JYZ66" s="610"/>
      <c r="JZA66" s="610"/>
      <c r="JZB66" s="610"/>
      <c r="JZC66" s="610"/>
      <c r="JZD66" s="610"/>
      <c r="JZE66" s="610"/>
      <c r="JZF66" s="610"/>
      <c r="JZG66" s="610"/>
      <c r="JZH66" s="610"/>
      <c r="JZI66" s="610"/>
      <c r="JZJ66" s="610"/>
      <c r="JZK66" s="610"/>
      <c r="JZL66" s="610"/>
      <c r="JZM66" s="610"/>
      <c r="JZN66" s="610"/>
      <c r="JZO66" s="610"/>
      <c r="JZP66" s="610"/>
      <c r="JZQ66" s="610"/>
      <c r="JZR66" s="610"/>
      <c r="JZS66" s="610"/>
      <c r="JZT66" s="610"/>
      <c r="JZU66" s="610"/>
      <c r="JZV66" s="610"/>
      <c r="JZW66" s="610"/>
      <c r="JZX66" s="610"/>
      <c r="JZY66" s="610"/>
      <c r="JZZ66" s="610"/>
      <c r="KAA66" s="610"/>
      <c r="KAB66" s="610"/>
      <c r="KAC66" s="610"/>
      <c r="KAD66" s="610"/>
      <c r="KAE66" s="610"/>
      <c r="KAF66" s="610"/>
      <c r="KAG66" s="610"/>
      <c r="KAH66" s="610"/>
      <c r="KAI66" s="610"/>
      <c r="KAJ66" s="610"/>
      <c r="KAK66" s="610"/>
      <c r="KAL66" s="610"/>
      <c r="KAM66" s="610"/>
      <c r="KAN66" s="610"/>
      <c r="KAO66" s="610"/>
      <c r="KAP66" s="610"/>
      <c r="KAQ66" s="610"/>
      <c r="KAR66" s="610"/>
      <c r="KAS66" s="610"/>
      <c r="KAT66" s="610"/>
      <c r="KAU66" s="610"/>
      <c r="KAV66" s="610"/>
      <c r="KAW66" s="610"/>
      <c r="KAX66" s="610"/>
      <c r="KAY66" s="610"/>
      <c r="KAZ66" s="610"/>
      <c r="KBA66" s="610"/>
      <c r="KBB66" s="610"/>
      <c r="KBC66" s="610"/>
      <c r="KBD66" s="610"/>
      <c r="KBE66" s="610"/>
      <c r="KBF66" s="610"/>
      <c r="KBG66" s="610"/>
      <c r="KBH66" s="610"/>
      <c r="KBI66" s="610"/>
      <c r="KBJ66" s="610"/>
      <c r="KBK66" s="610"/>
      <c r="KBL66" s="610"/>
      <c r="KBM66" s="610"/>
      <c r="KBN66" s="610"/>
      <c r="KBO66" s="610"/>
      <c r="KBP66" s="610"/>
      <c r="KBQ66" s="610"/>
      <c r="KBR66" s="610"/>
      <c r="KBS66" s="610"/>
      <c r="KBT66" s="610"/>
      <c r="KBU66" s="610"/>
      <c r="KBV66" s="610"/>
      <c r="KBW66" s="610"/>
      <c r="KBX66" s="610"/>
      <c r="KBY66" s="610"/>
      <c r="KBZ66" s="610"/>
      <c r="KCA66" s="610"/>
      <c r="KCB66" s="610"/>
      <c r="KCC66" s="610"/>
      <c r="KCD66" s="610"/>
      <c r="KCE66" s="610"/>
      <c r="KCF66" s="610"/>
      <c r="KCG66" s="610"/>
      <c r="KCH66" s="610"/>
      <c r="KCI66" s="610"/>
      <c r="KCJ66" s="610"/>
      <c r="KCK66" s="610"/>
      <c r="KCL66" s="610"/>
      <c r="KCM66" s="610"/>
      <c r="KCN66" s="610"/>
      <c r="KCO66" s="610"/>
      <c r="KCP66" s="610"/>
      <c r="KCQ66" s="610"/>
      <c r="KCR66" s="610"/>
      <c r="KCS66" s="610"/>
      <c r="KCT66" s="610"/>
      <c r="KCU66" s="610"/>
      <c r="KCV66" s="610"/>
      <c r="KCW66" s="610"/>
      <c r="KCX66" s="610"/>
      <c r="KCY66" s="610"/>
      <c r="KCZ66" s="610"/>
      <c r="KDA66" s="610"/>
      <c r="KDB66" s="610"/>
      <c r="KDC66" s="610"/>
      <c r="KDD66" s="610"/>
      <c r="KDE66" s="610"/>
      <c r="KDF66" s="610"/>
      <c r="KDG66" s="610"/>
      <c r="KDH66" s="610"/>
      <c r="KDI66" s="610"/>
      <c r="KDJ66" s="610"/>
      <c r="KDK66" s="610"/>
      <c r="KDL66" s="610"/>
      <c r="KDM66" s="610"/>
      <c r="KDN66" s="610"/>
      <c r="KDO66" s="610"/>
      <c r="KDP66" s="610"/>
      <c r="KDQ66" s="610"/>
      <c r="KDR66" s="610"/>
      <c r="KDS66" s="610"/>
      <c r="KDT66" s="610"/>
      <c r="KDU66" s="610"/>
      <c r="KDV66" s="610"/>
      <c r="KDW66" s="610"/>
      <c r="KDX66" s="610"/>
      <c r="KDY66" s="610"/>
      <c r="KDZ66" s="610"/>
      <c r="KEA66" s="610"/>
      <c r="KEB66" s="610"/>
      <c r="KEC66" s="610"/>
      <c r="KED66" s="610"/>
      <c r="KEE66" s="610"/>
      <c r="KEF66" s="610"/>
      <c r="KEG66" s="610"/>
      <c r="KEH66" s="610"/>
      <c r="KEI66" s="610"/>
      <c r="KEJ66" s="610"/>
      <c r="KEK66" s="610"/>
      <c r="KEL66" s="610"/>
      <c r="KEM66" s="610"/>
      <c r="KEN66" s="610"/>
      <c r="KEO66" s="610"/>
      <c r="KEP66" s="610"/>
      <c r="KEQ66" s="610"/>
      <c r="KER66" s="610"/>
      <c r="KES66" s="610"/>
      <c r="KET66" s="610"/>
      <c r="KEU66" s="610"/>
      <c r="KEV66" s="610"/>
      <c r="KEW66" s="610"/>
      <c r="KEX66" s="610"/>
      <c r="KEY66" s="610"/>
      <c r="KEZ66" s="610"/>
      <c r="KFA66" s="610"/>
      <c r="KFB66" s="610"/>
      <c r="KFC66" s="610"/>
      <c r="KFD66" s="610"/>
      <c r="KFE66" s="610"/>
      <c r="KFF66" s="610"/>
      <c r="KFG66" s="610"/>
      <c r="KFH66" s="610"/>
      <c r="KFI66" s="610"/>
      <c r="KFJ66" s="610"/>
      <c r="KFK66" s="610"/>
      <c r="KFL66" s="610"/>
      <c r="KFM66" s="610"/>
      <c r="KFN66" s="610"/>
      <c r="KFO66" s="610"/>
      <c r="KFP66" s="610"/>
      <c r="KFQ66" s="610"/>
      <c r="KFR66" s="610"/>
      <c r="KFS66" s="610"/>
      <c r="KFT66" s="610"/>
      <c r="KFU66" s="610"/>
      <c r="KFV66" s="610"/>
      <c r="KFW66" s="610"/>
      <c r="KFX66" s="610"/>
      <c r="KFY66" s="610"/>
      <c r="KFZ66" s="610"/>
      <c r="KGA66" s="610"/>
      <c r="KGB66" s="610"/>
      <c r="KGC66" s="610"/>
      <c r="KGD66" s="610"/>
      <c r="KGE66" s="610"/>
      <c r="KGF66" s="610"/>
      <c r="KGG66" s="610"/>
      <c r="KGH66" s="610"/>
      <c r="KGI66" s="610"/>
      <c r="KGJ66" s="610"/>
      <c r="KGK66" s="610"/>
      <c r="KGL66" s="610"/>
      <c r="KGM66" s="610"/>
      <c r="KGN66" s="610"/>
      <c r="KGO66" s="610"/>
      <c r="KGP66" s="610"/>
      <c r="KGQ66" s="610"/>
      <c r="KGR66" s="610"/>
      <c r="KGS66" s="610"/>
      <c r="KGT66" s="610"/>
      <c r="KGU66" s="610"/>
      <c r="KGV66" s="610"/>
      <c r="KGW66" s="610"/>
      <c r="KGX66" s="610"/>
      <c r="KGY66" s="610"/>
      <c r="KGZ66" s="610"/>
      <c r="KHA66" s="610"/>
      <c r="KHB66" s="610"/>
      <c r="KHC66" s="610"/>
      <c r="KHD66" s="610"/>
      <c r="KHE66" s="610"/>
      <c r="KHF66" s="610"/>
      <c r="KHG66" s="610"/>
      <c r="KHH66" s="610"/>
      <c r="KHI66" s="610"/>
      <c r="KHJ66" s="610"/>
      <c r="KHK66" s="610"/>
      <c r="KHL66" s="610"/>
      <c r="KHM66" s="610"/>
      <c r="KHN66" s="610"/>
      <c r="KHO66" s="610"/>
      <c r="KHP66" s="610"/>
      <c r="KHQ66" s="610"/>
      <c r="KHR66" s="610"/>
      <c r="KHS66" s="610"/>
      <c r="KHT66" s="610"/>
      <c r="KHU66" s="610"/>
      <c r="KHV66" s="610"/>
      <c r="KHW66" s="610"/>
      <c r="KHX66" s="610"/>
      <c r="KHY66" s="610"/>
      <c r="KHZ66" s="610"/>
      <c r="KIA66" s="610"/>
      <c r="KIB66" s="610"/>
      <c r="KIC66" s="610"/>
      <c r="KID66" s="610"/>
      <c r="KIE66" s="610"/>
      <c r="KIF66" s="610"/>
      <c r="KIG66" s="610"/>
      <c r="KIH66" s="610"/>
      <c r="KII66" s="610"/>
      <c r="KIJ66" s="610"/>
      <c r="KIK66" s="610"/>
      <c r="KIL66" s="610"/>
      <c r="KIM66" s="610"/>
      <c r="KIN66" s="610"/>
      <c r="KIO66" s="610"/>
      <c r="KIP66" s="610"/>
      <c r="KIQ66" s="610"/>
      <c r="KIR66" s="610"/>
      <c r="KIS66" s="610"/>
      <c r="KIT66" s="610"/>
      <c r="KIU66" s="610"/>
      <c r="KIV66" s="610"/>
      <c r="KIW66" s="610"/>
      <c r="KIX66" s="610"/>
      <c r="KIY66" s="610"/>
      <c r="KIZ66" s="610"/>
      <c r="KJA66" s="610"/>
      <c r="KJB66" s="610"/>
      <c r="KJC66" s="610"/>
      <c r="KJD66" s="610"/>
      <c r="KJE66" s="610"/>
      <c r="KJF66" s="610"/>
      <c r="KJG66" s="610"/>
      <c r="KJH66" s="610"/>
      <c r="KJI66" s="610"/>
      <c r="KJJ66" s="610"/>
      <c r="KJK66" s="610"/>
      <c r="KJL66" s="610"/>
      <c r="KJM66" s="610"/>
      <c r="KJN66" s="610"/>
      <c r="KJO66" s="610"/>
      <c r="KJP66" s="610"/>
      <c r="KJQ66" s="610"/>
      <c r="KJR66" s="610"/>
      <c r="KJS66" s="610"/>
      <c r="KJT66" s="610"/>
      <c r="KJU66" s="610"/>
      <c r="KJV66" s="610"/>
      <c r="KJW66" s="610"/>
      <c r="KJX66" s="610"/>
      <c r="KJY66" s="610"/>
      <c r="KJZ66" s="610"/>
      <c r="KKA66" s="610"/>
      <c r="KKB66" s="610"/>
      <c r="KKC66" s="610"/>
      <c r="KKD66" s="610"/>
      <c r="KKE66" s="610"/>
      <c r="KKF66" s="610"/>
      <c r="KKG66" s="610"/>
      <c r="KKH66" s="610"/>
      <c r="KKI66" s="610"/>
      <c r="KKJ66" s="610"/>
      <c r="KKK66" s="610"/>
      <c r="KKL66" s="610"/>
      <c r="KKM66" s="610"/>
      <c r="KKN66" s="610"/>
      <c r="KKO66" s="610"/>
      <c r="KKP66" s="610"/>
      <c r="KKQ66" s="610"/>
      <c r="KKR66" s="610"/>
      <c r="KKS66" s="610"/>
      <c r="KKT66" s="610"/>
      <c r="KKU66" s="610"/>
      <c r="KKV66" s="610"/>
      <c r="KKW66" s="610"/>
      <c r="KKX66" s="610"/>
      <c r="KKY66" s="610"/>
      <c r="KKZ66" s="610"/>
      <c r="KLA66" s="610"/>
      <c r="KLB66" s="610"/>
      <c r="KLC66" s="610"/>
      <c r="KLD66" s="610"/>
      <c r="KLE66" s="610"/>
      <c r="KLF66" s="610"/>
      <c r="KLG66" s="610"/>
      <c r="KLH66" s="610"/>
      <c r="KLI66" s="610"/>
      <c r="KLJ66" s="610"/>
      <c r="KLK66" s="610"/>
      <c r="KLL66" s="610"/>
      <c r="KLM66" s="610"/>
      <c r="KLN66" s="610"/>
      <c r="KLO66" s="610"/>
      <c r="KLP66" s="610"/>
      <c r="KLQ66" s="610"/>
      <c r="KLR66" s="610"/>
      <c r="KLS66" s="610"/>
      <c r="KLT66" s="610"/>
      <c r="KLU66" s="610"/>
      <c r="KLV66" s="610"/>
      <c r="KLW66" s="610"/>
      <c r="KLX66" s="610"/>
      <c r="KLY66" s="610"/>
      <c r="KLZ66" s="610"/>
      <c r="KMA66" s="610"/>
      <c r="KMB66" s="610"/>
      <c r="KMC66" s="610"/>
      <c r="KMD66" s="610"/>
      <c r="KME66" s="610"/>
      <c r="KMF66" s="610"/>
      <c r="KMG66" s="610"/>
      <c r="KMH66" s="610"/>
      <c r="KMI66" s="610"/>
      <c r="KMJ66" s="610"/>
      <c r="KMK66" s="610"/>
      <c r="KML66" s="610"/>
      <c r="KMM66" s="610"/>
      <c r="KMN66" s="610"/>
      <c r="KMO66" s="610"/>
      <c r="KMP66" s="610"/>
      <c r="KMQ66" s="610"/>
      <c r="KMR66" s="610"/>
      <c r="KMS66" s="610"/>
      <c r="KMT66" s="610"/>
      <c r="KMU66" s="610"/>
      <c r="KMV66" s="610"/>
      <c r="KMW66" s="610"/>
      <c r="KMX66" s="610"/>
      <c r="KMY66" s="610"/>
      <c r="KMZ66" s="610"/>
      <c r="KNA66" s="610"/>
      <c r="KNB66" s="610"/>
      <c r="KNC66" s="610"/>
      <c r="KND66" s="610"/>
      <c r="KNE66" s="610"/>
      <c r="KNF66" s="610"/>
      <c r="KNG66" s="610"/>
      <c r="KNH66" s="610"/>
      <c r="KNI66" s="610"/>
      <c r="KNJ66" s="610"/>
      <c r="KNK66" s="610"/>
      <c r="KNL66" s="610"/>
      <c r="KNM66" s="610"/>
      <c r="KNN66" s="610"/>
      <c r="KNO66" s="610"/>
      <c r="KNP66" s="610"/>
      <c r="KNQ66" s="610"/>
      <c r="KNR66" s="610"/>
      <c r="KNS66" s="610"/>
      <c r="KNT66" s="610"/>
      <c r="KNU66" s="610"/>
      <c r="KNV66" s="610"/>
      <c r="KNW66" s="610"/>
      <c r="KNX66" s="610"/>
      <c r="KNY66" s="610"/>
      <c r="KNZ66" s="610"/>
      <c r="KOA66" s="610"/>
      <c r="KOB66" s="610"/>
      <c r="KOC66" s="610"/>
      <c r="KOD66" s="610"/>
      <c r="KOE66" s="610"/>
      <c r="KOF66" s="610"/>
      <c r="KOG66" s="610"/>
      <c r="KOH66" s="610"/>
      <c r="KOI66" s="610"/>
      <c r="KOJ66" s="610"/>
      <c r="KOK66" s="610"/>
      <c r="KOL66" s="610"/>
      <c r="KOM66" s="610"/>
      <c r="KON66" s="610"/>
      <c r="KOO66" s="610"/>
      <c r="KOP66" s="610"/>
      <c r="KOQ66" s="610"/>
      <c r="KOR66" s="610"/>
      <c r="KOS66" s="610"/>
      <c r="KOT66" s="610"/>
      <c r="KOU66" s="610"/>
      <c r="KOV66" s="610"/>
      <c r="KOW66" s="610"/>
      <c r="KOX66" s="610"/>
      <c r="KOY66" s="610"/>
      <c r="KOZ66" s="610"/>
      <c r="KPA66" s="610"/>
      <c r="KPB66" s="610"/>
      <c r="KPC66" s="610"/>
      <c r="KPD66" s="610"/>
      <c r="KPE66" s="610"/>
      <c r="KPF66" s="610"/>
      <c r="KPG66" s="610"/>
      <c r="KPH66" s="610"/>
      <c r="KPI66" s="610"/>
      <c r="KPJ66" s="610"/>
      <c r="KPK66" s="610"/>
      <c r="KPL66" s="610"/>
      <c r="KPM66" s="610"/>
      <c r="KPN66" s="610"/>
      <c r="KPO66" s="610"/>
      <c r="KPP66" s="610"/>
      <c r="KPQ66" s="610"/>
      <c r="KPR66" s="610"/>
      <c r="KPS66" s="610"/>
      <c r="KPT66" s="610"/>
      <c r="KPU66" s="610"/>
      <c r="KPV66" s="610"/>
      <c r="KPW66" s="610"/>
      <c r="KPX66" s="610"/>
      <c r="KPY66" s="610"/>
      <c r="KPZ66" s="610"/>
      <c r="KQA66" s="610"/>
      <c r="KQB66" s="610"/>
      <c r="KQC66" s="610"/>
      <c r="KQD66" s="610"/>
      <c r="KQE66" s="610"/>
      <c r="KQF66" s="610"/>
      <c r="KQG66" s="610"/>
      <c r="KQH66" s="610"/>
      <c r="KQI66" s="610"/>
      <c r="KQJ66" s="610"/>
      <c r="KQK66" s="610"/>
      <c r="KQL66" s="610"/>
      <c r="KQM66" s="610"/>
      <c r="KQN66" s="610"/>
      <c r="KQO66" s="610"/>
      <c r="KQP66" s="610"/>
      <c r="KQQ66" s="610"/>
      <c r="KQR66" s="610"/>
      <c r="KQS66" s="610"/>
      <c r="KQT66" s="610"/>
      <c r="KQU66" s="610"/>
      <c r="KQV66" s="610"/>
      <c r="KQW66" s="610"/>
      <c r="KQX66" s="610"/>
      <c r="KQY66" s="610"/>
      <c r="KQZ66" s="610"/>
      <c r="KRA66" s="610"/>
      <c r="KRB66" s="610"/>
      <c r="KRC66" s="610"/>
      <c r="KRD66" s="610"/>
      <c r="KRE66" s="610"/>
      <c r="KRF66" s="610"/>
      <c r="KRG66" s="610"/>
      <c r="KRH66" s="610"/>
      <c r="KRI66" s="610"/>
      <c r="KRJ66" s="610"/>
      <c r="KRK66" s="610"/>
      <c r="KRL66" s="610"/>
      <c r="KRM66" s="610"/>
      <c r="KRN66" s="610"/>
      <c r="KRO66" s="610"/>
      <c r="KRP66" s="610"/>
      <c r="KRQ66" s="610"/>
      <c r="KRR66" s="610"/>
      <c r="KRS66" s="610"/>
      <c r="KRT66" s="610"/>
      <c r="KRU66" s="610"/>
      <c r="KRV66" s="610"/>
      <c r="KRW66" s="610"/>
      <c r="KRX66" s="610"/>
      <c r="KRY66" s="610"/>
      <c r="KRZ66" s="610"/>
      <c r="KSA66" s="610"/>
      <c r="KSB66" s="610"/>
      <c r="KSC66" s="610"/>
      <c r="KSD66" s="610"/>
      <c r="KSE66" s="610"/>
      <c r="KSF66" s="610"/>
      <c r="KSG66" s="610"/>
      <c r="KSH66" s="610"/>
      <c r="KSI66" s="610"/>
      <c r="KSJ66" s="610"/>
      <c r="KSK66" s="610"/>
      <c r="KSL66" s="610"/>
      <c r="KSM66" s="610"/>
      <c r="KSN66" s="610"/>
      <c r="KSO66" s="610"/>
      <c r="KSP66" s="610"/>
      <c r="KSQ66" s="610"/>
      <c r="KSR66" s="610"/>
      <c r="KSS66" s="610"/>
      <c r="KST66" s="610"/>
      <c r="KSU66" s="610"/>
      <c r="KSV66" s="610"/>
      <c r="KSW66" s="610"/>
      <c r="KSX66" s="610"/>
      <c r="KSY66" s="610"/>
      <c r="KSZ66" s="610"/>
      <c r="KTA66" s="610"/>
      <c r="KTB66" s="610"/>
      <c r="KTC66" s="610"/>
      <c r="KTD66" s="610"/>
      <c r="KTE66" s="610"/>
      <c r="KTF66" s="610"/>
      <c r="KTG66" s="610"/>
      <c r="KTH66" s="610"/>
      <c r="KTI66" s="610"/>
      <c r="KTJ66" s="610"/>
      <c r="KTK66" s="610"/>
      <c r="KTL66" s="610"/>
      <c r="KTM66" s="610"/>
      <c r="KTN66" s="610"/>
      <c r="KTO66" s="610"/>
      <c r="KTP66" s="610"/>
      <c r="KTQ66" s="610"/>
      <c r="KTR66" s="610"/>
      <c r="KTS66" s="610"/>
      <c r="KTT66" s="610"/>
      <c r="KTU66" s="610"/>
      <c r="KTV66" s="610"/>
      <c r="KTW66" s="610"/>
      <c r="KTX66" s="610"/>
      <c r="KTY66" s="610"/>
      <c r="KTZ66" s="610"/>
      <c r="KUA66" s="610"/>
      <c r="KUB66" s="610"/>
      <c r="KUC66" s="610"/>
      <c r="KUD66" s="610"/>
      <c r="KUE66" s="610"/>
      <c r="KUF66" s="610"/>
      <c r="KUG66" s="610"/>
      <c r="KUH66" s="610"/>
      <c r="KUI66" s="610"/>
      <c r="KUJ66" s="610"/>
      <c r="KUK66" s="610"/>
      <c r="KUL66" s="610"/>
      <c r="KUM66" s="610"/>
      <c r="KUN66" s="610"/>
      <c r="KUO66" s="610"/>
      <c r="KUP66" s="610"/>
      <c r="KUQ66" s="610"/>
      <c r="KUR66" s="610"/>
      <c r="KUS66" s="610"/>
      <c r="KUT66" s="610"/>
      <c r="KUU66" s="610"/>
      <c r="KUV66" s="610"/>
      <c r="KUW66" s="610"/>
      <c r="KUX66" s="610"/>
      <c r="KUY66" s="610"/>
      <c r="KUZ66" s="610"/>
      <c r="KVA66" s="610"/>
      <c r="KVB66" s="610"/>
      <c r="KVC66" s="610"/>
      <c r="KVD66" s="610"/>
      <c r="KVE66" s="610"/>
      <c r="KVF66" s="610"/>
      <c r="KVG66" s="610"/>
      <c r="KVH66" s="610"/>
      <c r="KVI66" s="610"/>
      <c r="KVJ66" s="610"/>
      <c r="KVK66" s="610"/>
      <c r="KVL66" s="610"/>
      <c r="KVM66" s="610"/>
      <c r="KVN66" s="610"/>
      <c r="KVO66" s="610"/>
      <c r="KVP66" s="610"/>
      <c r="KVQ66" s="610"/>
      <c r="KVR66" s="610"/>
      <c r="KVS66" s="610"/>
      <c r="KVT66" s="610"/>
      <c r="KVU66" s="610"/>
      <c r="KVV66" s="610"/>
      <c r="KVW66" s="610"/>
      <c r="KVX66" s="610"/>
      <c r="KVY66" s="610"/>
      <c r="KVZ66" s="610"/>
      <c r="KWA66" s="610"/>
      <c r="KWB66" s="610"/>
      <c r="KWC66" s="610"/>
      <c r="KWD66" s="610"/>
      <c r="KWE66" s="610"/>
      <c r="KWF66" s="610"/>
      <c r="KWG66" s="610"/>
      <c r="KWH66" s="610"/>
      <c r="KWI66" s="610"/>
      <c r="KWJ66" s="610"/>
      <c r="KWK66" s="610"/>
      <c r="KWL66" s="610"/>
      <c r="KWM66" s="610"/>
      <c r="KWN66" s="610"/>
      <c r="KWO66" s="610"/>
      <c r="KWP66" s="610"/>
      <c r="KWQ66" s="610"/>
      <c r="KWR66" s="610"/>
      <c r="KWS66" s="610"/>
      <c r="KWT66" s="610"/>
      <c r="KWU66" s="610"/>
      <c r="KWV66" s="610"/>
      <c r="KWW66" s="610"/>
      <c r="KWX66" s="610"/>
      <c r="KWY66" s="610"/>
      <c r="KWZ66" s="610"/>
      <c r="KXA66" s="610"/>
      <c r="KXB66" s="610"/>
      <c r="KXC66" s="610"/>
      <c r="KXD66" s="610"/>
      <c r="KXE66" s="610"/>
      <c r="KXF66" s="610"/>
      <c r="KXG66" s="610"/>
      <c r="KXH66" s="610"/>
      <c r="KXI66" s="610"/>
      <c r="KXJ66" s="610"/>
      <c r="KXK66" s="610"/>
      <c r="KXL66" s="610"/>
      <c r="KXM66" s="610"/>
      <c r="KXN66" s="610"/>
      <c r="KXO66" s="610"/>
      <c r="KXP66" s="610"/>
      <c r="KXQ66" s="610"/>
      <c r="KXR66" s="610"/>
      <c r="KXS66" s="610"/>
      <c r="KXT66" s="610"/>
      <c r="KXU66" s="610"/>
      <c r="KXV66" s="610"/>
      <c r="KXW66" s="610"/>
      <c r="KXX66" s="610"/>
      <c r="KXY66" s="610"/>
      <c r="KXZ66" s="610"/>
      <c r="KYA66" s="610"/>
      <c r="KYB66" s="610"/>
      <c r="KYC66" s="610"/>
      <c r="KYD66" s="610"/>
      <c r="KYE66" s="610"/>
      <c r="KYF66" s="610"/>
      <c r="KYG66" s="610"/>
      <c r="KYH66" s="610"/>
      <c r="KYI66" s="610"/>
      <c r="KYJ66" s="610"/>
      <c r="KYK66" s="610"/>
      <c r="KYL66" s="610"/>
      <c r="KYM66" s="610"/>
      <c r="KYN66" s="610"/>
      <c r="KYO66" s="610"/>
      <c r="KYP66" s="610"/>
      <c r="KYQ66" s="610"/>
      <c r="KYR66" s="610"/>
      <c r="KYS66" s="610"/>
      <c r="KYT66" s="610"/>
      <c r="KYU66" s="610"/>
      <c r="KYV66" s="610"/>
      <c r="KYW66" s="610"/>
      <c r="KYX66" s="610"/>
      <c r="KYY66" s="610"/>
      <c r="KYZ66" s="610"/>
      <c r="KZA66" s="610"/>
      <c r="KZB66" s="610"/>
      <c r="KZC66" s="610"/>
      <c r="KZD66" s="610"/>
      <c r="KZE66" s="610"/>
      <c r="KZF66" s="610"/>
      <c r="KZG66" s="610"/>
      <c r="KZH66" s="610"/>
      <c r="KZI66" s="610"/>
      <c r="KZJ66" s="610"/>
      <c r="KZK66" s="610"/>
      <c r="KZL66" s="610"/>
      <c r="KZM66" s="610"/>
      <c r="KZN66" s="610"/>
      <c r="KZO66" s="610"/>
      <c r="KZP66" s="610"/>
      <c r="KZQ66" s="610"/>
      <c r="KZR66" s="610"/>
      <c r="KZS66" s="610"/>
      <c r="KZT66" s="610"/>
      <c r="KZU66" s="610"/>
      <c r="KZV66" s="610"/>
      <c r="KZW66" s="610"/>
      <c r="KZX66" s="610"/>
      <c r="KZY66" s="610"/>
      <c r="KZZ66" s="610"/>
      <c r="LAA66" s="610"/>
      <c r="LAB66" s="610"/>
      <c r="LAC66" s="610"/>
      <c r="LAD66" s="610"/>
      <c r="LAE66" s="610"/>
      <c r="LAF66" s="610"/>
      <c r="LAG66" s="610"/>
      <c r="LAH66" s="610"/>
      <c r="LAI66" s="610"/>
      <c r="LAJ66" s="610"/>
      <c r="LAK66" s="610"/>
      <c r="LAL66" s="610"/>
      <c r="LAM66" s="610"/>
      <c r="LAN66" s="610"/>
      <c r="LAO66" s="610"/>
      <c r="LAP66" s="610"/>
      <c r="LAQ66" s="610"/>
      <c r="LAR66" s="610"/>
      <c r="LAS66" s="610"/>
      <c r="LAT66" s="610"/>
      <c r="LAU66" s="610"/>
      <c r="LAV66" s="610"/>
      <c r="LAW66" s="610"/>
      <c r="LAX66" s="610"/>
      <c r="LAY66" s="610"/>
      <c r="LAZ66" s="610"/>
      <c r="LBA66" s="610"/>
      <c r="LBB66" s="610"/>
      <c r="LBC66" s="610"/>
      <c r="LBD66" s="610"/>
      <c r="LBE66" s="610"/>
      <c r="LBF66" s="610"/>
      <c r="LBG66" s="610"/>
      <c r="LBH66" s="610"/>
      <c r="LBI66" s="610"/>
      <c r="LBJ66" s="610"/>
      <c r="LBK66" s="610"/>
      <c r="LBL66" s="610"/>
      <c r="LBM66" s="610"/>
      <c r="LBN66" s="610"/>
      <c r="LBO66" s="610"/>
      <c r="LBP66" s="610"/>
      <c r="LBQ66" s="610"/>
      <c r="LBR66" s="610"/>
      <c r="LBS66" s="610"/>
      <c r="LBT66" s="610"/>
      <c r="LBU66" s="610"/>
      <c r="LBV66" s="610"/>
      <c r="LBW66" s="610"/>
      <c r="LBX66" s="610"/>
      <c r="LBY66" s="610"/>
      <c r="LBZ66" s="610"/>
      <c r="LCA66" s="610"/>
      <c r="LCB66" s="610"/>
      <c r="LCC66" s="610"/>
      <c r="LCD66" s="610"/>
      <c r="LCE66" s="610"/>
      <c r="LCF66" s="610"/>
      <c r="LCG66" s="610"/>
      <c r="LCH66" s="610"/>
      <c r="LCI66" s="610"/>
      <c r="LCJ66" s="610"/>
      <c r="LCK66" s="610"/>
      <c r="LCL66" s="610"/>
      <c r="LCM66" s="610"/>
      <c r="LCN66" s="610"/>
      <c r="LCO66" s="610"/>
      <c r="LCP66" s="610"/>
      <c r="LCQ66" s="610"/>
      <c r="LCR66" s="610"/>
      <c r="LCS66" s="610"/>
      <c r="LCT66" s="610"/>
      <c r="LCU66" s="610"/>
      <c r="LCV66" s="610"/>
      <c r="LCW66" s="610"/>
      <c r="LCX66" s="610"/>
      <c r="LCY66" s="610"/>
      <c r="LCZ66" s="610"/>
      <c r="LDA66" s="610"/>
      <c r="LDB66" s="610"/>
      <c r="LDC66" s="610"/>
      <c r="LDD66" s="610"/>
      <c r="LDE66" s="610"/>
      <c r="LDF66" s="610"/>
      <c r="LDG66" s="610"/>
      <c r="LDH66" s="610"/>
      <c r="LDI66" s="610"/>
      <c r="LDJ66" s="610"/>
      <c r="LDK66" s="610"/>
      <c r="LDL66" s="610"/>
      <c r="LDM66" s="610"/>
      <c r="LDN66" s="610"/>
      <c r="LDO66" s="610"/>
      <c r="LDP66" s="610"/>
      <c r="LDQ66" s="610"/>
      <c r="LDR66" s="610"/>
      <c r="LDS66" s="610"/>
      <c r="LDT66" s="610"/>
      <c r="LDU66" s="610"/>
      <c r="LDV66" s="610"/>
      <c r="LDW66" s="610"/>
      <c r="LDX66" s="610"/>
      <c r="LDY66" s="610"/>
      <c r="LDZ66" s="610"/>
      <c r="LEA66" s="610"/>
      <c r="LEB66" s="610"/>
      <c r="LEC66" s="610"/>
      <c r="LED66" s="610"/>
      <c r="LEE66" s="610"/>
      <c r="LEF66" s="610"/>
      <c r="LEG66" s="610"/>
      <c r="LEH66" s="610"/>
      <c r="LEI66" s="610"/>
      <c r="LEJ66" s="610"/>
      <c r="LEK66" s="610"/>
      <c r="LEL66" s="610"/>
      <c r="LEM66" s="610"/>
      <c r="LEN66" s="610"/>
      <c r="LEO66" s="610"/>
      <c r="LEP66" s="610"/>
      <c r="LEQ66" s="610"/>
      <c r="LER66" s="610"/>
      <c r="LES66" s="610"/>
      <c r="LET66" s="610"/>
      <c r="LEU66" s="610"/>
      <c r="LEV66" s="610"/>
      <c r="LEW66" s="610"/>
      <c r="LEX66" s="610"/>
      <c r="LEY66" s="610"/>
      <c r="LEZ66" s="610"/>
      <c r="LFA66" s="610"/>
      <c r="LFB66" s="610"/>
      <c r="LFC66" s="610"/>
      <c r="LFD66" s="610"/>
      <c r="LFE66" s="610"/>
      <c r="LFF66" s="610"/>
      <c r="LFG66" s="610"/>
      <c r="LFH66" s="610"/>
      <c r="LFI66" s="610"/>
      <c r="LFJ66" s="610"/>
      <c r="LFK66" s="610"/>
      <c r="LFL66" s="610"/>
      <c r="LFM66" s="610"/>
      <c r="LFN66" s="610"/>
      <c r="LFO66" s="610"/>
      <c r="LFP66" s="610"/>
      <c r="LFQ66" s="610"/>
      <c r="LFR66" s="610"/>
      <c r="LFS66" s="610"/>
      <c r="LFT66" s="610"/>
      <c r="LFU66" s="610"/>
      <c r="LFV66" s="610"/>
      <c r="LFW66" s="610"/>
      <c r="LFX66" s="610"/>
      <c r="LFY66" s="610"/>
      <c r="LFZ66" s="610"/>
      <c r="LGA66" s="610"/>
      <c r="LGB66" s="610"/>
      <c r="LGC66" s="610"/>
      <c r="LGD66" s="610"/>
      <c r="LGE66" s="610"/>
      <c r="LGF66" s="610"/>
      <c r="LGG66" s="610"/>
      <c r="LGH66" s="610"/>
      <c r="LGI66" s="610"/>
      <c r="LGJ66" s="610"/>
      <c r="LGK66" s="610"/>
      <c r="LGL66" s="610"/>
      <c r="LGM66" s="610"/>
      <c r="LGN66" s="610"/>
      <c r="LGO66" s="610"/>
      <c r="LGP66" s="610"/>
      <c r="LGQ66" s="610"/>
      <c r="LGR66" s="610"/>
      <c r="LGS66" s="610"/>
      <c r="LGT66" s="610"/>
      <c r="LGU66" s="610"/>
      <c r="LGV66" s="610"/>
      <c r="LGW66" s="610"/>
      <c r="LGX66" s="610"/>
      <c r="LGY66" s="610"/>
      <c r="LGZ66" s="610"/>
      <c r="LHA66" s="610"/>
      <c r="LHB66" s="610"/>
      <c r="LHC66" s="610"/>
      <c r="LHD66" s="610"/>
      <c r="LHE66" s="610"/>
      <c r="LHF66" s="610"/>
      <c r="LHG66" s="610"/>
      <c r="LHH66" s="610"/>
      <c r="LHI66" s="610"/>
      <c r="LHJ66" s="610"/>
      <c r="LHK66" s="610"/>
      <c r="LHL66" s="610"/>
      <c r="LHM66" s="610"/>
      <c r="LHN66" s="610"/>
      <c r="LHO66" s="610"/>
      <c r="LHP66" s="610"/>
      <c r="LHQ66" s="610"/>
      <c r="LHR66" s="610"/>
      <c r="LHS66" s="610"/>
      <c r="LHT66" s="610"/>
      <c r="LHU66" s="610"/>
      <c r="LHV66" s="610"/>
      <c r="LHW66" s="610"/>
      <c r="LHX66" s="610"/>
      <c r="LHY66" s="610"/>
      <c r="LHZ66" s="610"/>
      <c r="LIA66" s="610"/>
      <c r="LIB66" s="610"/>
      <c r="LIC66" s="610"/>
      <c r="LID66" s="610"/>
      <c r="LIE66" s="610"/>
      <c r="LIF66" s="610"/>
      <c r="LIG66" s="610"/>
      <c r="LIH66" s="610"/>
      <c r="LII66" s="610"/>
      <c r="LIJ66" s="610"/>
      <c r="LIK66" s="610"/>
      <c r="LIL66" s="610"/>
      <c r="LIM66" s="610"/>
      <c r="LIN66" s="610"/>
      <c r="LIO66" s="610"/>
      <c r="LIP66" s="610"/>
      <c r="LIQ66" s="610"/>
      <c r="LIR66" s="610"/>
      <c r="LIS66" s="610"/>
      <c r="LIT66" s="610"/>
      <c r="LIU66" s="610"/>
      <c r="LIV66" s="610"/>
      <c r="LIW66" s="610"/>
      <c r="LIX66" s="610"/>
      <c r="LIY66" s="610"/>
      <c r="LIZ66" s="610"/>
      <c r="LJA66" s="610"/>
      <c r="LJB66" s="610"/>
      <c r="LJC66" s="610"/>
      <c r="LJD66" s="610"/>
      <c r="LJE66" s="610"/>
      <c r="LJF66" s="610"/>
      <c r="LJG66" s="610"/>
      <c r="LJH66" s="610"/>
      <c r="LJI66" s="610"/>
      <c r="LJJ66" s="610"/>
      <c r="LJK66" s="610"/>
      <c r="LJL66" s="610"/>
      <c r="LJM66" s="610"/>
      <c r="LJN66" s="610"/>
      <c r="LJO66" s="610"/>
      <c r="LJP66" s="610"/>
      <c r="LJQ66" s="610"/>
      <c r="LJR66" s="610"/>
      <c r="LJS66" s="610"/>
      <c r="LJT66" s="610"/>
      <c r="LJU66" s="610"/>
      <c r="LJV66" s="610"/>
      <c r="LJW66" s="610"/>
      <c r="LJX66" s="610"/>
      <c r="LJY66" s="610"/>
      <c r="LJZ66" s="610"/>
      <c r="LKA66" s="610"/>
      <c r="LKB66" s="610"/>
      <c r="LKC66" s="610"/>
      <c r="LKD66" s="610"/>
      <c r="LKE66" s="610"/>
      <c r="LKF66" s="610"/>
      <c r="LKG66" s="610"/>
      <c r="LKH66" s="610"/>
      <c r="LKI66" s="610"/>
      <c r="LKJ66" s="610"/>
      <c r="LKK66" s="610"/>
      <c r="LKL66" s="610"/>
      <c r="LKM66" s="610"/>
      <c r="LKN66" s="610"/>
      <c r="LKO66" s="610"/>
      <c r="LKP66" s="610"/>
      <c r="LKQ66" s="610"/>
      <c r="LKR66" s="610"/>
      <c r="LKS66" s="610"/>
      <c r="LKT66" s="610"/>
      <c r="LKU66" s="610"/>
      <c r="LKV66" s="610"/>
      <c r="LKW66" s="610"/>
      <c r="LKX66" s="610"/>
      <c r="LKY66" s="610"/>
      <c r="LKZ66" s="610"/>
      <c r="LLA66" s="610"/>
      <c r="LLB66" s="610"/>
      <c r="LLC66" s="610"/>
      <c r="LLD66" s="610"/>
      <c r="LLE66" s="610"/>
      <c r="LLF66" s="610"/>
      <c r="LLG66" s="610"/>
      <c r="LLH66" s="610"/>
      <c r="LLI66" s="610"/>
      <c r="LLJ66" s="610"/>
      <c r="LLK66" s="610"/>
      <c r="LLL66" s="610"/>
      <c r="LLM66" s="610"/>
      <c r="LLN66" s="610"/>
      <c r="LLO66" s="610"/>
      <c r="LLP66" s="610"/>
      <c r="LLQ66" s="610"/>
      <c r="LLR66" s="610"/>
      <c r="LLS66" s="610"/>
      <c r="LLT66" s="610"/>
      <c r="LLU66" s="610"/>
      <c r="LLV66" s="610"/>
      <c r="LLW66" s="610"/>
      <c r="LLX66" s="610"/>
      <c r="LLY66" s="610"/>
      <c r="LLZ66" s="610"/>
      <c r="LMA66" s="610"/>
      <c r="LMB66" s="610"/>
      <c r="LMC66" s="610"/>
      <c r="LMD66" s="610"/>
      <c r="LME66" s="610"/>
      <c r="LMF66" s="610"/>
      <c r="LMG66" s="610"/>
      <c r="LMH66" s="610"/>
      <c r="LMI66" s="610"/>
      <c r="LMJ66" s="610"/>
      <c r="LMK66" s="610"/>
      <c r="LML66" s="610"/>
      <c r="LMM66" s="610"/>
      <c r="LMN66" s="610"/>
      <c r="LMO66" s="610"/>
      <c r="LMP66" s="610"/>
      <c r="LMQ66" s="610"/>
      <c r="LMR66" s="610"/>
      <c r="LMS66" s="610"/>
      <c r="LMT66" s="610"/>
      <c r="LMU66" s="610"/>
      <c r="LMV66" s="610"/>
      <c r="LMW66" s="610"/>
      <c r="LMX66" s="610"/>
      <c r="LMY66" s="610"/>
      <c r="LMZ66" s="610"/>
      <c r="LNA66" s="610"/>
      <c r="LNB66" s="610"/>
      <c r="LNC66" s="610"/>
      <c r="LND66" s="610"/>
      <c r="LNE66" s="610"/>
      <c r="LNF66" s="610"/>
      <c r="LNG66" s="610"/>
      <c r="LNH66" s="610"/>
      <c r="LNI66" s="610"/>
      <c r="LNJ66" s="610"/>
      <c r="LNK66" s="610"/>
      <c r="LNL66" s="610"/>
      <c r="LNM66" s="610"/>
      <c r="LNN66" s="610"/>
      <c r="LNO66" s="610"/>
      <c r="LNP66" s="610"/>
      <c r="LNQ66" s="610"/>
      <c r="LNR66" s="610"/>
      <c r="LNS66" s="610"/>
      <c r="LNT66" s="610"/>
      <c r="LNU66" s="610"/>
      <c r="LNV66" s="610"/>
      <c r="LNW66" s="610"/>
      <c r="LNX66" s="610"/>
      <c r="LNY66" s="610"/>
      <c r="LNZ66" s="610"/>
      <c r="LOA66" s="610"/>
      <c r="LOB66" s="610"/>
      <c r="LOC66" s="610"/>
      <c r="LOD66" s="610"/>
      <c r="LOE66" s="610"/>
      <c r="LOF66" s="610"/>
      <c r="LOG66" s="610"/>
      <c r="LOH66" s="610"/>
      <c r="LOI66" s="610"/>
      <c r="LOJ66" s="610"/>
      <c r="LOK66" s="610"/>
      <c r="LOL66" s="610"/>
      <c r="LOM66" s="610"/>
      <c r="LON66" s="610"/>
      <c r="LOO66" s="610"/>
      <c r="LOP66" s="610"/>
      <c r="LOQ66" s="610"/>
      <c r="LOR66" s="610"/>
      <c r="LOS66" s="610"/>
      <c r="LOT66" s="610"/>
      <c r="LOU66" s="610"/>
      <c r="LOV66" s="610"/>
      <c r="LOW66" s="610"/>
      <c r="LOX66" s="610"/>
      <c r="LOY66" s="610"/>
      <c r="LOZ66" s="610"/>
      <c r="LPA66" s="610"/>
      <c r="LPB66" s="610"/>
      <c r="LPC66" s="610"/>
      <c r="LPD66" s="610"/>
      <c r="LPE66" s="610"/>
      <c r="LPF66" s="610"/>
      <c r="LPG66" s="610"/>
      <c r="LPH66" s="610"/>
      <c r="LPI66" s="610"/>
      <c r="LPJ66" s="610"/>
      <c r="LPK66" s="610"/>
      <c r="LPL66" s="610"/>
      <c r="LPM66" s="610"/>
      <c r="LPN66" s="610"/>
      <c r="LPO66" s="610"/>
      <c r="LPP66" s="610"/>
      <c r="LPQ66" s="610"/>
      <c r="LPR66" s="610"/>
      <c r="LPS66" s="610"/>
      <c r="LPT66" s="610"/>
      <c r="LPU66" s="610"/>
      <c r="LPV66" s="610"/>
      <c r="LPW66" s="610"/>
      <c r="LPX66" s="610"/>
      <c r="LPY66" s="610"/>
      <c r="LPZ66" s="610"/>
      <c r="LQA66" s="610"/>
      <c r="LQB66" s="610"/>
      <c r="LQC66" s="610"/>
      <c r="LQD66" s="610"/>
      <c r="LQE66" s="610"/>
      <c r="LQF66" s="610"/>
      <c r="LQG66" s="610"/>
      <c r="LQH66" s="610"/>
      <c r="LQI66" s="610"/>
      <c r="LQJ66" s="610"/>
      <c r="LQK66" s="610"/>
      <c r="LQL66" s="610"/>
      <c r="LQM66" s="610"/>
      <c r="LQN66" s="610"/>
      <c r="LQO66" s="610"/>
      <c r="LQP66" s="610"/>
      <c r="LQQ66" s="610"/>
      <c r="LQR66" s="610"/>
      <c r="LQS66" s="610"/>
      <c r="LQT66" s="610"/>
      <c r="LQU66" s="610"/>
      <c r="LQV66" s="610"/>
      <c r="LQW66" s="610"/>
      <c r="LQX66" s="610"/>
      <c r="LQY66" s="610"/>
      <c r="LQZ66" s="610"/>
      <c r="LRA66" s="610"/>
      <c r="LRB66" s="610"/>
      <c r="LRC66" s="610"/>
      <c r="LRD66" s="610"/>
      <c r="LRE66" s="610"/>
      <c r="LRF66" s="610"/>
      <c r="LRG66" s="610"/>
      <c r="LRH66" s="610"/>
      <c r="LRI66" s="610"/>
      <c r="LRJ66" s="610"/>
      <c r="LRK66" s="610"/>
      <c r="LRL66" s="610"/>
      <c r="LRM66" s="610"/>
      <c r="LRN66" s="610"/>
      <c r="LRO66" s="610"/>
      <c r="LRP66" s="610"/>
      <c r="LRQ66" s="610"/>
      <c r="LRR66" s="610"/>
      <c r="LRS66" s="610"/>
      <c r="LRT66" s="610"/>
      <c r="LRU66" s="610"/>
      <c r="LRV66" s="610"/>
      <c r="LRW66" s="610"/>
      <c r="LRX66" s="610"/>
      <c r="LRY66" s="610"/>
      <c r="LRZ66" s="610"/>
      <c r="LSA66" s="610"/>
      <c r="LSB66" s="610"/>
      <c r="LSC66" s="610"/>
      <c r="LSD66" s="610"/>
      <c r="LSE66" s="610"/>
      <c r="LSF66" s="610"/>
      <c r="LSG66" s="610"/>
      <c r="LSH66" s="610"/>
      <c r="LSI66" s="610"/>
      <c r="LSJ66" s="610"/>
      <c r="LSK66" s="610"/>
      <c r="LSL66" s="610"/>
      <c r="LSM66" s="610"/>
      <c r="LSN66" s="610"/>
      <c r="LSO66" s="610"/>
      <c r="LSP66" s="610"/>
      <c r="LSQ66" s="610"/>
      <c r="LSR66" s="610"/>
      <c r="LSS66" s="610"/>
      <c r="LST66" s="610"/>
      <c r="LSU66" s="610"/>
      <c r="LSV66" s="610"/>
      <c r="LSW66" s="610"/>
      <c r="LSX66" s="610"/>
      <c r="LSY66" s="610"/>
      <c r="LSZ66" s="610"/>
      <c r="LTA66" s="610"/>
      <c r="LTB66" s="610"/>
      <c r="LTC66" s="610"/>
      <c r="LTD66" s="610"/>
      <c r="LTE66" s="610"/>
      <c r="LTF66" s="610"/>
      <c r="LTG66" s="610"/>
      <c r="LTH66" s="610"/>
      <c r="LTI66" s="610"/>
      <c r="LTJ66" s="610"/>
      <c r="LTK66" s="610"/>
      <c r="LTL66" s="610"/>
      <c r="LTM66" s="610"/>
      <c r="LTN66" s="610"/>
      <c r="LTO66" s="610"/>
      <c r="LTP66" s="610"/>
      <c r="LTQ66" s="610"/>
      <c r="LTR66" s="610"/>
      <c r="LTS66" s="610"/>
      <c r="LTT66" s="610"/>
      <c r="LTU66" s="610"/>
      <c r="LTV66" s="610"/>
      <c r="LTW66" s="610"/>
      <c r="LTX66" s="610"/>
      <c r="LTY66" s="610"/>
      <c r="LTZ66" s="610"/>
      <c r="LUA66" s="610"/>
      <c r="LUB66" s="610"/>
      <c r="LUC66" s="610"/>
      <c r="LUD66" s="610"/>
      <c r="LUE66" s="610"/>
      <c r="LUF66" s="610"/>
      <c r="LUG66" s="610"/>
      <c r="LUH66" s="610"/>
      <c r="LUI66" s="610"/>
      <c r="LUJ66" s="610"/>
      <c r="LUK66" s="610"/>
      <c r="LUL66" s="610"/>
      <c r="LUM66" s="610"/>
      <c r="LUN66" s="610"/>
      <c r="LUO66" s="610"/>
      <c r="LUP66" s="610"/>
      <c r="LUQ66" s="610"/>
      <c r="LUR66" s="610"/>
      <c r="LUS66" s="610"/>
      <c r="LUT66" s="610"/>
      <c r="LUU66" s="610"/>
      <c r="LUV66" s="610"/>
      <c r="LUW66" s="610"/>
      <c r="LUX66" s="610"/>
      <c r="LUY66" s="610"/>
      <c r="LUZ66" s="610"/>
      <c r="LVA66" s="610"/>
      <c r="LVB66" s="610"/>
      <c r="LVC66" s="610"/>
      <c r="LVD66" s="610"/>
      <c r="LVE66" s="610"/>
      <c r="LVF66" s="610"/>
      <c r="LVG66" s="610"/>
      <c r="LVH66" s="610"/>
      <c r="LVI66" s="610"/>
      <c r="LVJ66" s="610"/>
      <c r="LVK66" s="610"/>
      <c r="LVL66" s="610"/>
      <c r="LVM66" s="610"/>
      <c r="LVN66" s="610"/>
      <c r="LVO66" s="610"/>
      <c r="LVP66" s="610"/>
      <c r="LVQ66" s="610"/>
      <c r="LVR66" s="610"/>
      <c r="LVS66" s="610"/>
      <c r="LVT66" s="610"/>
      <c r="LVU66" s="610"/>
      <c r="LVV66" s="610"/>
      <c r="LVW66" s="610"/>
      <c r="LVX66" s="610"/>
      <c r="LVY66" s="610"/>
      <c r="LVZ66" s="610"/>
      <c r="LWA66" s="610"/>
      <c r="LWB66" s="610"/>
      <c r="LWC66" s="610"/>
      <c r="LWD66" s="610"/>
      <c r="LWE66" s="610"/>
      <c r="LWF66" s="610"/>
      <c r="LWG66" s="610"/>
      <c r="LWH66" s="610"/>
      <c r="LWI66" s="610"/>
      <c r="LWJ66" s="610"/>
      <c r="LWK66" s="610"/>
      <c r="LWL66" s="610"/>
      <c r="LWM66" s="610"/>
      <c r="LWN66" s="610"/>
      <c r="LWO66" s="610"/>
      <c r="LWP66" s="610"/>
      <c r="LWQ66" s="610"/>
      <c r="LWR66" s="610"/>
      <c r="LWS66" s="610"/>
      <c r="LWT66" s="610"/>
      <c r="LWU66" s="610"/>
      <c r="LWV66" s="610"/>
      <c r="LWW66" s="610"/>
      <c r="LWX66" s="610"/>
      <c r="LWY66" s="610"/>
      <c r="LWZ66" s="610"/>
      <c r="LXA66" s="610"/>
      <c r="LXB66" s="610"/>
      <c r="LXC66" s="610"/>
      <c r="LXD66" s="610"/>
      <c r="LXE66" s="610"/>
      <c r="LXF66" s="610"/>
      <c r="LXG66" s="610"/>
      <c r="LXH66" s="610"/>
      <c r="LXI66" s="610"/>
      <c r="LXJ66" s="610"/>
      <c r="LXK66" s="610"/>
      <c r="LXL66" s="610"/>
      <c r="LXM66" s="610"/>
      <c r="LXN66" s="610"/>
      <c r="LXO66" s="610"/>
      <c r="LXP66" s="610"/>
      <c r="LXQ66" s="610"/>
      <c r="LXR66" s="610"/>
      <c r="LXS66" s="610"/>
      <c r="LXT66" s="610"/>
      <c r="LXU66" s="610"/>
      <c r="LXV66" s="610"/>
      <c r="LXW66" s="610"/>
      <c r="LXX66" s="610"/>
      <c r="LXY66" s="610"/>
      <c r="LXZ66" s="610"/>
      <c r="LYA66" s="610"/>
      <c r="LYB66" s="610"/>
      <c r="LYC66" s="610"/>
      <c r="LYD66" s="610"/>
      <c r="LYE66" s="610"/>
      <c r="LYF66" s="610"/>
      <c r="LYG66" s="610"/>
      <c r="LYH66" s="610"/>
      <c r="LYI66" s="610"/>
      <c r="LYJ66" s="610"/>
      <c r="LYK66" s="610"/>
      <c r="LYL66" s="610"/>
      <c r="LYM66" s="610"/>
      <c r="LYN66" s="610"/>
      <c r="LYO66" s="610"/>
      <c r="LYP66" s="610"/>
      <c r="LYQ66" s="610"/>
      <c r="LYR66" s="610"/>
      <c r="LYS66" s="610"/>
      <c r="LYT66" s="610"/>
      <c r="LYU66" s="610"/>
      <c r="LYV66" s="610"/>
      <c r="LYW66" s="610"/>
      <c r="LYX66" s="610"/>
      <c r="LYY66" s="610"/>
      <c r="LYZ66" s="610"/>
      <c r="LZA66" s="610"/>
      <c r="LZB66" s="610"/>
      <c r="LZC66" s="610"/>
      <c r="LZD66" s="610"/>
      <c r="LZE66" s="610"/>
      <c r="LZF66" s="610"/>
      <c r="LZG66" s="610"/>
      <c r="LZH66" s="610"/>
      <c r="LZI66" s="610"/>
      <c r="LZJ66" s="610"/>
      <c r="LZK66" s="610"/>
      <c r="LZL66" s="610"/>
      <c r="LZM66" s="610"/>
      <c r="LZN66" s="610"/>
      <c r="LZO66" s="610"/>
      <c r="LZP66" s="610"/>
      <c r="LZQ66" s="610"/>
      <c r="LZR66" s="610"/>
      <c r="LZS66" s="610"/>
      <c r="LZT66" s="610"/>
      <c r="LZU66" s="610"/>
      <c r="LZV66" s="610"/>
      <c r="LZW66" s="610"/>
      <c r="LZX66" s="610"/>
      <c r="LZY66" s="610"/>
      <c r="LZZ66" s="610"/>
      <c r="MAA66" s="610"/>
      <c r="MAB66" s="610"/>
      <c r="MAC66" s="610"/>
      <c r="MAD66" s="610"/>
      <c r="MAE66" s="610"/>
      <c r="MAF66" s="610"/>
      <c r="MAG66" s="610"/>
      <c r="MAH66" s="610"/>
      <c r="MAI66" s="610"/>
      <c r="MAJ66" s="610"/>
      <c r="MAK66" s="610"/>
      <c r="MAL66" s="610"/>
      <c r="MAM66" s="610"/>
      <c r="MAN66" s="610"/>
      <c r="MAO66" s="610"/>
      <c r="MAP66" s="610"/>
      <c r="MAQ66" s="610"/>
      <c r="MAR66" s="610"/>
      <c r="MAS66" s="610"/>
      <c r="MAT66" s="610"/>
      <c r="MAU66" s="610"/>
      <c r="MAV66" s="610"/>
      <c r="MAW66" s="610"/>
      <c r="MAX66" s="610"/>
      <c r="MAY66" s="610"/>
      <c r="MAZ66" s="610"/>
      <c r="MBA66" s="610"/>
      <c r="MBB66" s="610"/>
      <c r="MBC66" s="610"/>
      <c r="MBD66" s="610"/>
      <c r="MBE66" s="610"/>
      <c r="MBF66" s="610"/>
      <c r="MBG66" s="610"/>
      <c r="MBH66" s="610"/>
      <c r="MBI66" s="610"/>
      <c r="MBJ66" s="610"/>
      <c r="MBK66" s="610"/>
      <c r="MBL66" s="610"/>
      <c r="MBM66" s="610"/>
      <c r="MBN66" s="610"/>
      <c r="MBO66" s="610"/>
      <c r="MBP66" s="610"/>
      <c r="MBQ66" s="610"/>
      <c r="MBR66" s="610"/>
      <c r="MBS66" s="610"/>
      <c r="MBT66" s="610"/>
      <c r="MBU66" s="610"/>
      <c r="MBV66" s="610"/>
      <c r="MBW66" s="610"/>
      <c r="MBX66" s="610"/>
      <c r="MBY66" s="610"/>
      <c r="MBZ66" s="610"/>
      <c r="MCA66" s="610"/>
      <c r="MCB66" s="610"/>
      <c r="MCC66" s="610"/>
      <c r="MCD66" s="610"/>
      <c r="MCE66" s="610"/>
      <c r="MCF66" s="610"/>
      <c r="MCG66" s="610"/>
      <c r="MCH66" s="610"/>
      <c r="MCI66" s="610"/>
      <c r="MCJ66" s="610"/>
      <c r="MCK66" s="610"/>
      <c r="MCL66" s="610"/>
      <c r="MCM66" s="610"/>
      <c r="MCN66" s="610"/>
      <c r="MCO66" s="610"/>
      <c r="MCP66" s="610"/>
      <c r="MCQ66" s="610"/>
      <c r="MCR66" s="610"/>
      <c r="MCS66" s="610"/>
      <c r="MCT66" s="610"/>
      <c r="MCU66" s="610"/>
      <c r="MCV66" s="610"/>
      <c r="MCW66" s="610"/>
      <c r="MCX66" s="610"/>
      <c r="MCY66" s="610"/>
      <c r="MCZ66" s="610"/>
      <c r="MDA66" s="610"/>
      <c r="MDB66" s="610"/>
      <c r="MDC66" s="610"/>
      <c r="MDD66" s="610"/>
      <c r="MDE66" s="610"/>
      <c r="MDF66" s="610"/>
      <c r="MDG66" s="610"/>
      <c r="MDH66" s="610"/>
      <c r="MDI66" s="610"/>
      <c r="MDJ66" s="610"/>
      <c r="MDK66" s="610"/>
      <c r="MDL66" s="610"/>
      <c r="MDM66" s="610"/>
      <c r="MDN66" s="610"/>
      <c r="MDO66" s="610"/>
      <c r="MDP66" s="610"/>
      <c r="MDQ66" s="610"/>
      <c r="MDR66" s="610"/>
      <c r="MDS66" s="610"/>
      <c r="MDT66" s="610"/>
      <c r="MDU66" s="610"/>
      <c r="MDV66" s="610"/>
      <c r="MDW66" s="610"/>
      <c r="MDX66" s="610"/>
      <c r="MDY66" s="610"/>
      <c r="MDZ66" s="610"/>
      <c r="MEA66" s="610"/>
      <c r="MEB66" s="610"/>
      <c r="MEC66" s="610"/>
      <c r="MED66" s="610"/>
      <c r="MEE66" s="610"/>
      <c r="MEF66" s="610"/>
      <c r="MEG66" s="610"/>
      <c r="MEH66" s="610"/>
      <c r="MEI66" s="610"/>
      <c r="MEJ66" s="610"/>
      <c r="MEK66" s="610"/>
      <c r="MEL66" s="610"/>
      <c r="MEM66" s="610"/>
      <c r="MEN66" s="610"/>
      <c r="MEO66" s="610"/>
      <c r="MEP66" s="610"/>
      <c r="MEQ66" s="610"/>
      <c r="MER66" s="610"/>
      <c r="MES66" s="610"/>
      <c r="MET66" s="610"/>
      <c r="MEU66" s="610"/>
      <c r="MEV66" s="610"/>
      <c r="MEW66" s="610"/>
      <c r="MEX66" s="610"/>
      <c r="MEY66" s="610"/>
      <c r="MEZ66" s="610"/>
      <c r="MFA66" s="610"/>
      <c r="MFB66" s="610"/>
      <c r="MFC66" s="610"/>
      <c r="MFD66" s="610"/>
      <c r="MFE66" s="610"/>
      <c r="MFF66" s="610"/>
      <c r="MFG66" s="610"/>
      <c r="MFH66" s="610"/>
      <c r="MFI66" s="610"/>
      <c r="MFJ66" s="610"/>
      <c r="MFK66" s="610"/>
      <c r="MFL66" s="610"/>
      <c r="MFM66" s="610"/>
      <c r="MFN66" s="610"/>
      <c r="MFO66" s="610"/>
      <c r="MFP66" s="610"/>
      <c r="MFQ66" s="610"/>
      <c r="MFR66" s="610"/>
      <c r="MFS66" s="610"/>
      <c r="MFT66" s="610"/>
      <c r="MFU66" s="610"/>
      <c r="MFV66" s="610"/>
      <c r="MFW66" s="610"/>
      <c r="MFX66" s="610"/>
      <c r="MFY66" s="610"/>
      <c r="MFZ66" s="610"/>
      <c r="MGA66" s="610"/>
      <c r="MGB66" s="610"/>
      <c r="MGC66" s="610"/>
      <c r="MGD66" s="610"/>
      <c r="MGE66" s="610"/>
      <c r="MGF66" s="610"/>
      <c r="MGG66" s="610"/>
      <c r="MGH66" s="610"/>
      <c r="MGI66" s="610"/>
      <c r="MGJ66" s="610"/>
      <c r="MGK66" s="610"/>
      <c r="MGL66" s="610"/>
      <c r="MGM66" s="610"/>
      <c r="MGN66" s="610"/>
      <c r="MGO66" s="610"/>
      <c r="MGP66" s="610"/>
      <c r="MGQ66" s="610"/>
      <c r="MGR66" s="610"/>
      <c r="MGS66" s="610"/>
      <c r="MGT66" s="610"/>
      <c r="MGU66" s="610"/>
      <c r="MGV66" s="610"/>
      <c r="MGW66" s="610"/>
      <c r="MGX66" s="610"/>
      <c r="MGY66" s="610"/>
      <c r="MGZ66" s="610"/>
      <c r="MHA66" s="610"/>
      <c r="MHB66" s="610"/>
      <c r="MHC66" s="610"/>
      <c r="MHD66" s="610"/>
      <c r="MHE66" s="610"/>
      <c r="MHF66" s="610"/>
      <c r="MHG66" s="610"/>
      <c r="MHH66" s="610"/>
      <c r="MHI66" s="610"/>
      <c r="MHJ66" s="610"/>
      <c r="MHK66" s="610"/>
      <c r="MHL66" s="610"/>
      <c r="MHM66" s="610"/>
      <c r="MHN66" s="610"/>
      <c r="MHO66" s="610"/>
      <c r="MHP66" s="610"/>
      <c r="MHQ66" s="610"/>
      <c r="MHR66" s="610"/>
      <c r="MHS66" s="610"/>
      <c r="MHT66" s="610"/>
      <c r="MHU66" s="610"/>
      <c r="MHV66" s="610"/>
      <c r="MHW66" s="610"/>
      <c r="MHX66" s="610"/>
      <c r="MHY66" s="610"/>
      <c r="MHZ66" s="610"/>
      <c r="MIA66" s="610"/>
      <c r="MIB66" s="610"/>
      <c r="MIC66" s="610"/>
      <c r="MID66" s="610"/>
      <c r="MIE66" s="610"/>
      <c r="MIF66" s="610"/>
      <c r="MIG66" s="610"/>
      <c r="MIH66" s="610"/>
      <c r="MII66" s="610"/>
      <c r="MIJ66" s="610"/>
      <c r="MIK66" s="610"/>
      <c r="MIL66" s="610"/>
      <c r="MIM66" s="610"/>
      <c r="MIN66" s="610"/>
      <c r="MIO66" s="610"/>
      <c r="MIP66" s="610"/>
      <c r="MIQ66" s="610"/>
      <c r="MIR66" s="610"/>
      <c r="MIS66" s="610"/>
      <c r="MIT66" s="610"/>
      <c r="MIU66" s="610"/>
      <c r="MIV66" s="610"/>
      <c r="MIW66" s="610"/>
      <c r="MIX66" s="610"/>
      <c r="MIY66" s="610"/>
      <c r="MIZ66" s="610"/>
      <c r="MJA66" s="610"/>
      <c r="MJB66" s="610"/>
      <c r="MJC66" s="610"/>
      <c r="MJD66" s="610"/>
      <c r="MJE66" s="610"/>
      <c r="MJF66" s="610"/>
      <c r="MJG66" s="610"/>
      <c r="MJH66" s="610"/>
      <c r="MJI66" s="610"/>
      <c r="MJJ66" s="610"/>
      <c r="MJK66" s="610"/>
      <c r="MJL66" s="610"/>
      <c r="MJM66" s="610"/>
      <c r="MJN66" s="610"/>
      <c r="MJO66" s="610"/>
      <c r="MJP66" s="610"/>
      <c r="MJQ66" s="610"/>
      <c r="MJR66" s="610"/>
      <c r="MJS66" s="610"/>
      <c r="MJT66" s="610"/>
      <c r="MJU66" s="610"/>
      <c r="MJV66" s="610"/>
      <c r="MJW66" s="610"/>
      <c r="MJX66" s="610"/>
      <c r="MJY66" s="610"/>
      <c r="MJZ66" s="610"/>
      <c r="MKA66" s="610"/>
      <c r="MKB66" s="610"/>
      <c r="MKC66" s="610"/>
      <c r="MKD66" s="610"/>
      <c r="MKE66" s="610"/>
      <c r="MKF66" s="610"/>
      <c r="MKG66" s="610"/>
      <c r="MKH66" s="610"/>
      <c r="MKI66" s="610"/>
      <c r="MKJ66" s="610"/>
      <c r="MKK66" s="610"/>
      <c r="MKL66" s="610"/>
      <c r="MKM66" s="610"/>
      <c r="MKN66" s="610"/>
      <c r="MKO66" s="610"/>
      <c r="MKP66" s="610"/>
      <c r="MKQ66" s="610"/>
      <c r="MKR66" s="610"/>
      <c r="MKS66" s="610"/>
      <c r="MKT66" s="610"/>
      <c r="MKU66" s="610"/>
      <c r="MKV66" s="610"/>
      <c r="MKW66" s="610"/>
      <c r="MKX66" s="610"/>
      <c r="MKY66" s="610"/>
      <c r="MKZ66" s="610"/>
      <c r="MLA66" s="610"/>
      <c r="MLB66" s="610"/>
      <c r="MLC66" s="610"/>
      <c r="MLD66" s="610"/>
      <c r="MLE66" s="610"/>
      <c r="MLF66" s="610"/>
      <c r="MLG66" s="610"/>
      <c r="MLH66" s="610"/>
      <c r="MLI66" s="610"/>
      <c r="MLJ66" s="610"/>
      <c r="MLK66" s="610"/>
      <c r="MLL66" s="610"/>
      <c r="MLM66" s="610"/>
      <c r="MLN66" s="610"/>
      <c r="MLO66" s="610"/>
      <c r="MLP66" s="610"/>
      <c r="MLQ66" s="610"/>
      <c r="MLR66" s="610"/>
      <c r="MLS66" s="610"/>
      <c r="MLT66" s="610"/>
      <c r="MLU66" s="610"/>
      <c r="MLV66" s="610"/>
      <c r="MLW66" s="610"/>
      <c r="MLX66" s="610"/>
      <c r="MLY66" s="610"/>
      <c r="MLZ66" s="610"/>
      <c r="MMA66" s="610"/>
      <c r="MMB66" s="610"/>
      <c r="MMC66" s="610"/>
      <c r="MMD66" s="610"/>
      <c r="MME66" s="610"/>
      <c r="MMF66" s="610"/>
      <c r="MMG66" s="610"/>
      <c r="MMH66" s="610"/>
      <c r="MMI66" s="610"/>
      <c r="MMJ66" s="610"/>
      <c r="MMK66" s="610"/>
      <c r="MML66" s="610"/>
      <c r="MMM66" s="610"/>
      <c r="MMN66" s="610"/>
      <c r="MMO66" s="610"/>
      <c r="MMP66" s="610"/>
      <c r="MMQ66" s="610"/>
      <c r="MMR66" s="610"/>
      <c r="MMS66" s="610"/>
      <c r="MMT66" s="610"/>
      <c r="MMU66" s="610"/>
      <c r="MMV66" s="610"/>
      <c r="MMW66" s="610"/>
      <c r="MMX66" s="610"/>
      <c r="MMY66" s="610"/>
      <c r="MMZ66" s="610"/>
      <c r="MNA66" s="610"/>
      <c r="MNB66" s="610"/>
      <c r="MNC66" s="610"/>
      <c r="MND66" s="610"/>
      <c r="MNE66" s="610"/>
      <c r="MNF66" s="610"/>
      <c r="MNG66" s="610"/>
      <c r="MNH66" s="610"/>
      <c r="MNI66" s="610"/>
      <c r="MNJ66" s="610"/>
      <c r="MNK66" s="610"/>
      <c r="MNL66" s="610"/>
      <c r="MNM66" s="610"/>
      <c r="MNN66" s="610"/>
      <c r="MNO66" s="610"/>
      <c r="MNP66" s="610"/>
      <c r="MNQ66" s="610"/>
      <c r="MNR66" s="610"/>
      <c r="MNS66" s="610"/>
      <c r="MNT66" s="610"/>
      <c r="MNU66" s="610"/>
      <c r="MNV66" s="610"/>
      <c r="MNW66" s="610"/>
      <c r="MNX66" s="610"/>
      <c r="MNY66" s="610"/>
      <c r="MNZ66" s="610"/>
      <c r="MOA66" s="610"/>
      <c r="MOB66" s="610"/>
      <c r="MOC66" s="610"/>
      <c r="MOD66" s="610"/>
      <c r="MOE66" s="610"/>
      <c r="MOF66" s="610"/>
      <c r="MOG66" s="610"/>
      <c r="MOH66" s="610"/>
      <c r="MOI66" s="610"/>
      <c r="MOJ66" s="610"/>
      <c r="MOK66" s="610"/>
      <c r="MOL66" s="610"/>
      <c r="MOM66" s="610"/>
      <c r="MON66" s="610"/>
      <c r="MOO66" s="610"/>
      <c r="MOP66" s="610"/>
      <c r="MOQ66" s="610"/>
      <c r="MOR66" s="610"/>
      <c r="MOS66" s="610"/>
      <c r="MOT66" s="610"/>
      <c r="MOU66" s="610"/>
      <c r="MOV66" s="610"/>
      <c r="MOW66" s="610"/>
      <c r="MOX66" s="610"/>
      <c r="MOY66" s="610"/>
      <c r="MOZ66" s="610"/>
      <c r="MPA66" s="610"/>
      <c r="MPB66" s="610"/>
      <c r="MPC66" s="610"/>
      <c r="MPD66" s="610"/>
      <c r="MPE66" s="610"/>
      <c r="MPF66" s="610"/>
      <c r="MPG66" s="610"/>
      <c r="MPH66" s="610"/>
      <c r="MPI66" s="610"/>
      <c r="MPJ66" s="610"/>
      <c r="MPK66" s="610"/>
      <c r="MPL66" s="610"/>
      <c r="MPM66" s="610"/>
      <c r="MPN66" s="610"/>
      <c r="MPO66" s="610"/>
      <c r="MPP66" s="610"/>
      <c r="MPQ66" s="610"/>
      <c r="MPR66" s="610"/>
      <c r="MPS66" s="610"/>
      <c r="MPT66" s="610"/>
      <c r="MPU66" s="610"/>
      <c r="MPV66" s="610"/>
      <c r="MPW66" s="610"/>
      <c r="MPX66" s="610"/>
      <c r="MPY66" s="610"/>
      <c r="MPZ66" s="610"/>
      <c r="MQA66" s="610"/>
      <c r="MQB66" s="610"/>
      <c r="MQC66" s="610"/>
      <c r="MQD66" s="610"/>
      <c r="MQE66" s="610"/>
      <c r="MQF66" s="610"/>
      <c r="MQG66" s="610"/>
      <c r="MQH66" s="610"/>
      <c r="MQI66" s="610"/>
      <c r="MQJ66" s="610"/>
      <c r="MQK66" s="610"/>
      <c r="MQL66" s="610"/>
      <c r="MQM66" s="610"/>
      <c r="MQN66" s="610"/>
      <c r="MQO66" s="610"/>
      <c r="MQP66" s="610"/>
      <c r="MQQ66" s="610"/>
      <c r="MQR66" s="610"/>
      <c r="MQS66" s="610"/>
      <c r="MQT66" s="610"/>
      <c r="MQU66" s="610"/>
      <c r="MQV66" s="610"/>
      <c r="MQW66" s="610"/>
      <c r="MQX66" s="610"/>
      <c r="MQY66" s="610"/>
      <c r="MQZ66" s="610"/>
      <c r="MRA66" s="610"/>
      <c r="MRB66" s="610"/>
      <c r="MRC66" s="610"/>
      <c r="MRD66" s="610"/>
      <c r="MRE66" s="610"/>
      <c r="MRF66" s="610"/>
      <c r="MRG66" s="610"/>
      <c r="MRH66" s="610"/>
      <c r="MRI66" s="610"/>
      <c r="MRJ66" s="610"/>
      <c r="MRK66" s="610"/>
      <c r="MRL66" s="610"/>
      <c r="MRM66" s="610"/>
      <c r="MRN66" s="610"/>
      <c r="MRO66" s="610"/>
      <c r="MRP66" s="610"/>
      <c r="MRQ66" s="610"/>
      <c r="MRR66" s="610"/>
      <c r="MRS66" s="610"/>
      <c r="MRT66" s="610"/>
      <c r="MRU66" s="610"/>
      <c r="MRV66" s="610"/>
      <c r="MRW66" s="610"/>
      <c r="MRX66" s="610"/>
      <c r="MRY66" s="610"/>
      <c r="MRZ66" s="610"/>
      <c r="MSA66" s="610"/>
      <c r="MSB66" s="610"/>
      <c r="MSC66" s="610"/>
      <c r="MSD66" s="610"/>
      <c r="MSE66" s="610"/>
      <c r="MSF66" s="610"/>
      <c r="MSG66" s="610"/>
      <c r="MSH66" s="610"/>
      <c r="MSI66" s="610"/>
      <c r="MSJ66" s="610"/>
      <c r="MSK66" s="610"/>
      <c r="MSL66" s="610"/>
      <c r="MSM66" s="610"/>
      <c r="MSN66" s="610"/>
      <c r="MSO66" s="610"/>
      <c r="MSP66" s="610"/>
      <c r="MSQ66" s="610"/>
      <c r="MSR66" s="610"/>
      <c r="MSS66" s="610"/>
      <c r="MST66" s="610"/>
      <c r="MSU66" s="610"/>
      <c r="MSV66" s="610"/>
      <c r="MSW66" s="610"/>
      <c r="MSX66" s="610"/>
      <c r="MSY66" s="610"/>
      <c r="MSZ66" s="610"/>
      <c r="MTA66" s="610"/>
      <c r="MTB66" s="610"/>
      <c r="MTC66" s="610"/>
      <c r="MTD66" s="610"/>
      <c r="MTE66" s="610"/>
      <c r="MTF66" s="610"/>
      <c r="MTG66" s="610"/>
      <c r="MTH66" s="610"/>
      <c r="MTI66" s="610"/>
      <c r="MTJ66" s="610"/>
      <c r="MTK66" s="610"/>
      <c r="MTL66" s="610"/>
      <c r="MTM66" s="610"/>
      <c r="MTN66" s="610"/>
      <c r="MTO66" s="610"/>
      <c r="MTP66" s="610"/>
      <c r="MTQ66" s="610"/>
      <c r="MTR66" s="610"/>
      <c r="MTS66" s="610"/>
      <c r="MTT66" s="610"/>
      <c r="MTU66" s="610"/>
      <c r="MTV66" s="610"/>
      <c r="MTW66" s="610"/>
      <c r="MTX66" s="610"/>
      <c r="MTY66" s="610"/>
      <c r="MTZ66" s="610"/>
      <c r="MUA66" s="610"/>
      <c r="MUB66" s="610"/>
      <c r="MUC66" s="610"/>
      <c r="MUD66" s="610"/>
      <c r="MUE66" s="610"/>
      <c r="MUF66" s="610"/>
      <c r="MUG66" s="610"/>
      <c r="MUH66" s="610"/>
      <c r="MUI66" s="610"/>
      <c r="MUJ66" s="610"/>
      <c r="MUK66" s="610"/>
      <c r="MUL66" s="610"/>
      <c r="MUM66" s="610"/>
      <c r="MUN66" s="610"/>
      <c r="MUO66" s="610"/>
      <c r="MUP66" s="610"/>
      <c r="MUQ66" s="610"/>
      <c r="MUR66" s="610"/>
      <c r="MUS66" s="610"/>
      <c r="MUT66" s="610"/>
      <c r="MUU66" s="610"/>
      <c r="MUV66" s="610"/>
      <c r="MUW66" s="610"/>
      <c r="MUX66" s="610"/>
      <c r="MUY66" s="610"/>
      <c r="MUZ66" s="610"/>
      <c r="MVA66" s="610"/>
      <c r="MVB66" s="610"/>
      <c r="MVC66" s="610"/>
      <c r="MVD66" s="610"/>
      <c r="MVE66" s="610"/>
      <c r="MVF66" s="610"/>
      <c r="MVG66" s="610"/>
      <c r="MVH66" s="610"/>
      <c r="MVI66" s="610"/>
      <c r="MVJ66" s="610"/>
      <c r="MVK66" s="610"/>
      <c r="MVL66" s="610"/>
      <c r="MVM66" s="610"/>
      <c r="MVN66" s="610"/>
      <c r="MVO66" s="610"/>
      <c r="MVP66" s="610"/>
      <c r="MVQ66" s="610"/>
      <c r="MVR66" s="610"/>
      <c r="MVS66" s="610"/>
      <c r="MVT66" s="610"/>
      <c r="MVU66" s="610"/>
      <c r="MVV66" s="610"/>
      <c r="MVW66" s="610"/>
      <c r="MVX66" s="610"/>
      <c r="MVY66" s="610"/>
      <c r="MVZ66" s="610"/>
      <c r="MWA66" s="610"/>
      <c r="MWB66" s="610"/>
      <c r="MWC66" s="610"/>
      <c r="MWD66" s="610"/>
      <c r="MWE66" s="610"/>
      <c r="MWF66" s="610"/>
      <c r="MWG66" s="610"/>
      <c r="MWH66" s="610"/>
      <c r="MWI66" s="610"/>
      <c r="MWJ66" s="610"/>
      <c r="MWK66" s="610"/>
      <c r="MWL66" s="610"/>
      <c r="MWM66" s="610"/>
      <c r="MWN66" s="610"/>
      <c r="MWO66" s="610"/>
      <c r="MWP66" s="610"/>
      <c r="MWQ66" s="610"/>
      <c r="MWR66" s="610"/>
      <c r="MWS66" s="610"/>
      <c r="MWT66" s="610"/>
      <c r="MWU66" s="610"/>
      <c r="MWV66" s="610"/>
      <c r="MWW66" s="610"/>
      <c r="MWX66" s="610"/>
      <c r="MWY66" s="610"/>
      <c r="MWZ66" s="610"/>
      <c r="MXA66" s="610"/>
      <c r="MXB66" s="610"/>
      <c r="MXC66" s="610"/>
      <c r="MXD66" s="610"/>
      <c r="MXE66" s="610"/>
      <c r="MXF66" s="610"/>
      <c r="MXG66" s="610"/>
      <c r="MXH66" s="610"/>
      <c r="MXI66" s="610"/>
      <c r="MXJ66" s="610"/>
      <c r="MXK66" s="610"/>
      <c r="MXL66" s="610"/>
      <c r="MXM66" s="610"/>
      <c r="MXN66" s="610"/>
      <c r="MXO66" s="610"/>
      <c r="MXP66" s="610"/>
      <c r="MXQ66" s="610"/>
      <c r="MXR66" s="610"/>
      <c r="MXS66" s="610"/>
      <c r="MXT66" s="610"/>
      <c r="MXU66" s="610"/>
      <c r="MXV66" s="610"/>
      <c r="MXW66" s="610"/>
      <c r="MXX66" s="610"/>
      <c r="MXY66" s="610"/>
      <c r="MXZ66" s="610"/>
      <c r="MYA66" s="610"/>
      <c r="MYB66" s="610"/>
      <c r="MYC66" s="610"/>
      <c r="MYD66" s="610"/>
      <c r="MYE66" s="610"/>
      <c r="MYF66" s="610"/>
      <c r="MYG66" s="610"/>
      <c r="MYH66" s="610"/>
      <c r="MYI66" s="610"/>
      <c r="MYJ66" s="610"/>
      <c r="MYK66" s="610"/>
      <c r="MYL66" s="610"/>
      <c r="MYM66" s="610"/>
      <c r="MYN66" s="610"/>
      <c r="MYO66" s="610"/>
      <c r="MYP66" s="610"/>
      <c r="MYQ66" s="610"/>
      <c r="MYR66" s="610"/>
      <c r="MYS66" s="610"/>
      <c r="MYT66" s="610"/>
      <c r="MYU66" s="610"/>
      <c r="MYV66" s="610"/>
      <c r="MYW66" s="610"/>
      <c r="MYX66" s="610"/>
      <c r="MYY66" s="610"/>
      <c r="MYZ66" s="610"/>
      <c r="MZA66" s="610"/>
      <c r="MZB66" s="610"/>
      <c r="MZC66" s="610"/>
      <c r="MZD66" s="610"/>
      <c r="MZE66" s="610"/>
      <c r="MZF66" s="610"/>
      <c r="MZG66" s="610"/>
      <c r="MZH66" s="610"/>
      <c r="MZI66" s="610"/>
      <c r="MZJ66" s="610"/>
      <c r="MZK66" s="610"/>
      <c r="MZL66" s="610"/>
      <c r="MZM66" s="610"/>
      <c r="MZN66" s="610"/>
      <c r="MZO66" s="610"/>
      <c r="MZP66" s="610"/>
      <c r="MZQ66" s="610"/>
      <c r="MZR66" s="610"/>
      <c r="MZS66" s="610"/>
      <c r="MZT66" s="610"/>
      <c r="MZU66" s="610"/>
      <c r="MZV66" s="610"/>
      <c r="MZW66" s="610"/>
      <c r="MZX66" s="610"/>
      <c r="MZY66" s="610"/>
      <c r="MZZ66" s="610"/>
      <c r="NAA66" s="610"/>
      <c r="NAB66" s="610"/>
      <c r="NAC66" s="610"/>
      <c r="NAD66" s="610"/>
      <c r="NAE66" s="610"/>
      <c r="NAF66" s="610"/>
      <c r="NAG66" s="610"/>
      <c r="NAH66" s="610"/>
      <c r="NAI66" s="610"/>
      <c r="NAJ66" s="610"/>
      <c r="NAK66" s="610"/>
      <c r="NAL66" s="610"/>
      <c r="NAM66" s="610"/>
      <c r="NAN66" s="610"/>
      <c r="NAO66" s="610"/>
      <c r="NAP66" s="610"/>
      <c r="NAQ66" s="610"/>
      <c r="NAR66" s="610"/>
      <c r="NAS66" s="610"/>
      <c r="NAT66" s="610"/>
      <c r="NAU66" s="610"/>
      <c r="NAV66" s="610"/>
      <c r="NAW66" s="610"/>
      <c r="NAX66" s="610"/>
      <c r="NAY66" s="610"/>
      <c r="NAZ66" s="610"/>
      <c r="NBA66" s="610"/>
      <c r="NBB66" s="610"/>
      <c r="NBC66" s="610"/>
      <c r="NBD66" s="610"/>
      <c r="NBE66" s="610"/>
      <c r="NBF66" s="610"/>
      <c r="NBG66" s="610"/>
      <c r="NBH66" s="610"/>
      <c r="NBI66" s="610"/>
      <c r="NBJ66" s="610"/>
      <c r="NBK66" s="610"/>
      <c r="NBL66" s="610"/>
      <c r="NBM66" s="610"/>
      <c r="NBN66" s="610"/>
      <c r="NBO66" s="610"/>
      <c r="NBP66" s="610"/>
      <c r="NBQ66" s="610"/>
      <c r="NBR66" s="610"/>
      <c r="NBS66" s="610"/>
      <c r="NBT66" s="610"/>
      <c r="NBU66" s="610"/>
      <c r="NBV66" s="610"/>
      <c r="NBW66" s="610"/>
      <c r="NBX66" s="610"/>
      <c r="NBY66" s="610"/>
      <c r="NBZ66" s="610"/>
      <c r="NCA66" s="610"/>
      <c r="NCB66" s="610"/>
      <c r="NCC66" s="610"/>
      <c r="NCD66" s="610"/>
      <c r="NCE66" s="610"/>
      <c r="NCF66" s="610"/>
      <c r="NCG66" s="610"/>
      <c r="NCH66" s="610"/>
      <c r="NCI66" s="610"/>
      <c r="NCJ66" s="610"/>
      <c r="NCK66" s="610"/>
      <c r="NCL66" s="610"/>
      <c r="NCM66" s="610"/>
      <c r="NCN66" s="610"/>
      <c r="NCO66" s="610"/>
      <c r="NCP66" s="610"/>
      <c r="NCQ66" s="610"/>
      <c r="NCR66" s="610"/>
      <c r="NCS66" s="610"/>
      <c r="NCT66" s="610"/>
      <c r="NCU66" s="610"/>
      <c r="NCV66" s="610"/>
      <c r="NCW66" s="610"/>
      <c r="NCX66" s="610"/>
      <c r="NCY66" s="610"/>
      <c r="NCZ66" s="610"/>
      <c r="NDA66" s="610"/>
      <c r="NDB66" s="610"/>
      <c r="NDC66" s="610"/>
      <c r="NDD66" s="610"/>
      <c r="NDE66" s="610"/>
      <c r="NDF66" s="610"/>
      <c r="NDG66" s="610"/>
      <c r="NDH66" s="610"/>
      <c r="NDI66" s="610"/>
      <c r="NDJ66" s="610"/>
      <c r="NDK66" s="610"/>
      <c r="NDL66" s="610"/>
      <c r="NDM66" s="610"/>
      <c r="NDN66" s="610"/>
      <c r="NDO66" s="610"/>
      <c r="NDP66" s="610"/>
      <c r="NDQ66" s="610"/>
      <c r="NDR66" s="610"/>
      <c r="NDS66" s="610"/>
      <c r="NDT66" s="610"/>
      <c r="NDU66" s="610"/>
      <c r="NDV66" s="610"/>
      <c r="NDW66" s="610"/>
      <c r="NDX66" s="610"/>
      <c r="NDY66" s="610"/>
      <c r="NDZ66" s="610"/>
      <c r="NEA66" s="610"/>
      <c r="NEB66" s="610"/>
      <c r="NEC66" s="610"/>
      <c r="NED66" s="610"/>
      <c r="NEE66" s="610"/>
      <c r="NEF66" s="610"/>
      <c r="NEG66" s="610"/>
      <c r="NEH66" s="610"/>
      <c r="NEI66" s="610"/>
      <c r="NEJ66" s="610"/>
      <c r="NEK66" s="610"/>
      <c r="NEL66" s="610"/>
      <c r="NEM66" s="610"/>
      <c r="NEN66" s="610"/>
      <c r="NEO66" s="610"/>
      <c r="NEP66" s="610"/>
      <c r="NEQ66" s="610"/>
      <c r="NER66" s="610"/>
      <c r="NES66" s="610"/>
      <c r="NET66" s="610"/>
      <c r="NEU66" s="610"/>
      <c r="NEV66" s="610"/>
      <c r="NEW66" s="610"/>
      <c r="NEX66" s="610"/>
      <c r="NEY66" s="610"/>
      <c r="NEZ66" s="610"/>
      <c r="NFA66" s="610"/>
      <c r="NFB66" s="610"/>
      <c r="NFC66" s="610"/>
      <c r="NFD66" s="610"/>
      <c r="NFE66" s="610"/>
      <c r="NFF66" s="610"/>
      <c r="NFG66" s="610"/>
      <c r="NFH66" s="610"/>
      <c r="NFI66" s="610"/>
      <c r="NFJ66" s="610"/>
      <c r="NFK66" s="610"/>
      <c r="NFL66" s="610"/>
      <c r="NFM66" s="610"/>
      <c r="NFN66" s="610"/>
      <c r="NFO66" s="610"/>
      <c r="NFP66" s="610"/>
      <c r="NFQ66" s="610"/>
      <c r="NFR66" s="610"/>
      <c r="NFS66" s="610"/>
      <c r="NFT66" s="610"/>
      <c r="NFU66" s="610"/>
      <c r="NFV66" s="610"/>
      <c r="NFW66" s="610"/>
      <c r="NFX66" s="610"/>
      <c r="NFY66" s="610"/>
      <c r="NFZ66" s="610"/>
      <c r="NGA66" s="610"/>
      <c r="NGB66" s="610"/>
      <c r="NGC66" s="610"/>
      <c r="NGD66" s="610"/>
      <c r="NGE66" s="610"/>
      <c r="NGF66" s="610"/>
      <c r="NGG66" s="610"/>
      <c r="NGH66" s="610"/>
      <c r="NGI66" s="610"/>
      <c r="NGJ66" s="610"/>
      <c r="NGK66" s="610"/>
      <c r="NGL66" s="610"/>
      <c r="NGM66" s="610"/>
      <c r="NGN66" s="610"/>
      <c r="NGO66" s="610"/>
      <c r="NGP66" s="610"/>
      <c r="NGQ66" s="610"/>
      <c r="NGR66" s="610"/>
      <c r="NGS66" s="610"/>
      <c r="NGT66" s="610"/>
      <c r="NGU66" s="610"/>
      <c r="NGV66" s="610"/>
      <c r="NGW66" s="610"/>
      <c r="NGX66" s="610"/>
      <c r="NGY66" s="610"/>
      <c r="NGZ66" s="610"/>
      <c r="NHA66" s="610"/>
      <c r="NHB66" s="610"/>
      <c r="NHC66" s="610"/>
      <c r="NHD66" s="610"/>
      <c r="NHE66" s="610"/>
      <c r="NHF66" s="610"/>
      <c r="NHG66" s="610"/>
      <c r="NHH66" s="610"/>
      <c r="NHI66" s="610"/>
      <c r="NHJ66" s="610"/>
      <c r="NHK66" s="610"/>
      <c r="NHL66" s="610"/>
      <c r="NHM66" s="610"/>
      <c r="NHN66" s="610"/>
      <c r="NHO66" s="610"/>
      <c r="NHP66" s="610"/>
      <c r="NHQ66" s="610"/>
      <c r="NHR66" s="610"/>
      <c r="NHS66" s="610"/>
      <c r="NHT66" s="610"/>
      <c r="NHU66" s="610"/>
      <c r="NHV66" s="610"/>
      <c r="NHW66" s="610"/>
      <c r="NHX66" s="610"/>
      <c r="NHY66" s="610"/>
      <c r="NHZ66" s="610"/>
      <c r="NIA66" s="610"/>
      <c r="NIB66" s="610"/>
      <c r="NIC66" s="610"/>
      <c r="NID66" s="610"/>
      <c r="NIE66" s="610"/>
      <c r="NIF66" s="610"/>
      <c r="NIG66" s="610"/>
      <c r="NIH66" s="610"/>
      <c r="NII66" s="610"/>
      <c r="NIJ66" s="610"/>
      <c r="NIK66" s="610"/>
      <c r="NIL66" s="610"/>
      <c r="NIM66" s="610"/>
      <c r="NIN66" s="610"/>
      <c r="NIO66" s="610"/>
      <c r="NIP66" s="610"/>
      <c r="NIQ66" s="610"/>
      <c r="NIR66" s="610"/>
      <c r="NIS66" s="610"/>
      <c r="NIT66" s="610"/>
      <c r="NIU66" s="610"/>
      <c r="NIV66" s="610"/>
      <c r="NIW66" s="610"/>
      <c r="NIX66" s="610"/>
      <c r="NIY66" s="610"/>
      <c r="NIZ66" s="610"/>
      <c r="NJA66" s="610"/>
      <c r="NJB66" s="610"/>
      <c r="NJC66" s="610"/>
      <c r="NJD66" s="610"/>
      <c r="NJE66" s="610"/>
      <c r="NJF66" s="610"/>
      <c r="NJG66" s="610"/>
      <c r="NJH66" s="610"/>
      <c r="NJI66" s="610"/>
      <c r="NJJ66" s="610"/>
      <c r="NJK66" s="610"/>
      <c r="NJL66" s="610"/>
      <c r="NJM66" s="610"/>
      <c r="NJN66" s="610"/>
      <c r="NJO66" s="610"/>
      <c r="NJP66" s="610"/>
      <c r="NJQ66" s="610"/>
      <c r="NJR66" s="610"/>
      <c r="NJS66" s="610"/>
      <c r="NJT66" s="610"/>
      <c r="NJU66" s="610"/>
      <c r="NJV66" s="610"/>
      <c r="NJW66" s="610"/>
      <c r="NJX66" s="610"/>
      <c r="NJY66" s="610"/>
      <c r="NJZ66" s="610"/>
      <c r="NKA66" s="610"/>
      <c r="NKB66" s="610"/>
      <c r="NKC66" s="610"/>
      <c r="NKD66" s="610"/>
      <c r="NKE66" s="610"/>
      <c r="NKF66" s="610"/>
      <c r="NKG66" s="610"/>
      <c r="NKH66" s="610"/>
      <c r="NKI66" s="610"/>
      <c r="NKJ66" s="610"/>
      <c r="NKK66" s="610"/>
      <c r="NKL66" s="610"/>
      <c r="NKM66" s="610"/>
      <c r="NKN66" s="610"/>
      <c r="NKO66" s="610"/>
      <c r="NKP66" s="610"/>
      <c r="NKQ66" s="610"/>
      <c r="NKR66" s="610"/>
      <c r="NKS66" s="610"/>
      <c r="NKT66" s="610"/>
      <c r="NKU66" s="610"/>
      <c r="NKV66" s="610"/>
      <c r="NKW66" s="610"/>
      <c r="NKX66" s="610"/>
      <c r="NKY66" s="610"/>
      <c r="NKZ66" s="610"/>
      <c r="NLA66" s="610"/>
      <c r="NLB66" s="610"/>
      <c r="NLC66" s="610"/>
      <c r="NLD66" s="610"/>
      <c r="NLE66" s="610"/>
      <c r="NLF66" s="610"/>
      <c r="NLG66" s="610"/>
      <c r="NLH66" s="610"/>
      <c r="NLI66" s="610"/>
      <c r="NLJ66" s="610"/>
      <c r="NLK66" s="610"/>
      <c r="NLL66" s="610"/>
      <c r="NLM66" s="610"/>
      <c r="NLN66" s="610"/>
      <c r="NLO66" s="610"/>
      <c r="NLP66" s="610"/>
      <c r="NLQ66" s="610"/>
      <c r="NLR66" s="610"/>
      <c r="NLS66" s="610"/>
      <c r="NLT66" s="610"/>
      <c r="NLU66" s="610"/>
      <c r="NLV66" s="610"/>
      <c r="NLW66" s="610"/>
      <c r="NLX66" s="610"/>
      <c r="NLY66" s="610"/>
      <c r="NLZ66" s="610"/>
      <c r="NMA66" s="610"/>
      <c r="NMB66" s="610"/>
      <c r="NMC66" s="610"/>
      <c r="NMD66" s="610"/>
      <c r="NME66" s="610"/>
      <c r="NMF66" s="610"/>
      <c r="NMG66" s="610"/>
      <c r="NMH66" s="610"/>
      <c r="NMI66" s="610"/>
      <c r="NMJ66" s="610"/>
      <c r="NMK66" s="610"/>
      <c r="NML66" s="610"/>
      <c r="NMM66" s="610"/>
      <c r="NMN66" s="610"/>
      <c r="NMO66" s="610"/>
      <c r="NMP66" s="610"/>
      <c r="NMQ66" s="610"/>
      <c r="NMR66" s="610"/>
      <c r="NMS66" s="610"/>
      <c r="NMT66" s="610"/>
      <c r="NMU66" s="610"/>
      <c r="NMV66" s="610"/>
      <c r="NMW66" s="610"/>
      <c r="NMX66" s="610"/>
      <c r="NMY66" s="610"/>
      <c r="NMZ66" s="610"/>
      <c r="NNA66" s="610"/>
      <c r="NNB66" s="610"/>
      <c r="NNC66" s="610"/>
      <c r="NND66" s="610"/>
      <c r="NNE66" s="610"/>
      <c r="NNF66" s="610"/>
      <c r="NNG66" s="610"/>
      <c r="NNH66" s="610"/>
      <c r="NNI66" s="610"/>
      <c r="NNJ66" s="610"/>
      <c r="NNK66" s="610"/>
      <c r="NNL66" s="610"/>
      <c r="NNM66" s="610"/>
      <c r="NNN66" s="610"/>
      <c r="NNO66" s="610"/>
      <c r="NNP66" s="610"/>
      <c r="NNQ66" s="610"/>
      <c r="NNR66" s="610"/>
      <c r="NNS66" s="610"/>
      <c r="NNT66" s="610"/>
      <c r="NNU66" s="610"/>
      <c r="NNV66" s="610"/>
      <c r="NNW66" s="610"/>
      <c r="NNX66" s="610"/>
      <c r="NNY66" s="610"/>
      <c r="NNZ66" s="610"/>
      <c r="NOA66" s="610"/>
      <c r="NOB66" s="610"/>
      <c r="NOC66" s="610"/>
      <c r="NOD66" s="610"/>
      <c r="NOE66" s="610"/>
      <c r="NOF66" s="610"/>
      <c r="NOG66" s="610"/>
      <c r="NOH66" s="610"/>
      <c r="NOI66" s="610"/>
      <c r="NOJ66" s="610"/>
      <c r="NOK66" s="610"/>
      <c r="NOL66" s="610"/>
      <c r="NOM66" s="610"/>
      <c r="NON66" s="610"/>
      <c r="NOO66" s="610"/>
      <c r="NOP66" s="610"/>
      <c r="NOQ66" s="610"/>
      <c r="NOR66" s="610"/>
      <c r="NOS66" s="610"/>
      <c r="NOT66" s="610"/>
      <c r="NOU66" s="610"/>
      <c r="NOV66" s="610"/>
      <c r="NOW66" s="610"/>
      <c r="NOX66" s="610"/>
      <c r="NOY66" s="610"/>
      <c r="NOZ66" s="610"/>
      <c r="NPA66" s="610"/>
      <c r="NPB66" s="610"/>
      <c r="NPC66" s="610"/>
      <c r="NPD66" s="610"/>
      <c r="NPE66" s="610"/>
      <c r="NPF66" s="610"/>
      <c r="NPG66" s="610"/>
      <c r="NPH66" s="610"/>
      <c r="NPI66" s="610"/>
      <c r="NPJ66" s="610"/>
      <c r="NPK66" s="610"/>
      <c r="NPL66" s="610"/>
      <c r="NPM66" s="610"/>
      <c r="NPN66" s="610"/>
      <c r="NPO66" s="610"/>
      <c r="NPP66" s="610"/>
      <c r="NPQ66" s="610"/>
      <c r="NPR66" s="610"/>
      <c r="NPS66" s="610"/>
      <c r="NPT66" s="610"/>
      <c r="NPU66" s="610"/>
      <c r="NPV66" s="610"/>
      <c r="NPW66" s="610"/>
      <c r="NPX66" s="610"/>
      <c r="NPY66" s="610"/>
      <c r="NPZ66" s="610"/>
      <c r="NQA66" s="610"/>
      <c r="NQB66" s="610"/>
      <c r="NQC66" s="610"/>
      <c r="NQD66" s="610"/>
      <c r="NQE66" s="610"/>
      <c r="NQF66" s="610"/>
      <c r="NQG66" s="610"/>
      <c r="NQH66" s="610"/>
      <c r="NQI66" s="610"/>
      <c r="NQJ66" s="610"/>
      <c r="NQK66" s="610"/>
      <c r="NQL66" s="610"/>
      <c r="NQM66" s="610"/>
      <c r="NQN66" s="610"/>
      <c r="NQO66" s="610"/>
      <c r="NQP66" s="610"/>
      <c r="NQQ66" s="610"/>
      <c r="NQR66" s="610"/>
      <c r="NQS66" s="610"/>
      <c r="NQT66" s="610"/>
      <c r="NQU66" s="610"/>
      <c r="NQV66" s="610"/>
      <c r="NQW66" s="610"/>
      <c r="NQX66" s="610"/>
      <c r="NQY66" s="610"/>
      <c r="NQZ66" s="610"/>
      <c r="NRA66" s="610"/>
      <c r="NRB66" s="610"/>
      <c r="NRC66" s="610"/>
      <c r="NRD66" s="610"/>
      <c r="NRE66" s="610"/>
      <c r="NRF66" s="610"/>
      <c r="NRG66" s="610"/>
      <c r="NRH66" s="610"/>
      <c r="NRI66" s="610"/>
      <c r="NRJ66" s="610"/>
      <c r="NRK66" s="610"/>
      <c r="NRL66" s="610"/>
      <c r="NRM66" s="610"/>
      <c r="NRN66" s="610"/>
      <c r="NRO66" s="610"/>
      <c r="NRP66" s="610"/>
      <c r="NRQ66" s="610"/>
      <c r="NRR66" s="610"/>
      <c r="NRS66" s="610"/>
      <c r="NRT66" s="610"/>
      <c r="NRU66" s="610"/>
      <c r="NRV66" s="610"/>
      <c r="NRW66" s="610"/>
      <c r="NRX66" s="610"/>
      <c r="NRY66" s="610"/>
      <c r="NRZ66" s="610"/>
      <c r="NSA66" s="610"/>
      <c r="NSB66" s="610"/>
      <c r="NSC66" s="610"/>
      <c r="NSD66" s="610"/>
      <c r="NSE66" s="610"/>
      <c r="NSF66" s="610"/>
      <c r="NSG66" s="610"/>
      <c r="NSH66" s="610"/>
      <c r="NSI66" s="610"/>
      <c r="NSJ66" s="610"/>
      <c r="NSK66" s="610"/>
      <c r="NSL66" s="610"/>
      <c r="NSM66" s="610"/>
      <c r="NSN66" s="610"/>
      <c r="NSO66" s="610"/>
      <c r="NSP66" s="610"/>
      <c r="NSQ66" s="610"/>
      <c r="NSR66" s="610"/>
      <c r="NSS66" s="610"/>
      <c r="NST66" s="610"/>
      <c r="NSU66" s="610"/>
      <c r="NSV66" s="610"/>
      <c r="NSW66" s="610"/>
      <c r="NSX66" s="610"/>
      <c r="NSY66" s="610"/>
      <c r="NSZ66" s="610"/>
      <c r="NTA66" s="610"/>
      <c r="NTB66" s="610"/>
      <c r="NTC66" s="610"/>
      <c r="NTD66" s="610"/>
      <c r="NTE66" s="610"/>
      <c r="NTF66" s="610"/>
      <c r="NTG66" s="610"/>
      <c r="NTH66" s="610"/>
      <c r="NTI66" s="610"/>
      <c r="NTJ66" s="610"/>
      <c r="NTK66" s="610"/>
      <c r="NTL66" s="610"/>
      <c r="NTM66" s="610"/>
      <c r="NTN66" s="610"/>
      <c r="NTO66" s="610"/>
      <c r="NTP66" s="610"/>
      <c r="NTQ66" s="610"/>
      <c r="NTR66" s="610"/>
      <c r="NTS66" s="610"/>
      <c r="NTT66" s="610"/>
      <c r="NTU66" s="610"/>
      <c r="NTV66" s="610"/>
      <c r="NTW66" s="610"/>
      <c r="NTX66" s="610"/>
      <c r="NTY66" s="610"/>
      <c r="NTZ66" s="610"/>
      <c r="NUA66" s="610"/>
      <c r="NUB66" s="610"/>
      <c r="NUC66" s="610"/>
      <c r="NUD66" s="610"/>
      <c r="NUE66" s="610"/>
      <c r="NUF66" s="610"/>
      <c r="NUG66" s="610"/>
      <c r="NUH66" s="610"/>
      <c r="NUI66" s="610"/>
      <c r="NUJ66" s="610"/>
      <c r="NUK66" s="610"/>
      <c r="NUL66" s="610"/>
      <c r="NUM66" s="610"/>
      <c r="NUN66" s="610"/>
      <c r="NUO66" s="610"/>
      <c r="NUP66" s="610"/>
      <c r="NUQ66" s="610"/>
      <c r="NUR66" s="610"/>
      <c r="NUS66" s="610"/>
      <c r="NUT66" s="610"/>
      <c r="NUU66" s="610"/>
      <c r="NUV66" s="610"/>
      <c r="NUW66" s="610"/>
      <c r="NUX66" s="610"/>
      <c r="NUY66" s="610"/>
      <c r="NUZ66" s="610"/>
      <c r="NVA66" s="610"/>
      <c r="NVB66" s="610"/>
      <c r="NVC66" s="610"/>
      <c r="NVD66" s="610"/>
      <c r="NVE66" s="610"/>
      <c r="NVF66" s="610"/>
      <c r="NVG66" s="610"/>
      <c r="NVH66" s="610"/>
      <c r="NVI66" s="610"/>
      <c r="NVJ66" s="610"/>
      <c r="NVK66" s="610"/>
      <c r="NVL66" s="610"/>
      <c r="NVM66" s="610"/>
      <c r="NVN66" s="610"/>
      <c r="NVO66" s="610"/>
      <c r="NVP66" s="610"/>
      <c r="NVQ66" s="610"/>
      <c r="NVR66" s="610"/>
      <c r="NVS66" s="610"/>
      <c r="NVT66" s="610"/>
      <c r="NVU66" s="610"/>
      <c r="NVV66" s="610"/>
      <c r="NVW66" s="610"/>
      <c r="NVX66" s="610"/>
      <c r="NVY66" s="610"/>
      <c r="NVZ66" s="610"/>
      <c r="NWA66" s="610"/>
      <c r="NWB66" s="610"/>
      <c r="NWC66" s="610"/>
      <c r="NWD66" s="610"/>
      <c r="NWE66" s="610"/>
      <c r="NWF66" s="610"/>
      <c r="NWG66" s="610"/>
      <c r="NWH66" s="610"/>
      <c r="NWI66" s="610"/>
      <c r="NWJ66" s="610"/>
      <c r="NWK66" s="610"/>
      <c r="NWL66" s="610"/>
      <c r="NWM66" s="610"/>
      <c r="NWN66" s="610"/>
      <c r="NWO66" s="610"/>
      <c r="NWP66" s="610"/>
      <c r="NWQ66" s="610"/>
      <c r="NWR66" s="610"/>
      <c r="NWS66" s="610"/>
      <c r="NWT66" s="610"/>
      <c r="NWU66" s="610"/>
      <c r="NWV66" s="610"/>
      <c r="NWW66" s="610"/>
      <c r="NWX66" s="610"/>
      <c r="NWY66" s="610"/>
      <c r="NWZ66" s="610"/>
      <c r="NXA66" s="610"/>
      <c r="NXB66" s="610"/>
      <c r="NXC66" s="610"/>
      <c r="NXD66" s="610"/>
      <c r="NXE66" s="610"/>
      <c r="NXF66" s="610"/>
      <c r="NXG66" s="610"/>
      <c r="NXH66" s="610"/>
      <c r="NXI66" s="610"/>
      <c r="NXJ66" s="610"/>
      <c r="NXK66" s="610"/>
      <c r="NXL66" s="610"/>
      <c r="NXM66" s="610"/>
      <c r="NXN66" s="610"/>
      <c r="NXO66" s="610"/>
      <c r="NXP66" s="610"/>
      <c r="NXQ66" s="610"/>
      <c r="NXR66" s="610"/>
      <c r="NXS66" s="610"/>
      <c r="NXT66" s="610"/>
      <c r="NXU66" s="610"/>
      <c r="NXV66" s="610"/>
      <c r="NXW66" s="610"/>
      <c r="NXX66" s="610"/>
      <c r="NXY66" s="610"/>
      <c r="NXZ66" s="610"/>
      <c r="NYA66" s="610"/>
      <c r="NYB66" s="610"/>
      <c r="NYC66" s="610"/>
      <c r="NYD66" s="610"/>
      <c r="NYE66" s="610"/>
      <c r="NYF66" s="610"/>
      <c r="NYG66" s="610"/>
      <c r="NYH66" s="610"/>
      <c r="NYI66" s="610"/>
      <c r="NYJ66" s="610"/>
      <c r="NYK66" s="610"/>
      <c r="NYL66" s="610"/>
      <c r="NYM66" s="610"/>
      <c r="NYN66" s="610"/>
      <c r="NYO66" s="610"/>
      <c r="NYP66" s="610"/>
      <c r="NYQ66" s="610"/>
      <c r="NYR66" s="610"/>
      <c r="NYS66" s="610"/>
      <c r="NYT66" s="610"/>
      <c r="NYU66" s="610"/>
      <c r="NYV66" s="610"/>
      <c r="NYW66" s="610"/>
      <c r="NYX66" s="610"/>
      <c r="NYY66" s="610"/>
      <c r="NYZ66" s="610"/>
      <c r="NZA66" s="610"/>
      <c r="NZB66" s="610"/>
      <c r="NZC66" s="610"/>
      <c r="NZD66" s="610"/>
      <c r="NZE66" s="610"/>
      <c r="NZF66" s="610"/>
      <c r="NZG66" s="610"/>
      <c r="NZH66" s="610"/>
      <c r="NZI66" s="610"/>
      <c r="NZJ66" s="610"/>
      <c r="NZK66" s="610"/>
      <c r="NZL66" s="610"/>
      <c r="NZM66" s="610"/>
      <c r="NZN66" s="610"/>
      <c r="NZO66" s="610"/>
      <c r="NZP66" s="610"/>
      <c r="NZQ66" s="610"/>
      <c r="NZR66" s="610"/>
      <c r="NZS66" s="610"/>
      <c r="NZT66" s="610"/>
      <c r="NZU66" s="610"/>
      <c r="NZV66" s="610"/>
      <c r="NZW66" s="610"/>
      <c r="NZX66" s="610"/>
      <c r="NZY66" s="610"/>
      <c r="NZZ66" s="610"/>
      <c r="OAA66" s="610"/>
      <c r="OAB66" s="610"/>
      <c r="OAC66" s="610"/>
      <c r="OAD66" s="610"/>
      <c r="OAE66" s="610"/>
      <c r="OAF66" s="610"/>
      <c r="OAG66" s="610"/>
      <c r="OAH66" s="610"/>
      <c r="OAI66" s="610"/>
      <c r="OAJ66" s="610"/>
      <c r="OAK66" s="610"/>
      <c r="OAL66" s="610"/>
      <c r="OAM66" s="610"/>
      <c r="OAN66" s="610"/>
      <c r="OAO66" s="610"/>
      <c r="OAP66" s="610"/>
      <c r="OAQ66" s="610"/>
      <c r="OAR66" s="610"/>
      <c r="OAS66" s="610"/>
      <c r="OAT66" s="610"/>
      <c r="OAU66" s="610"/>
      <c r="OAV66" s="610"/>
      <c r="OAW66" s="610"/>
      <c r="OAX66" s="610"/>
      <c r="OAY66" s="610"/>
      <c r="OAZ66" s="610"/>
      <c r="OBA66" s="610"/>
      <c r="OBB66" s="610"/>
      <c r="OBC66" s="610"/>
      <c r="OBD66" s="610"/>
      <c r="OBE66" s="610"/>
      <c r="OBF66" s="610"/>
      <c r="OBG66" s="610"/>
      <c r="OBH66" s="610"/>
      <c r="OBI66" s="610"/>
      <c r="OBJ66" s="610"/>
      <c r="OBK66" s="610"/>
      <c r="OBL66" s="610"/>
      <c r="OBM66" s="610"/>
      <c r="OBN66" s="610"/>
      <c r="OBO66" s="610"/>
      <c r="OBP66" s="610"/>
      <c r="OBQ66" s="610"/>
      <c r="OBR66" s="610"/>
      <c r="OBS66" s="610"/>
      <c r="OBT66" s="610"/>
      <c r="OBU66" s="610"/>
      <c r="OBV66" s="610"/>
      <c r="OBW66" s="610"/>
      <c r="OBX66" s="610"/>
      <c r="OBY66" s="610"/>
      <c r="OBZ66" s="610"/>
      <c r="OCA66" s="610"/>
      <c r="OCB66" s="610"/>
      <c r="OCC66" s="610"/>
      <c r="OCD66" s="610"/>
      <c r="OCE66" s="610"/>
      <c r="OCF66" s="610"/>
      <c r="OCG66" s="610"/>
      <c r="OCH66" s="610"/>
      <c r="OCI66" s="610"/>
      <c r="OCJ66" s="610"/>
      <c r="OCK66" s="610"/>
      <c r="OCL66" s="610"/>
      <c r="OCM66" s="610"/>
      <c r="OCN66" s="610"/>
      <c r="OCO66" s="610"/>
      <c r="OCP66" s="610"/>
      <c r="OCQ66" s="610"/>
      <c r="OCR66" s="610"/>
      <c r="OCS66" s="610"/>
      <c r="OCT66" s="610"/>
      <c r="OCU66" s="610"/>
      <c r="OCV66" s="610"/>
      <c r="OCW66" s="610"/>
      <c r="OCX66" s="610"/>
      <c r="OCY66" s="610"/>
      <c r="OCZ66" s="610"/>
      <c r="ODA66" s="610"/>
      <c r="ODB66" s="610"/>
      <c r="ODC66" s="610"/>
      <c r="ODD66" s="610"/>
      <c r="ODE66" s="610"/>
      <c r="ODF66" s="610"/>
      <c r="ODG66" s="610"/>
      <c r="ODH66" s="610"/>
      <c r="ODI66" s="610"/>
      <c r="ODJ66" s="610"/>
      <c r="ODK66" s="610"/>
      <c r="ODL66" s="610"/>
      <c r="ODM66" s="610"/>
      <c r="ODN66" s="610"/>
      <c r="ODO66" s="610"/>
      <c r="ODP66" s="610"/>
      <c r="ODQ66" s="610"/>
      <c r="ODR66" s="610"/>
      <c r="ODS66" s="610"/>
      <c r="ODT66" s="610"/>
      <c r="ODU66" s="610"/>
      <c r="ODV66" s="610"/>
      <c r="ODW66" s="610"/>
      <c r="ODX66" s="610"/>
      <c r="ODY66" s="610"/>
      <c r="ODZ66" s="610"/>
      <c r="OEA66" s="610"/>
      <c r="OEB66" s="610"/>
      <c r="OEC66" s="610"/>
      <c r="OED66" s="610"/>
      <c r="OEE66" s="610"/>
      <c r="OEF66" s="610"/>
      <c r="OEG66" s="610"/>
      <c r="OEH66" s="610"/>
      <c r="OEI66" s="610"/>
      <c r="OEJ66" s="610"/>
      <c r="OEK66" s="610"/>
      <c r="OEL66" s="610"/>
      <c r="OEM66" s="610"/>
      <c r="OEN66" s="610"/>
      <c r="OEO66" s="610"/>
      <c r="OEP66" s="610"/>
      <c r="OEQ66" s="610"/>
      <c r="OER66" s="610"/>
      <c r="OES66" s="610"/>
      <c r="OET66" s="610"/>
      <c r="OEU66" s="610"/>
      <c r="OEV66" s="610"/>
      <c r="OEW66" s="610"/>
      <c r="OEX66" s="610"/>
      <c r="OEY66" s="610"/>
      <c r="OEZ66" s="610"/>
      <c r="OFA66" s="610"/>
      <c r="OFB66" s="610"/>
      <c r="OFC66" s="610"/>
      <c r="OFD66" s="610"/>
      <c r="OFE66" s="610"/>
      <c r="OFF66" s="610"/>
      <c r="OFG66" s="610"/>
      <c r="OFH66" s="610"/>
      <c r="OFI66" s="610"/>
      <c r="OFJ66" s="610"/>
      <c r="OFK66" s="610"/>
      <c r="OFL66" s="610"/>
      <c r="OFM66" s="610"/>
      <c r="OFN66" s="610"/>
      <c r="OFO66" s="610"/>
      <c r="OFP66" s="610"/>
      <c r="OFQ66" s="610"/>
      <c r="OFR66" s="610"/>
      <c r="OFS66" s="610"/>
      <c r="OFT66" s="610"/>
      <c r="OFU66" s="610"/>
      <c r="OFV66" s="610"/>
      <c r="OFW66" s="610"/>
      <c r="OFX66" s="610"/>
      <c r="OFY66" s="610"/>
      <c r="OFZ66" s="610"/>
      <c r="OGA66" s="610"/>
      <c r="OGB66" s="610"/>
      <c r="OGC66" s="610"/>
      <c r="OGD66" s="610"/>
      <c r="OGE66" s="610"/>
      <c r="OGF66" s="610"/>
      <c r="OGG66" s="610"/>
      <c r="OGH66" s="610"/>
      <c r="OGI66" s="610"/>
      <c r="OGJ66" s="610"/>
      <c r="OGK66" s="610"/>
      <c r="OGL66" s="610"/>
      <c r="OGM66" s="610"/>
      <c r="OGN66" s="610"/>
      <c r="OGO66" s="610"/>
      <c r="OGP66" s="610"/>
      <c r="OGQ66" s="610"/>
      <c r="OGR66" s="610"/>
      <c r="OGS66" s="610"/>
      <c r="OGT66" s="610"/>
      <c r="OGU66" s="610"/>
      <c r="OGV66" s="610"/>
      <c r="OGW66" s="610"/>
      <c r="OGX66" s="610"/>
      <c r="OGY66" s="610"/>
      <c r="OGZ66" s="610"/>
      <c r="OHA66" s="610"/>
      <c r="OHB66" s="610"/>
      <c r="OHC66" s="610"/>
      <c r="OHD66" s="610"/>
      <c r="OHE66" s="610"/>
      <c r="OHF66" s="610"/>
      <c r="OHG66" s="610"/>
      <c r="OHH66" s="610"/>
      <c r="OHI66" s="610"/>
      <c r="OHJ66" s="610"/>
      <c r="OHK66" s="610"/>
      <c r="OHL66" s="610"/>
      <c r="OHM66" s="610"/>
      <c r="OHN66" s="610"/>
      <c r="OHO66" s="610"/>
      <c r="OHP66" s="610"/>
      <c r="OHQ66" s="610"/>
      <c r="OHR66" s="610"/>
      <c r="OHS66" s="610"/>
      <c r="OHT66" s="610"/>
      <c r="OHU66" s="610"/>
      <c r="OHV66" s="610"/>
      <c r="OHW66" s="610"/>
      <c r="OHX66" s="610"/>
      <c r="OHY66" s="610"/>
      <c r="OHZ66" s="610"/>
      <c r="OIA66" s="610"/>
      <c r="OIB66" s="610"/>
      <c r="OIC66" s="610"/>
      <c r="OID66" s="610"/>
      <c r="OIE66" s="610"/>
      <c r="OIF66" s="610"/>
      <c r="OIG66" s="610"/>
      <c r="OIH66" s="610"/>
      <c r="OII66" s="610"/>
      <c r="OIJ66" s="610"/>
      <c r="OIK66" s="610"/>
      <c r="OIL66" s="610"/>
      <c r="OIM66" s="610"/>
      <c r="OIN66" s="610"/>
      <c r="OIO66" s="610"/>
      <c r="OIP66" s="610"/>
      <c r="OIQ66" s="610"/>
      <c r="OIR66" s="610"/>
      <c r="OIS66" s="610"/>
      <c r="OIT66" s="610"/>
      <c r="OIU66" s="610"/>
      <c r="OIV66" s="610"/>
      <c r="OIW66" s="610"/>
      <c r="OIX66" s="610"/>
      <c r="OIY66" s="610"/>
      <c r="OIZ66" s="610"/>
      <c r="OJA66" s="610"/>
      <c r="OJB66" s="610"/>
      <c r="OJC66" s="610"/>
      <c r="OJD66" s="610"/>
      <c r="OJE66" s="610"/>
      <c r="OJF66" s="610"/>
      <c r="OJG66" s="610"/>
      <c r="OJH66" s="610"/>
      <c r="OJI66" s="610"/>
      <c r="OJJ66" s="610"/>
      <c r="OJK66" s="610"/>
      <c r="OJL66" s="610"/>
      <c r="OJM66" s="610"/>
      <c r="OJN66" s="610"/>
      <c r="OJO66" s="610"/>
      <c r="OJP66" s="610"/>
      <c r="OJQ66" s="610"/>
      <c r="OJR66" s="610"/>
      <c r="OJS66" s="610"/>
      <c r="OJT66" s="610"/>
      <c r="OJU66" s="610"/>
      <c r="OJV66" s="610"/>
      <c r="OJW66" s="610"/>
      <c r="OJX66" s="610"/>
      <c r="OJY66" s="610"/>
      <c r="OJZ66" s="610"/>
      <c r="OKA66" s="610"/>
      <c r="OKB66" s="610"/>
      <c r="OKC66" s="610"/>
      <c r="OKD66" s="610"/>
      <c r="OKE66" s="610"/>
      <c r="OKF66" s="610"/>
      <c r="OKG66" s="610"/>
      <c r="OKH66" s="610"/>
      <c r="OKI66" s="610"/>
      <c r="OKJ66" s="610"/>
      <c r="OKK66" s="610"/>
      <c r="OKL66" s="610"/>
      <c r="OKM66" s="610"/>
      <c r="OKN66" s="610"/>
      <c r="OKO66" s="610"/>
      <c r="OKP66" s="610"/>
      <c r="OKQ66" s="610"/>
      <c r="OKR66" s="610"/>
      <c r="OKS66" s="610"/>
      <c r="OKT66" s="610"/>
      <c r="OKU66" s="610"/>
      <c r="OKV66" s="610"/>
      <c r="OKW66" s="610"/>
      <c r="OKX66" s="610"/>
      <c r="OKY66" s="610"/>
      <c r="OKZ66" s="610"/>
      <c r="OLA66" s="610"/>
      <c r="OLB66" s="610"/>
      <c r="OLC66" s="610"/>
      <c r="OLD66" s="610"/>
      <c r="OLE66" s="610"/>
      <c r="OLF66" s="610"/>
      <c r="OLG66" s="610"/>
      <c r="OLH66" s="610"/>
      <c r="OLI66" s="610"/>
      <c r="OLJ66" s="610"/>
      <c r="OLK66" s="610"/>
      <c r="OLL66" s="610"/>
      <c r="OLM66" s="610"/>
      <c r="OLN66" s="610"/>
      <c r="OLO66" s="610"/>
      <c r="OLP66" s="610"/>
      <c r="OLQ66" s="610"/>
      <c r="OLR66" s="610"/>
      <c r="OLS66" s="610"/>
      <c r="OLT66" s="610"/>
      <c r="OLU66" s="610"/>
      <c r="OLV66" s="610"/>
      <c r="OLW66" s="610"/>
      <c r="OLX66" s="610"/>
      <c r="OLY66" s="610"/>
      <c r="OLZ66" s="610"/>
      <c r="OMA66" s="610"/>
      <c r="OMB66" s="610"/>
      <c r="OMC66" s="610"/>
      <c r="OMD66" s="610"/>
      <c r="OME66" s="610"/>
      <c r="OMF66" s="610"/>
      <c r="OMG66" s="610"/>
      <c r="OMH66" s="610"/>
      <c r="OMI66" s="610"/>
      <c r="OMJ66" s="610"/>
      <c r="OMK66" s="610"/>
      <c r="OML66" s="610"/>
      <c r="OMM66" s="610"/>
      <c r="OMN66" s="610"/>
      <c r="OMO66" s="610"/>
      <c r="OMP66" s="610"/>
      <c r="OMQ66" s="610"/>
      <c r="OMR66" s="610"/>
      <c r="OMS66" s="610"/>
      <c r="OMT66" s="610"/>
      <c r="OMU66" s="610"/>
      <c r="OMV66" s="610"/>
      <c r="OMW66" s="610"/>
      <c r="OMX66" s="610"/>
      <c r="OMY66" s="610"/>
      <c r="OMZ66" s="610"/>
      <c r="ONA66" s="610"/>
      <c r="ONB66" s="610"/>
      <c r="ONC66" s="610"/>
      <c r="OND66" s="610"/>
      <c r="ONE66" s="610"/>
      <c r="ONF66" s="610"/>
      <c r="ONG66" s="610"/>
      <c r="ONH66" s="610"/>
      <c r="ONI66" s="610"/>
      <c r="ONJ66" s="610"/>
      <c r="ONK66" s="610"/>
      <c r="ONL66" s="610"/>
      <c r="ONM66" s="610"/>
      <c r="ONN66" s="610"/>
      <c r="ONO66" s="610"/>
      <c r="ONP66" s="610"/>
      <c r="ONQ66" s="610"/>
      <c r="ONR66" s="610"/>
      <c r="ONS66" s="610"/>
      <c r="ONT66" s="610"/>
      <c r="ONU66" s="610"/>
      <c r="ONV66" s="610"/>
      <c r="ONW66" s="610"/>
      <c r="ONX66" s="610"/>
      <c r="ONY66" s="610"/>
      <c r="ONZ66" s="610"/>
      <c r="OOA66" s="610"/>
      <c r="OOB66" s="610"/>
      <c r="OOC66" s="610"/>
      <c r="OOD66" s="610"/>
      <c r="OOE66" s="610"/>
      <c r="OOF66" s="610"/>
      <c r="OOG66" s="610"/>
      <c r="OOH66" s="610"/>
      <c r="OOI66" s="610"/>
      <c r="OOJ66" s="610"/>
      <c r="OOK66" s="610"/>
      <c r="OOL66" s="610"/>
      <c r="OOM66" s="610"/>
      <c r="OON66" s="610"/>
      <c r="OOO66" s="610"/>
      <c r="OOP66" s="610"/>
      <c r="OOQ66" s="610"/>
      <c r="OOR66" s="610"/>
      <c r="OOS66" s="610"/>
      <c r="OOT66" s="610"/>
      <c r="OOU66" s="610"/>
      <c r="OOV66" s="610"/>
      <c r="OOW66" s="610"/>
      <c r="OOX66" s="610"/>
      <c r="OOY66" s="610"/>
      <c r="OOZ66" s="610"/>
      <c r="OPA66" s="610"/>
      <c r="OPB66" s="610"/>
      <c r="OPC66" s="610"/>
      <c r="OPD66" s="610"/>
      <c r="OPE66" s="610"/>
      <c r="OPF66" s="610"/>
      <c r="OPG66" s="610"/>
      <c r="OPH66" s="610"/>
      <c r="OPI66" s="610"/>
      <c r="OPJ66" s="610"/>
      <c r="OPK66" s="610"/>
      <c r="OPL66" s="610"/>
      <c r="OPM66" s="610"/>
      <c r="OPN66" s="610"/>
      <c r="OPO66" s="610"/>
      <c r="OPP66" s="610"/>
      <c r="OPQ66" s="610"/>
      <c r="OPR66" s="610"/>
      <c r="OPS66" s="610"/>
      <c r="OPT66" s="610"/>
      <c r="OPU66" s="610"/>
      <c r="OPV66" s="610"/>
      <c r="OPW66" s="610"/>
      <c r="OPX66" s="610"/>
      <c r="OPY66" s="610"/>
      <c r="OPZ66" s="610"/>
      <c r="OQA66" s="610"/>
      <c r="OQB66" s="610"/>
      <c r="OQC66" s="610"/>
      <c r="OQD66" s="610"/>
      <c r="OQE66" s="610"/>
      <c r="OQF66" s="610"/>
      <c r="OQG66" s="610"/>
      <c r="OQH66" s="610"/>
      <c r="OQI66" s="610"/>
      <c r="OQJ66" s="610"/>
      <c r="OQK66" s="610"/>
      <c r="OQL66" s="610"/>
      <c r="OQM66" s="610"/>
      <c r="OQN66" s="610"/>
      <c r="OQO66" s="610"/>
      <c r="OQP66" s="610"/>
      <c r="OQQ66" s="610"/>
      <c r="OQR66" s="610"/>
      <c r="OQS66" s="610"/>
      <c r="OQT66" s="610"/>
      <c r="OQU66" s="610"/>
      <c r="OQV66" s="610"/>
      <c r="OQW66" s="610"/>
      <c r="OQX66" s="610"/>
      <c r="OQY66" s="610"/>
      <c r="OQZ66" s="610"/>
      <c r="ORA66" s="610"/>
      <c r="ORB66" s="610"/>
      <c r="ORC66" s="610"/>
      <c r="ORD66" s="610"/>
      <c r="ORE66" s="610"/>
      <c r="ORF66" s="610"/>
      <c r="ORG66" s="610"/>
      <c r="ORH66" s="610"/>
      <c r="ORI66" s="610"/>
      <c r="ORJ66" s="610"/>
      <c r="ORK66" s="610"/>
      <c r="ORL66" s="610"/>
      <c r="ORM66" s="610"/>
      <c r="ORN66" s="610"/>
      <c r="ORO66" s="610"/>
      <c r="ORP66" s="610"/>
      <c r="ORQ66" s="610"/>
      <c r="ORR66" s="610"/>
      <c r="ORS66" s="610"/>
      <c r="ORT66" s="610"/>
      <c r="ORU66" s="610"/>
      <c r="ORV66" s="610"/>
      <c r="ORW66" s="610"/>
      <c r="ORX66" s="610"/>
      <c r="ORY66" s="610"/>
      <c r="ORZ66" s="610"/>
      <c r="OSA66" s="610"/>
      <c r="OSB66" s="610"/>
      <c r="OSC66" s="610"/>
      <c r="OSD66" s="610"/>
      <c r="OSE66" s="610"/>
      <c r="OSF66" s="610"/>
      <c r="OSG66" s="610"/>
      <c r="OSH66" s="610"/>
      <c r="OSI66" s="610"/>
      <c r="OSJ66" s="610"/>
      <c r="OSK66" s="610"/>
      <c r="OSL66" s="610"/>
      <c r="OSM66" s="610"/>
      <c r="OSN66" s="610"/>
      <c r="OSO66" s="610"/>
      <c r="OSP66" s="610"/>
      <c r="OSQ66" s="610"/>
      <c r="OSR66" s="610"/>
      <c r="OSS66" s="610"/>
      <c r="OST66" s="610"/>
      <c r="OSU66" s="610"/>
      <c r="OSV66" s="610"/>
      <c r="OSW66" s="610"/>
      <c r="OSX66" s="610"/>
      <c r="OSY66" s="610"/>
      <c r="OSZ66" s="610"/>
      <c r="OTA66" s="610"/>
      <c r="OTB66" s="610"/>
      <c r="OTC66" s="610"/>
      <c r="OTD66" s="610"/>
      <c r="OTE66" s="610"/>
      <c r="OTF66" s="610"/>
      <c r="OTG66" s="610"/>
      <c r="OTH66" s="610"/>
      <c r="OTI66" s="610"/>
      <c r="OTJ66" s="610"/>
      <c r="OTK66" s="610"/>
      <c r="OTL66" s="610"/>
      <c r="OTM66" s="610"/>
      <c r="OTN66" s="610"/>
      <c r="OTO66" s="610"/>
      <c r="OTP66" s="610"/>
      <c r="OTQ66" s="610"/>
      <c r="OTR66" s="610"/>
      <c r="OTS66" s="610"/>
      <c r="OTT66" s="610"/>
      <c r="OTU66" s="610"/>
      <c r="OTV66" s="610"/>
      <c r="OTW66" s="610"/>
      <c r="OTX66" s="610"/>
      <c r="OTY66" s="610"/>
      <c r="OTZ66" s="610"/>
      <c r="OUA66" s="610"/>
      <c r="OUB66" s="610"/>
      <c r="OUC66" s="610"/>
      <c r="OUD66" s="610"/>
      <c r="OUE66" s="610"/>
      <c r="OUF66" s="610"/>
      <c r="OUG66" s="610"/>
      <c r="OUH66" s="610"/>
      <c r="OUI66" s="610"/>
      <c r="OUJ66" s="610"/>
      <c r="OUK66" s="610"/>
      <c r="OUL66" s="610"/>
      <c r="OUM66" s="610"/>
      <c r="OUN66" s="610"/>
      <c r="OUO66" s="610"/>
      <c r="OUP66" s="610"/>
      <c r="OUQ66" s="610"/>
      <c r="OUR66" s="610"/>
      <c r="OUS66" s="610"/>
      <c r="OUT66" s="610"/>
      <c r="OUU66" s="610"/>
      <c r="OUV66" s="610"/>
      <c r="OUW66" s="610"/>
      <c r="OUX66" s="610"/>
      <c r="OUY66" s="610"/>
      <c r="OUZ66" s="610"/>
      <c r="OVA66" s="610"/>
      <c r="OVB66" s="610"/>
      <c r="OVC66" s="610"/>
      <c r="OVD66" s="610"/>
      <c r="OVE66" s="610"/>
      <c r="OVF66" s="610"/>
      <c r="OVG66" s="610"/>
      <c r="OVH66" s="610"/>
      <c r="OVI66" s="610"/>
      <c r="OVJ66" s="610"/>
      <c r="OVK66" s="610"/>
      <c r="OVL66" s="610"/>
      <c r="OVM66" s="610"/>
      <c r="OVN66" s="610"/>
      <c r="OVO66" s="610"/>
      <c r="OVP66" s="610"/>
      <c r="OVQ66" s="610"/>
      <c r="OVR66" s="610"/>
      <c r="OVS66" s="610"/>
      <c r="OVT66" s="610"/>
      <c r="OVU66" s="610"/>
      <c r="OVV66" s="610"/>
      <c r="OVW66" s="610"/>
      <c r="OVX66" s="610"/>
      <c r="OVY66" s="610"/>
      <c r="OVZ66" s="610"/>
      <c r="OWA66" s="610"/>
      <c r="OWB66" s="610"/>
      <c r="OWC66" s="610"/>
      <c r="OWD66" s="610"/>
      <c r="OWE66" s="610"/>
      <c r="OWF66" s="610"/>
      <c r="OWG66" s="610"/>
      <c r="OWH66" s="610"/>
      <c r="OWI66" s="610"/>
      <c r="OWJ66" s="610"/>
      <c r="OWK66" s="610"/>
      <c r="OWL66" s="610"/>
      <c r="OWM66" s="610"/>
      <c r="OWN66" s="610"/>
      <c r="OWO66" s="610"/>
      <c r="OWP66" s="610"/>
      <c r="OWQ66" s="610"/>
      <c r="OWR66" s="610"/>
      <c r="OWS66" s="610"/>
      <c r="OWT66" s="610"/>
      <c r="OWU66" s="610"/>
      <c r="OWV66" s="610"/>
      <c r="OWW66" s="610"/>
      <c r="OWX66" s="610"/>
      <c r="OWY66" s="610"/>
      <c r="OWZ66" s="610"/>
      <c r="OXA66" s="610"/>
      <c r="OXB66" s="610"/>
      <c r="OXC66" s="610"/>
      <c r="OXD66" s="610"/>
      <c r="OXE66" s="610"/>
      <c r="OXF66" s="610"/>
      <c r="OXG66" s="610"/>
      <c r="OXH66" s="610"/>
      <c r="OXI66" s="610"/>
      <c r="OXJ66" s="610"/>
      <c r="OXK66" s="610"/>
      <c r="OXL66" s="610"/>
      <c r="OXM66" s="610"/>
      <c r="OXN66" s="610"/>
      <c r="OXO66" s="610"/>
      <c r="OXP66" s="610"/>
      <c r="OXQ66" s="610"/>
      <c r="OXR66" s="610"/>
      <c r="OXS66" s="610"/>
      <c r="OXT66" s="610"/>
      <c r="OXU66" s="610"/>
      <c r="OXV66" s="610"/>
      <c r="OXW66" s="610"/>
      <c r="OXX66" s="610"/>
      <c r="OXY66" s="610"/>
      <c r="OXZ66" s="610"/>
      <c r="OYA66" s="610"/>
      <c r="OYB66" s="610"/>
      <c r="OYC66" s="610"/>
      <c r="OYD66" s="610"/>
      <c r="OYE66" s="610"/>
      <c r="OYF66" s="610"/>
      <c r="OYG66" s="610"/>
      <c r="OYH66" s="610"/>
      <c r="OYI66" s="610"/>
      <c r="OYJ66" s="610"/>
      <c r="OYK66" s="610"/>
      <c r="OYL66" s="610"/>
      <c r="OYM66" s="610"/>
      <c r="OYN66" s="610"/>
      <c r="OYO66" s="610"/>
      <c r="OYP66" s="610"/>
      <c r="OYQ66" s="610"/>
      <c r="OYR66" s="610"/>
      <c r="OYS66" s="610"/>
      <c r="OYT66" s="610"/>
      <c r="OYU66" s="610"/>
      <c r="OYV66" s="610"/>
      <c r="OYW66" s="610"/>
      <c r="OYX66" s="610"/>
      <c r="OYY66" s="610"/>
      <c r="OYZ66" s="610"/>
      <c r="OZA66" s="610"/>
      <c r="OZB66" s="610"/>
      <c r="OZC66" s="610"/>
      <c r="OZD66" s="610"/>
      <c r="OZE66" s="610"/>
      <c r="OZF66" s="610"/>
      <c r="OZG66" s="610"/>
      <c r="OZH66" s="610"/>
      <c r="OZI66" s="610"/>
      <c r="OZJ66" s="610"/>
      <c r="OZK66" s="610"/>
      <c r="OZL66" s="610"/>
      <c r="OZM66" s="610"/>
      <c r="OZN66" s="610"/>
      <c r="OZO66" s="610"/>
      <c r="OZP66" s="610"/>
      <c r="OZQ66" s="610"/>
      <c r="OZR66" s="610"/>
      <c r="OZS66" s="610"/>
      <c r="OZT66" s="610"/>
      <c r="OZU66" s="610"/>
      <c r="OZV66" s="610"/>
      <c r="OZW66" s="610"/>
      <c r="OZX66" s="610"/>
      <c r="OZY66" s="610"/>
      <c r="OZZ66" s="610"/>
      <c r="PAA66" s="610"/>
      <c r="PAB66" s="610"/>
      <c r="PAC66" s="610"/>
      <c r="PAD66" s="610"/>
      <c r="PAE66" s="610"/>
      <c r="PAF66" s="610"/>
      <c r="PAG66" s="610"/>
      <c r="PAH66" s="610"/>
      <c r="PAI66" s="610"/>
      <c r="PAJ66" s="610"/>
      <c r="PAK66" s="610"/>
      <c r="PAL66" s="610"/>
      <c r="PAM66" s="610"/>
      <c r="PAN66" s="610"/>
      <c r="PAO66" s="610"/>
      <c r="PAP66" s="610"/>
      <c r="PAQ66" s="610"/>
      <c r="PAR66" s="610"/>
      <c r="PAS66" s="610"/>
      <c r="PAT66" s="610"/>
      <c r="PAU66" s="610"/>
      <c r="PAV66" s="610"/>
      <c r="PAW66" s="610"/>
      <c r="PAX66" s="610"/>
      <c r="PAY66" s="610"/>
      <c r="PAZ66" s="610"/>
      <c r="PBA66" s="610"/>
      <c r="PBB66" s="610"/>
      <c r="PBC66" s="610"/>
      <c r="PBD66" s="610"/>
      <c r="PBE66" s="610"/>
      <c r="PBF66" s="610"/>
      <c r="PBG66" s="610"/>
      <c r="PBH66" s="610"/>
      <c r="PBI66" s="610"/>
      <c r="PBJ66" s="610"/>
      <c r="PBK66" s="610"/>
      <c r="PBL66" s="610"/>
      <c r="PBM66" s="610"/>
      <c r="PBN66" s="610"/>
      <c r="PBO66" s="610"/>
      <c r="PBP66" s="610"/>
      <c r="PBQ66" s="610"/>
      <c r="PBR66" s="610"/>
      <c r="PBS66" s="610"/>
      <c r="PBT66" s="610"/>
      <c r="PBU66" s="610"/>
      <c r="PBV66" s="610"/>
      <c r="PBW66" s="610"/>
      <c r="PBX66" s="610"/>
      <c r="PBY66" s="610"/>
      <c r="PBZ66" s="610"/>
      <c r="PCA66" s="610"/>
      <c r="PCB66" s="610"/>
      <c r="PCC66" s="610"/>
      <c r="PCD66" s="610"/>
      <c r="PCE66" s="610"/>
      <c r="PCF66" s="610"/>
      <c r="PCG66" s="610"/>
      <c r="PCH66" s="610"/>
      <c r="PCI66" s="610"/>
      <c r="PCJ66" s="610"/>
      <c r="PCK66" s="610"/>
      <c r="PCL66" s="610"/>
      <c r="PCM66" s="610"/>
      <c r="PCN66" s="610"/>
      <c r="PCO66" s="610"/>
      <c r="PCP66" s="610"/>
      <c r="PCQ66" s="610"/>
      <c r="PCR66" s="610"/>
      <c r="PCS66" s="610"/>
      <c r="PCT66" s="610"/>
      <c r="PCU66" s="610"/>
      <c r="PCV66" s="610"/>
      <c r="PCW66" s="610"/>
      <c r="PCX66" s="610"/>
      <c r="PCY66" s="610"/>
      <c r="PCZ66" s="610"/>
      <c r="PDA66" s="610"/>
      <c r="PDB66" s="610"/>
      <c r="PDC66" s="610"/>
      <c r="PDD66" s="610"/>
      <c r="PDE66" s="610"/>
      <c r="PDF66" s="610"/>
      <c r="PDG66" s="610"/>
      <c r="PDH66" s="610"/>
      <c r="PDI66" s="610"/>
      <c r="PDJ66" s="610"/>
      <c r="PDK66" s="610"/>
      <c r="PDL66" s="610"/>
      <c r="PDM66" s="610"/>
      <c r="PDN66" s="610"/>
      <c r="PDO66" s="610"/>
      <c r="PDP66" s="610"/>
      <c r="PDQ66" s="610"/>
      <c r="PDR66" s="610"/>
      <c r="PDS66" s="610"/>
      <c r="PDT66" s="610"/>
      <c r="PDU66" s="610"/>
      <c r="PDV66" s="610"/>
      <c r="PDW66" s="610"/>
      <c r="PDX66" s="610"/>
      <c r="PDY66" s="610"/>
      <c r="PDZ66" s="610"/>
      <c r="PEA66" s="610"/>
      <c r="PEB66" s="610"/>
      <c r="PEC66" s="610"/>
      <c r="PED66" s="610"/>
      <c r="PEE66" s="610"/>
      <c r="PEF66" s="610"/>
      <c r="PEG66" s="610"/>
      <c r="PEH66" s="610"/>
      <c r="PEI66" s="610"/>
      <c r="PEJ66" s="610"/>
      <c r="PEK66" s="610"/>
      <c r="PEL66" s="610"/>
      <c r="PEM66" s="610"/>
      <c r="PEN66" s="610"/>
      <c r="PEO66" s="610"/>
      <c r="PEP66" s="610"/>
      <c r="PEQ66" s="610"/>
      <c r="PER66" s="610"/>
      <c r="PES66" s="610"/>
      <c r="PET66" s="610"/>
      <c r="PEU66" s="610"/>
      <c r="PEV66" s="610"/>
      <c r="PEW66" s="610"/>
      <c r="PEX66" s="610"/>
      <c r="PEY66" s="610"/>
      <c r="PEZ66" s="610"/>
      <c r="PFA66" s="610"/>
      <c r="PFB66" s="610"/>
      <c r="PFC66" s="610"/>
      <c r="PFD66" s="610"/>
      <c r="PFE66" s="610"/>
      <c r="PFF66" s="610"/>
      <c r="PFG66" s="610"/>
      <c r="PFH66" s="610"/>
      <c r="PFI66" s="610"/>
      <c r="PFJ66" s="610"/>
      <c r="PFK66" s="610"/>
      <c r="PFL66" s="610"/>
      <c r="PFM66" s="610"/>
      <c r="PFN66" s="610"/>
      <c r="PFO66" s="610"/>
      <c r="PFP66" s="610"/>
      <c r="PFQ66" s="610"/>
      <c r="PFR66" s="610"/>
      <c r="PFS66" s="610"/>
      <c r="PFT66" s="610"/>
      <c r="PFU66" s="610"/>
      <c r="PFV66" s="610"/>
      <c r="PFW66" s="610"/>
      <c r="PFX66" s="610"/>
      <c r="PFY66" s="610"/>
      <c r="PFZ66" s="610"/>
      <c r="PGA66" s="610"/>
      <c r="PGB66" s="610"/>
      <c r="PGC66" s="610"/>
      <c r="PGD66" s="610"/>
      <c r="PGE66" s="610"/>
      <c r="PGF66" s="610"/>
      <c r="PGG66" s="610"/>
      <c r="PGH66" s="610"/>
      <c r="PGI66" s="610"/>
      <c r="PGJ66" s="610"/>
      <c r="PGK66" s="610"/>
      <c r="PGL66" s="610"/>
      <c r="PGM66" s="610"/>
      <c r="PGN66" s="610"/>
      <c r="PGO66" s="610"/>
      <c r="PGP66" s="610"/>
      <c r="PGQ66" s="610"/>
      <c r="PGR66" s="610"/>
      <c r="PGS66" s="610"/>
      <c r="PGT66" s="610"/>
      <c r="PGU66" s="610"/>
      <c r="PGV66" s="610"/>
      <c r="PGW66" s="610"/>
      <c r="PGX66" s="610"/>
      <c r="PGY66" s="610"/>
      <c r="PGZ66" s="610"/>
      <c r="PHA66" s="610"/>
      <c r="PHB66" s="610"/>
      <c r="PHC66" s="610"/>
      <c r="PHD66" s="610"/>
      <c r="PHE66" s="610"/>
      <c r="PHF66" s="610"/>
      <c r="PHG66" s="610"/>
      <c r="PHH66" s="610"/>
      <c r="PHI66" s="610"/>
      <c r="PHJ66" s="610"/>
      <c r="PHK66" s="610"/>
      <c r="PHL66" s="610"/>
      <c r="PHM66" s="610"/>
      <c r="PHN66" s="610"/>
      <c r="PHO66" s="610"/>
      <c r="PHP66" s="610"/>
      <c r="PHQ66" s="610"/>
      <c r="PHR66" s="610"/>
      <c r="PHS66" s="610"/>
      <c r="PHT66" s="610"/>
      <c r="PHU66" s="610"/>
      <c r="PHV66" s="610"/>
      <c r="PHW66" s="610"/>
      <c r="PHX66" s="610"/>
      <c r="PHY66" s="610"/>
      <c r="PHZ66" s="610"/>
      <c r="PIA66" s="610"/>
      <c r="PIB66" s="610"/>
      <c r="PIC66" s="610"/>
      <c r="PID66" s="610"/>
      <c r="PIE66" s="610"/>
      <c r="PIF66" s="610"/>
      <c r="PIG66" s="610"/>
      <c r="PIH66" s="610"/>
      <c r="PII66" s="610"/>
      <c r="PIJ66" s="610"/>
      <c r="PIK66" s="610"/>
      <c r="PIL66" s="610"/>
      <c r="PIM66" s="610"/>
      <c r="PIN66" s="610"/>
      <c r="PIO66" s="610"/>
      <c r="PIP66" s="610"/>
      <c r="PIQ66" s="610"/>
      <c r="PIR66" s="610"/>
      <c r="PIS66" s="610"/>
      <c r="PIT66" s="610"/>
      <c r="PIU66" s="610"/>
      <c r="PIV66" s="610"/>
      <c r="PIW66" s="610"/>
      <c r="PIX66" s="610"/>
      <c r="PIY66" s="610"/>
      <c r="PIZ66" s="610"/>
      <c r="PJA66" s="610"/>
      <c r="PJB66" s="610"/>
      <c r="PJC66" s="610"/>
      <c r="PJD66" s="610"/>
      <c r="PJE66" s="610"/>
      <c r="PJF66" s="610"/>
      <c r="PJG66" s="610"/>
      <c r="PJH66" s="610"/>
      <c r="PJI66" s="610"/>
      <c r="PJJ66" s="610"/>
      <c r="PJK66" s="610"/>
      <c r="PJL66" s="610"/>
      <c r="PJM66" s="610"/>
      <c r="PJN66" s="610"/>
      <c r="PJO66" s="610"/>
      <c r="PJP66" s="610"/>
      <c r="PJQ66" s="610"/>
      <c r="PJR66" s="610"/>
      <c r="PJS66" s="610"/>
      <c r="PJT66" s="610"/>
      <c r="PJU66" s="610"/>
      <c r="PJV66" s="610"/>
      <c r="PJW66" s="610"/>
      <c r="PJX66" s="610"/>
      <c r="PJY66" s="610"/>
      <c r="PJZ66" s="610"/>
      <c r="PKA66" s="610"/>
      <c r="PKB66" s="610"/>
      <c r="PKC66" s="610"/>
      <c r="PKD66" s="610"/>
      <c r="PKE66" s="610"/>
      <c r="PKF66" s="610"/>
      <c r="PKG66" s="610"/>
      <c r="PKH66" s="610"/>
      <c r="PKI66" s="610"/>
      <c r="PKJ66" s="610"/>
      <c r="PKK66" s="610"/>
      <c r="PKL66" s="610"/>
      <c r="PKM66" s="610"/>
      <c r="PKN66" s="610"/>
      <c r="PKO66" s="610"/>
      <c r="PKP66" s="610"/>
      <c r="PKQ66" s="610"/>
      <c r="PKR66" s="610"/>
      <c r="PKS66" s="610"/>
      <c r="PKT66" s="610"/>
      <c r="PKU66" s="610"/>
      <c r="PKV66" s="610"/>
      <c r="PKW66" s="610"/>
      <c r="PKX66" s="610"/>
      <c r="PKY66" s="610"/>
      <c r="PKZ66" s="610"/>
      <c r="PLA66" s="610"/>
      <c r="PLB66" s="610"/>
      <c r="PLC66" s="610"/>
      <c r="PLD66" s="610"/>
      <c r="PLE66" s="610"/>
      <c r="PLF66" s="610"/>
      <c r="PLG66" s="610"/>
      <c r="PLH66" s="610"/>
      <c r="PLI66" s="610"/>
      <c r="PLJ66" s="610"/>
      <c r="PLK66" s="610"/>
      <c r="PLL66" s="610"/>
      <c r="PLM66" s="610"/>
      <c r="PLN66" s="610"/>
      <c r="PLO66" s="610"/>
      <c r="PLP66" s="610"/>
      <c r="PLQ66" s="610"/>
      <c r="PLR66" s="610"/>
      <c r="PLS66" s="610"/>
      <c r="PLT66" s="610"/>
      <c r="PLU66" s="610"/>
      <c r="PLV66" s="610"/>
      <c r="PLW66" s="610"/>
      <c r="PLX66" s="610"/>
      <c r="PLY66" s="610"/>
      <c r="PLZ66" s="610"/>
      <c r="PMA66" s="610"/>
      <c r="PMB66" s="610"/>
      <c r="PMC66" s="610"/>
      <c r="PMD66" s="610"/>
      <c r="PME66" s="610"/>
      <c r="PMF66" s="610"/>
      <c r="PMG66" s="610"/>
      <c r="PMH66" s="610"/>
      <c r="PMI66" s="610"/>
      <c r="PMJ66" s="610"/>
      <c r="PMK66" s="610"/>
      <c r="PML66" s="610"/>
      <c r="PMM66" s="610"/>
      <c r="PMN66" s="610"/>
      <c r="PMO66" s="610"/>
      <c r="PMP66" s="610"/>
      <c r="PMQ66" s="610"/>
      <c r="PMR66" s="610"/>
      <c r="PMS66" s="610"/>
      <c r="PMT66" s="610"/>
      <c r="PMU66" s="610"/>
      <c r="PMV66" s="610"/>
      <c r="PMW66" s="610"/>
      <c r="PMX66" s="610"/>
      <c r="PMY66" s="610"/>
      <c r="PMZ66" s="610"/>
      <c r="PNA66" s="610"/>
      <c r="PNB66" s="610"/>
      <c r="PNC66" s="610"/>
      <c r="PND66" s="610"/>
      <c r="PNE66" s="610"/>
      <c r="PNF66" s="610"/>
      <c r="PNG66" s="610"/>
      <c r="PNH66" s="610"/>
      <c r="PNI66" s="610"/>
      <c r="PNJ66" s="610"/>
      <c r="PNK66" s="610"/>
      <c r="PNL66" s="610"/>
      <c r="PNM66" s="610"/>
      <c r="PNN66" s="610"/>
      <c r="PNO66" s="610"/>
      <c r="PNP66" s="610"/>
      <c r="PNQ66" s="610"/>
      <c r="PNR66" s="610"/>
      <c r="PNS66" s="610"/>
      <c r="PNT66" s="610"/>
      <c r="PNU66" s="610"/>
      <c r="PNV66" s="610"/>
      <c r="PNW66" s="610"/>
      <c r="PNX66" s="610"/>
      <c r="PNY66" s="610"/>
      <c r="PNZ66" s="610"/>
      <c r="POA66" s="610"/>
      <c r="POB66" s="610"/>
      <c r="POC66" s="610"/>
      <c r="POD66" s="610"/>
      <c r="POE66" s="610"/>
      <c r="POF66" s="610"/>
      <c r="POG66" s="610"/>
      <c r="POH66" s="610"/>
      <c r="POI66" s="610"/>
      <c r="POJ66" s="610"/>
      <c r="POK66" s="610"/>
      <c r="POL66" s="610"/>
      <c r="POM66" s="610"/>
      <c r="PON66" s="610"/>
      <c r="POO66" s="610"/>
      <c r="POP66" s="610"/>
      <c r="POQ66" s="610"/>
      <c r="POR66" s="610"/>
      <c r="POS66" s="610"/>
      <c r="POT66" s="610"/>
      <c r="POU66" s="610"/>
      <c r="POV66" s="610"/>
      <c r="POW66" s="610"/>
      <c r="POX66" s="610"/>
      <c r="POY66" s="610"/>
      <c r="POZ66" s="610"/>
      <c r="PPA66" s="610"/>
      <c r="PPB66" s="610"/>
      <c r="PPC66" s="610"/>
      <c r="PPD66" s="610"/>
      <c r="PPE66" s="610"/>
      <c r="PPF66" s="610"/>
      <c r="PPG66" s="610"/>
      <c r="PPH66" s="610"/>
      <c r="PPI66" s="610"/>
      <c r="PPJ66" s="610"/>
      <c r="PPK66" s="610"/>
      <c r="PPL66" s="610"/>
      <c r="PPM66" s="610"/>
      <c r="PPN66" s="610"/>
      <c r="PPO66" s="610"/>
      <c r="PPP66" s="610"/>
      <c r="PPQ66" s="610"/>
      <c r="PPR66" s="610"/>
      <c r="PPS66" s="610"/>
      <c r="PPT66" s="610"/>
      <c r="PPU66" s="610"/>
      <c r="PPV66" s="610"/>
      <c r="PPW66" s="610"/>
      <c r="PPX66" s="610"/>
      <c r="PPY66" s="610"/>
      <c r="PPZ66" s="610"/>
      <c r="PQA66" s="610"/>
      <c r="PQB66" s="610"/>
      <c r="PQC66" s="610"/>
      <c r="PQD66" s="610"/>
      <c r="PQE66" s="610"/>
      <c r="PQF66" s="610"/>
      <c r="PQG66" s="610"/>
      <c r="PQH66" s="610"/>
      <c r="PQI66" s="610"/>
      <c r="PQJ66" s="610"/>
      <c r="PQK66" s="610"/>
      <c r="PQL66" s="610"/>
      <c r="PQM66" s="610"/>
      <c r="PQN66" s="610"/>
      <c r="PQO66" s="610"/>
      <c r="PQP66" s="610"/>
      <c r="PQQ66" s="610"/>
      <c r="PQR66" s="610"/>
      <c r="PQS66" s="610"/>
      <c r="PQT66" s="610"/>
      <c r="PQU66" s="610"/>
      <c r="PQV66" s="610"/>
      <c r="PQW66" s="610"/>
      <c r="PQX66" s="610"/>
      <c r="PQY66" s="610"/>
      <c r="PQZ66" s="610"/>
      <c r="PRA66" s="610"/>
      <c r="PRB66" s="610"/>
      <c r="PRC66" s="610"/>
      <c r="PRD66" s="610"/>
      <c r="PRE66" s="610"/>
      <c r="PRF66" s="610"/>
      <c r="PRG66" s="610"/>
      <c r="PRH66" s="610"/>
      <c r="PRI66" s="610"/>
      <c r="PRJ66" s="610"/>
      <c r="PRK66" s="610"/>
      <c r="PRL66" s="610"/>
      <c r="PRM66" s="610"/>
      <c r="PRN66" s="610"/>
      <c r="PRO66" s="610"/>
      <c r="PRP66" s="610"/>
      <c r="PRQ66" s="610"/>
      <c r="PRR66" s="610"/>
      <c r="PRS66" s="610"/>
      <c r="PRT66" s="610"/>
      <c r="PRU66" s="610"/>
      <c r="PRV66" s="610"/>
      <c r="PRW66" s="610"/>
      <c r="PRX66" s="610"/>
      <c r="PRY66" s="610"/>
      <c r="PRZ66" s="610"/>
      <c r="PSA66" s="610"/>
      <c r="PSB66" s="610"/>
      <c r="PSC66" s="610"/>
      <c r="PSD66" s="610"/>
      <c r="PSE66" s="610"/>
      <c r="PSF66" s="610"/>
      <c r="PSG66" s="610"/>
      <c r="PSH66" s="610"/>
      <c r="PSI66" s="610"/>
      <c r="PSJ66" s="610"/>
      <c r="PSK66" s="610"/>
      <c r="PSL66" s="610"/>
      <c r="PSM66" s="610"/>
      <c r="PSN66" s="610"/>
      <c r="PSO66" s="610"/>
      <c r="PSP66" s="610"/>
      <c r="PSQ66" s="610"/>
      <c r="PSR66" s="610"/>
      <c r="PSS66" s="610"/>
      <c r="PST66" s="610"/>
      <c r="PSU66" s="610"/>
      <c r="PSV66" s="610"/>
      <c r="PSW66" s="610"/>
      <c r="PSX66" s="610"/>
      <c r="PSY66" s="610"/>
      <c r="PSZ66" s="610"/>
      <c r="PTA66" s="610"/>
      <c r="PTB66" s="610"/>
      <c r="PTC66" s="610"/>
      <c r="PTD66" s="610"/>
      <c r="PTE66" s="610"/>
      <c r="PTF66" s="610"/>
      <c r="PTG66" s="610"/>
      <c r="PTH66" s="610"/>
      <c r="PTI66" s="610"/>
      <c r="PTJ66" s="610"/>
      <c r="PTK66" s="610"/>
      <c r="PTL66" s="610"/>
      <c r="PTM66" s="610"/>
      <c r="PTN66" s="610"/>
      <c r="PTO66" s="610"/>
      <c r="PTP66" s="610"/>
      <c r="PTQ66" s="610"/>
      <c r="PTR66" s="610"/>
      <c r="PTS66" s="610"/>
      <c r="PTT66" s="610"/>
      <c r="PTU66" s="610"/>
      <c r="PTV66" s="610"/>
      <c r="PTW66" s="610"/>
      <c r="PTX66" s="610"/>
      <c r="PTY66" s="610"/>
      <c r="PTZ66" s="610"/>
      <c r="PUA66" s="610"/>
      <c r="PUB66" s="610"/>
      <c r="PUC66" s="610"/>
      <c r="PUD66" s="610"/>
      <c r="PUE66" s="610"/>
      <c r="PUF66" s="610"/>
      <c r="PUG66" s="610"/>
      <c r="PUH66" s="610"/>
      <c r="PUI66" s="610"/>
      <c r="PUJ66" s="610"/>
      <c r="PUK66" s="610"/>
      <c r="PUL66" s="610"/>
      <c r="PUM66" s="610"/>
      <c r="PUN66" s="610"/>
      <c r="PUO66" s="610"/>
      <c r="PUP66" s="610"/>
      <c r="PUQ66" s="610"/>
      <c r="PUR66" s="610"/>
      <c r="PUS66" s="610"/>
      <c r="PUT66" s="610"/>
      <c r="PUU66" s="610"/>
      <c r="PUV66" s="610"/>
      <c r="PUW66" s="610"/>
      <c r="PUX66" s="610"/>
      <c r="PUY66" s="610"/>
      <c r="PUZ66" s="610"/>
      <c r="PVA66" s="610"/>
      <c r="PVB66" s="610"/>
      <c r="PVC66" s="610"/>
      <c r="PVD66" s="610"/>
      <c r="PVE66" s="610"/>
      <c r="PVF66" s="610"/>
      <c r="PVG66" s="610"/>
      <c r="PVH66" s="610"/>
      <c r="PVI66" s="610"/>
      <c r="PVJ66" s="610"/>
      <c r="PVK66" s="610"/>
      <c r="PVL66" s="610"/>
      <c r="PVM66" s="610"/>
      <c r="PVN66" s="610"/>
      <c r="PVO66" s="610"/>
      <c r="PVP66" s="610"/>
      <c r="PVQ66" s="610"/>
      <c r="PVR66" s="610"/>
      <c r="PVS66" s="610"/>
      <c r="PVT66" s="610"/>
      <c r="PVU66" s="610"/>
      <c r="PVV66" s="610"/>
      <c r="PVW66" s="610"/>
      <c r="PVX66" s="610"/>
      <c r="PVY66" s="610"/>
      <c r="PVZ66" s="610"/>
      <c r="PWA66" s="610"/>
      <c r="PWB66" s="610"/>
      <c r="PWC66" s="610"/>
      <c r="PWD66" s="610"/>
      <c r="PWE66" s="610"/>
      <c r="PWF66" s="610"/>
      <c r="PWG66" s="610"/>
      <c r="PWH66" s="610"/>
      <c r="PWI66" s="610"/>
      <c r="PWJ66" s="610"/>
      <c r="PWK66" s="610"/>
      <c r="PWL66" s="610"/>
      <c r="PWM66" s="610"/>
      <c r="PWN66" s="610"/>
      <c r="PWO66" s="610"/>
      <c r="PWP66" s="610"/>
      <c r="PWQ66" s="610"/>
      <c r="PWR66" s="610"/>
      <c r="PWS66" s="610"/>
      <c r="PWT66" s="610"/>
      <c r="PWU66" s="610"/>
      <c r="PWV66" s="610"/>
      <c r="PWW66" s="610"/>
      <c r="PWX66" s="610"/>
      <c r="PWY66" s="610"/>
      <c r="PWZ66" s="610"/>
      <c r="PXA66" s="610"/>
      <c r="PXB66" s="610"/>
      <c r="PXC66" s="610"/>
      <c r="PXD66" s="610"/>
      <c r="PXE66" s="610"/>
      <c r="PXF66" s="610"/>
      <c r="PXG66" s="610"/>
      <c r="PXH66" s="610"/>
      <c r="PXI66" s="610"/>
      <c r="PXJ66" s="610"/>
      <c r="PXK66" s="610"/>
      <c r="PXL66" s="610"/>
      <c r="PXM66" s="610"/>
      <c r="PXN66" s="610"/>
      <c r="PXO66" s="610"/>
      <c r="PXP66" s="610"/>
      <c r="PXQ66" s="610"/>
      <c r="PXR66" s="610"/>
      <c r="PXS66" s="610"/>
      <c r="PXT66" s="610"/>
      <c r="PXU66" s="610"/>
      <c r="PXV66" s="610"/>
      <c r="PXW66" s="610"/>
      <c r="PXX66" s="610"/>
      <c r="PXY66" s="610"/>
      <c r="PXZ66" s="610"/>
      <c r="PYA66" s="610"/>
      <c r="PYB66" s="610"/>
      <c r="PYC66" s="610"/>
      <c r="PYD66" s="610"/>
      <c r="PYE66" s="610"/>
      <c r="PYF66" s="610"/>
      <c r="PYG66" s="610"/>
      <c r="PYH66" s="610"/>
      <c r="PYI66" s="610"/>
      <c r="PYJ66" s="610"/>
      <c r="PYK66" s="610"/>
      <c r="PYL66" s="610"/>
      <c r="PYM66" s="610"/>
      <c r="PYN66" s="610"/>
      <c r="PYO66" s="610"/>
      <c r="PYP66" s="610"/>
      <c r="PYQ66" s="610"/>
      <c r="PYR66" s="610"/>
      <c r="PYS66" s="610"/>
      <c r="PYT66" s="610"/>
      <c r="PYU66" s="610"/>
      <c r="PYV66" s="610"/>
      <c r="PYW66" s="610"/>
      <c r="PYX66" s="610"/>
      <c r="PYY66" s="610"/>
      <c r="PYZ66" s="610"/>
      <c r="PZA66" s="610"/>
      <c r="PZB66" s="610"/>
      <c r="PZC66" s="610"/>
      <c r="PZD66" s="610"/>
      <c r="PZE66" s="610"/>
      <c r="PZF66" s="610"/>
      <c r="PZG66" s="610"/>
      <c r="PZH66" s="610"/>
      <c r="PZI66" s="610"/>
      <c r="PZJ66" s="610"/>
      <c r="PZK66" s="610"/>
      <c r="PZL66" s="610"/>
      <c r="PZM66" s="610"/>
      <c r="PZN66" s="610"/>
      <c r="PZO66" s="610"/>
      <c r="PZP66" s="610"/>
      <c r="PZQ66" s="610"/>
      <c r="PZR66" s="610"/>
      <c r="PZS66" s="610"/>
      <c r="PZT66" s="610"/>
      <c r="PZU66" s="610"/>
      <c r="PZV66" s="610"/>
      <c r="PZW66" s="610"/>
      <c r="PZX66" s="610"/>
      <c r="PZY66" s="610"/>
      <c r="PZZ66" s="610"/>
      <c r="QAA66" s="610"/>
      <c r="QAB66" s="610"/>
      <c r="QAC66" s="610"/>
      <c r="QAD66" s="610"/>
      <c r="QAE66" s="610"/>
      <c r="QAF66" s="610"/>
      <c r="QAG66" s="610"/>
      <c r="QAH66" s="610"/>
      <c r="QAI66" s="610"/>
      <c r="QAJ66" s="610"/>
      <c r="QAK66" s="610"/>
      <c r="QAL66" s="610"/>
      <c r="QAM66" s="610"/>
      <c r="QAN66" s="610"/>
      <c r="QAO66" s="610"/>
      <c r="QAP66" s="610"/>
      <c r="QAQ66" s="610"/>
      <c r="QAR66" s="610"/>
      <c r="QAS66" s="610"/>
      <c r="QAT66" s="610"/>
      <c r="QAU66" s="610"/>
      <c r="QAV66" s="610"/>
      <c r="QAW66" s="610"/>
      <c r="QAX66" s="610"/>
      <c r="QAY66" s="610"/>
      <c r="QAZ66" s="610"/>
      <c r="QBA66" s="610"/>
      <c r="QBB66" s="610"/>
      <c r="QBC66" s="610"/>
      <c r="QBD66" s="610"/>
      <c r="QBE66" s="610"/>
      <c r="QBF66" s="610"/>
      <c r="QBG66" s="610"/>
      <c r="QBH66" s="610"/>
      <c r="QBI66" s="610"/>
      <c r="QBJ66" s="610"/>
      <c r="QBK66" s="610"/>
      <c r="QBL66" s="610"/>
      <c r="QBM66" s="610"/>
      <c r="QBN66" s="610"/>
      <c r="QBO66" s="610"/>
      <c r="QBP66" s="610"/>
      <c r="QBQ66" s="610"/>
      <c r="QBR66" s="610"/>
      <c r="QBS66" s="610"/>
      <c r="QBT66" s="610"/>
      <c r="QBU66" s="610"/>
      <c r="QBV66" s="610"/>
      <c r="QBW66" s="610"/>
      <c r="QBX66" s="610"/>
      <c r="QBY66" s="610"/>
      <c r="QBZ66" s="610"/>
      <c r="QCA66" s="610"/>
      <c r="QCB66" s="610"/>
      <c r="QCC66" s="610"/>
      <c r="QCD66" s="610"/>
      <c r="QCE66" s="610"/>
      <c r="QCF66" s="610"/>
      <c r="QCG66" s="610"/>
      <c r="QCH66" s="610"/>
      <c r="QCI66" s="610"/>
      <c r="QCJ66" s="610"/>
      <c r="QCK66" s="610"/>
      <c r="QCL66" s="610"/>
      <c r="QCM66" s="610"/>
      <c r="QCN66" s="610"/>
      <c r="QCO66" s="610"/>
      <c r="QCP66" s="610"/>
      <c r="QCQ66" s="610"/>
      <c r="QCR66" s="610"/>
      <c r="QCS66" s="610"/>
      <c r="QCT66" s="610"/>
      <c r="QCU66" s="610"/>
      <c r="QCV66" s="610"/>
      <c r="QCW66" s="610"/>
      <c r="QCX66" s="610"/>
      <c r="QCY66" s="610"/>
      <c r="QCZ66" s="610"/>
      <c r="QDA66" s="610"/>
      <c r="QDB66" s="610"/>
      <c r="QDC66" s="610"/>
      <c r="QDD66" s="610"/>
      <c r="QDE66" s="610"/>
      <c r="QDF66" s="610"/>
      <c r="QDG66" s="610"/>
      <c r="QDH66" s="610"/>
      <c r="QDI66" s="610"/>
      <c r="QDJ66" s="610"/>
      <c r="QDK66" s="610"/>
      <c r="QDL66" s="610"/>
      <c r="QDM66" s="610"/>
      <c r="QDN66" s="610"/>
      <c r="QDO66" s="610"/>
      <c r="QDP66" s="610"/>
      <c r="QDQ66" s="610"/>
      <c r="QDR66" s="610"/>
      <c r="QDS66" s="610"/>
      <c r="QDT66" s="610"/>
      <c r="QDU66" s="610"/>
      <c r="QDV66" s="610"/>
      <c r="QDW66" s="610"/>
      <c r="QDX66" s="610"/>
      <c r="QDY66" s="610"/>
      <c r="QDZ66" s="610"/>
      <c r="QEA66" s="610"/>
      <c r="QEB66" s="610"/>
      <c r="QEC66" s="610"/>
      <c r="QED66" s="610"/>
      <c r="QEE66" s="610"/>
      <c r="QEF66" s="610"/>
      <c r="QEG66" s="610"/>
      <c r="QEH66" s="610"/>
      <c r="QEI66" s="610"/>
      <c r="QEJ66" s="610"/>
      <c r="QEK66" s="610"/>
      <c r="QEL66" s="610"/>
      <c r="QEM66" s="610"/>
      <c r="QEN66" s="610"/>
      <c r="QEO66" s="610"/>
      <c r="QEP66" s="610"/>
      <c r="QEQ66" s="610"/>
      <c r="QER66" s="610"/>
      <c r="QES66" s="610"/>
      <c r="QET66" s="610"/>
      <c r="QEU66" s="610"/>
      <c r="QEV66" s="610"/>
      <c r="QEW66" s="610"/>
      <c r="QEX66" s="610"/>
      <c r="QEY66" s="610"/>
      <c r="QEZ66" s="610"/>
      <c r="QFA66" s="610"/>
      <c r="QFB66" s="610"/>
      <c r="QFC66" s="610"/>
      <c r="QFD66" s="610"/>
      <c r="QFE66" s="610"/>
      <c r="QFF66" s="610"/>
      <c r="QFG66" s="610"/>
      <c r="QFH66" s="610"/>
      <c r="QFI66" s="610"/>
      <c r="QFJ66" s="610"/>
      <c r="QFK66" s="610"/>
      <c r="QFL66" s="610"/>
      <c r="QFM66" s="610"/>
      <c r="QFN66" s="610"/>
      <c r="QFO66" s="610"/>
      <c r="QFP66" s="610"/>
      <c r="QFQ66" s="610"/>
      <c r="QFR66" s="610"/>
      <c r="QFS66" s="610"/>
      <c r="QFT66" s="610"/>
      <c r="QFU66" s="610"/>
      <c r="QFV66" s="610"/>
      <c r="QFW66" s="610"/>
      <c r="QFX66" s="610"/>
      <c r="QFY66" s="610"/>
      <c r="QFZ66" s="610"/>
      <c r="QGA66" s="610"/>
      <c r="QGB66" s="610"/>
      <c r="QGC66" s="610"/>
      <c r="QGD66" s="610"/>
      <c r="QGE66" s="610"/>
      <c r="QGF66" s="610"/>
      <c r="QGG66" s="610"/>
      <c r="QGH66" s="610"/>
      <c r="QGI66" s="610"/>
      <c r="QGJ66" s="610"/>
      <c r="QGK66" s="610"/>
      <c r="QGL66" s="610"/>
      <c r="QGM66" s="610"/>
      <c r="QGN66" s="610"/>
      <c r="QGO66" s="610"/>
      <c r="QGP66" s="610"/>
      <c r="QGQ66" s="610"/>
      <c r="QGR66" s="610"/>
      <c r="QGS66" s="610"/>
      <c r="QGT66" s="610"/>
      <c r="QGU66" s="610"/>
      <c r="QGV66" s="610"/>
      <c r="QGW66" s="610"/>
      <c r="QGX66" s="610"/>
      <c r="QGY66" s="610"/>
      <c r="QGZ66" s="610"/>
      <c r="QHA66" s="610"/>
      <c r="QHB66" s="610"/>
      <c r="QHC66" s="610"/>
      <c r="QHD66" s="610"/>
      <c r="QHE66" s="610"/>
      <c r="QHF66" s="610"/>
      <c r="QHG66" s="610"/>
      <c r="QHH66" s="610"/>
      <c r="QHI66" s="610"/>
      <c r="QHJ66" s="610"/>
      <c r="QHK66" s="610"/>
      <c r="QHL66" s="610"/>
      <c r="QHM66" s="610"/>
      <c r="QHN66" s="610"/>
      <c r="QHO66" s="610"/>
      <c r="QHP66" s="610"/>
      <c r="QHQ66" s="610"/>
      <c r="QHR66" s="610"/>
      <c r="QHS66" s="610"/>
      <c r="QHT66" s="610"/>
      <c r="QHU66" s="610"/>
      <c r="QHV66" s="610"/>
      <c r="QHW66" s="610"/>
      <c r="QHX66" s="610"/>
      <c r="QHY66" s="610"/>
      <c r="QHZ66" s="610"/>
      <c r="QIA66" s="610"/>
      <c r="QIB66" s="610"/>
      <c r="QIC66" s="610"/>
      <c r="QID66" s="610"/>
      <c r="QIE66" s="610"/>
      <c r="QIF66" s="610"/>
      <c r="QIG66" s="610"/>
      <c r="QIH66" s="610"/>
      <c r="QII66" s="610"/>
      <c r="QIJ66" s="610"/>
      <c r="QIK66" s="610"/>
      <c r="QIL66" s="610"/>
      <c r="QIM66" s="610"/>
      <c r="QIN66" s="610"/>
      <c r="QIO66" s="610"/>
      <c r="QIP66" s="610"/>
      <c r="QIQ66" s="610"/>
      <c r="QIR66" s="610"/>
      <c r="QIS66" s="610"/>
      <c r="QIT66" s="610"/>
      <c r="QIU66" s="610"/>
      <c r="QIV66" s="610"/>
      <c r="QIW66" s="610"/>
      <c r="QIX66" s="610"/>
      <c r="QIY66" s="610"/>
      <c r="QIZ66" s="610"/>
      <c r="QJA66" s="610"/>
      <c r="QJB66" s="610"/>
      <c r="QJC66" s="610"/>
      <c r="QJD66" s="610"/>
      <c r="QJE66" s="610"/>
      <c r="QJF66" s="610"/>
      <c r="QJG66" s="610"/>
      <c r="QJH66" s="610"/>
      <c r="QJI66" s="610"/>
      <c r="QJJ66" s="610"/>
      <c r="QJK66" s="610"/>
      <c r="QJL66" s="610"/>
      <c r="QJM66" s="610"/>
      <c r="QJN66" s="610"/>
      <c r="QJO66" s="610"/>
      <c r="QJP66" s="610"/>
      <c r="QJQ66" s="610"/>
      <c r="QJR66" s="610"/>
      <c r="QJS66" s="610"/>
      <c r="QJT66" s="610"/>
      <c r="QJU66" s="610"/>
      <c r="QJV66" s="610"/>
      <c r="QJW66" s="610"/>
      <c r="QJX66" s="610"/>
      <c r="QJY66" s="610"/>
      <c r="QJZ66" s="610"/>
      <c r="QKA66" s="610"/>
      <c r="QKB66" s="610"/>
      <c r="QKC66" s="610"/>
      <c r="QKD66" s="610"/>
      <c r="QKE66" s="610"/>
      <c r="QKF66" s="610"/>
      <c r="QKG66" s="610"/>
      <c r="QKH66" s="610"/>
      <c r="QKI66" s="610"/>
      <c r="QKJ66" s="610"/>
      <c r="QKK66" s="610"/>
      <c r="QKL66" s="610"/>
      <c r="QKM66" s="610"/>
      <c r="QKN66" s="610"/>
      <c r="QKO66" s="610"/>
      <c r="QKP66" s="610"/>
      <c r="QKQ66" s="610"/>
      <c r="QKR66" s="610"/>
      <c r="QKS66" s="610"/>
      <c r="QKT66" s="610"/>
      <c r="QKU66" s="610"/>
      <c r="QKV66" s="610"/>
      <c r="QKW66" s="610"/>
      <c r="QKX66" s="610"/>
      <c r="QKY66" s="610"/>
      <c r="QKZ66" s="610"/>
      <c r="QLA66" s="610"/>
      <c r="QLB66" s="610"/>
      <c r="QLC66" s="610"/>
      <c r="QLD66" s="610"/>
      <c r="QLE66" s="610"/>
      <c r="QLF66" s="610"/>
      <c r="QLG66" s="610"/>
      <c r="QLH66" s="610"/>
      <c r="QLI66" s="610"/>
      <c r="QLJ66" s="610"/>
      <c r="QLK66" s="610"/>
      <c r="QLL66" s="610"/>
      <c r="QLM66" s="610"/>
      <c r="QLN66" s="610"/>
      <c r="QLO66" s="610"/>
      <c r="QLP66" s="610"/>
      <c r="QLQ66" s="610"/>
      <c r="QLR66" s="610"/>
      <c r="QLS66" s="610"/>
      <c r="QLT66" s="610"/>
      <c r="QLU66" s="610"/>
      <c r="QLV66" s="610"/>
      <c r="QLW66" s="610"/>
      <c r="QLX66" s="610"/>
      <c r="QLY66" s="610"/>
      <c r="QLZ66" s="610"/>
      <c r="QMA66" s="610"/>
      <c r="QMB66" s="610"/>
      <c r="QMC66" s="610"/>
      <c r="QMD66" s="610"/>
      <c r="QME66" s="610"/>
      <c r="QMF66" s="610"/>
      <c r="QMG66" s="610"/>
      <c r="QMH66" s="610"/>
      <c r="QMI66" s="610"/>
      <c r="QMJ66" s="610"/>
      <c r="QMK66" s="610"/>
      <c r="QML66" s="610"/>
      <c r="QMM66" s="610"/>
      <c r="QMN66" s="610"/>
      <c r="QMO66" s="610"/>
      <c r="QMP66" s="610"/>
      <c r="QMQ66" s="610"/>
      <c r="QMR66" s="610"/>
      <c r="QMS66" s="610"/>
      <c r="QMT66" s="610"/>
      <c r="QMU66" s="610"/>
      <c r="QMV66" s="610"/>
      <c r="QMW66" s="610"/>
      <c r="QMX66" s="610"/>
      <c r="QMY66" s="610"/>
      <c r="QMZ66" s="610"/>
      <c r="QNA66" s="610"/>
      <c r="QNB66" s="610"/>
      <c r="QNC66" s="610"/>
      <c r="QND66" s="610"/>
      <c r="QNE66" s="610"/>
      <c r="QNF66" s="610"/>
      <c r="QNG66" s="610"/>
      <c r="QNH66" s="610"/>
      <c r="QNI66" s="610"/>
      <c r="QNJ66" s="610"/>
      <c r="QNK66" s="610"/>
      <c r="QNL66" s="610"/>
      <c r="QNM66" s="610"/>
      <c r="QNN66" s="610"/>
      <c r="QNO66" s="610"/>
      <c r="QNP66" s="610"/>
      <c r="QNQ66" s="610"/>
      <c r="QNR66" s="610"/>
      <c r="QNS66" s="610"/>
      <c r="QNT66" s="610"/>
      <c r="QNU66" s="610"/>
      <c r="QNV66" s="610"/>
      <c r="QNW66" s="610"/>
      <c r="QNX66" s="610"/>
      <c r="QNY66" s="610"/>
      <c r="QNZ66" s="610"/>
      <c r="QOA66" s="610"/>
      <c r="QOB66" s="610"/>
      <c r="QOC66" s="610"/>
      <c r="QOD66" s="610"/>
      <c r="QOE66" s="610"/>
      <c r="QOF66" s="610"/>
      <c r="QOG66" s="610"/>
      <c r="QOH66" s="610"/>
      <c r="QOI66" s="610"/>
      <c r="QOJ66" s="610"/>
      <c r="QOK66" s="610"/>
      <c r="QOL66" s="610"/>
      <c r="QOM66" s="610"/>
      <c r="QON66" s="610"/>
      <c r="QOO66" s="610"/>
      <c r="QOP66" s="610"/>
      <c r="QOQ66" s="610"/>
      <c r="QOR66" s="610"/>
      <c r="QOS66" s="610"/>
      <c r="QOT66" s="610"/>
      <c r="QOU66" s="610"/>
      <c r="QOV66" s="610"/>
      <c r="QOW66" s="610"/>
      <c r="QOX66" s="610"/>
      <c r="QOY66" s="610"/>
      <c r="QOZ66" s="610"/>
      <c r="QPA66" s="610"/>
      <c r="QPB66" s="610"/>
      <c r="QPC66" s="610"/>
      <c r="QPD66" s="610"/>
      <c r="QPE66" s="610"/>
      <c r="QPF66" s="610"/>
      <c r="QPG66" s="610"/>
      <c r="QPH66" s="610"/>
      <c r="QPI66" s="610"/>
      <c r="QPJ66" s="610"/>
      <c r="QPK66" s="610"/>
      <c r="QPL66" s="610"/>
      <c r="QPM66" s="610"/>
      <c r="QPN66" s="610"/>
      <c r="QPO66" s="610"/>
      <c r="QPP66" s="610"/>
      <c r="QPQ66" s="610"/>
      <c r="QPR66" s="610"/>
      <c r="QPS66" s="610"/>
      <c r="QPT66" s="610"/>
      <c r="QPU66" s="610"/>
      <c r="QPV66" s="610"/>
      <c r="QPW66" s="610"/>
      <c r="QPX66" s="610"/>
      <c r="QPY66" s="610"/>
      <c r="QPZ66" s="610"/>
      <c r="QQA66" s="610"/>
      <c r="QQB66" s="610"/>
      <c r="QQC66" s="610"/>
      <c r="QQD66" s="610"/>
      <c r="QQE66" s="610"/>
      <c r="QQF66" s="610"/>
      <c r="QQG66" s="610"/>
      <c r="QQH66" s="610"/>
      <c r="QQI66" s="610"/>
      <c r="QQJ66" s="610"/>
      <c r="QQK66" s="610"/>
      <c r="QQL66" s="610"/>
      <c r="QQM66" s="610"/>
      <c r="QQN66" s="610"/>
      <c r="QQO66" s="610"/>
      <c r="QQP66" s="610"/>
      <c r="QQQ66" s="610"/>
      <c r="QQR66" s="610"/>
      <c r="QQS66" s="610"/>
      <c r="QQT66" s="610"/>
      <c r="QQU66" s="610"/>
      <c r="QQV66" s="610"/>
      <c r="QQW66" s="610"/>
      <c r="QQX66" s="610"/>
      <c r="QQY66" s="610"/>
      <c r="QQZ66" s="610"/>
      <c r="QRA66" s="610"/>
      <c r="QRB66" s="610"/>
      <c r="QRC66" s="610"/>
      <c r="QRD66" s="610"/>
      <c r="QRE66" s="610"/>
      <c r="QRF66" s="610"/>
      <c r="QRG66" s="610"/>
      <c r="QRH66" s="610"/>
      <c r="QRI66" s="610"/>
      <c r="QRJ66" s="610"/>
      <c r="QRK66" s="610"/>
      <c r="QRL66" s="610"/>
      <c r="QRM66" s="610"/>
      <c r="QRN66" s="610"/>
      <c r="QRO66" s="610"/>
      <c r="QRP66" s="610"/>
      <c r="QRQ66" s="610"/>
      <c r="QRR66" s="610"/>
      <c r="QRS66" s="610"/>
      <c r="QRT66" s="610"/>
      <c r="QRU66" s="610"/>
      <c r="QRV66" s="610"/>
      <c r="QRW66" s="610"/>
      <c r="QRX66" s="610"/>
      <c r="QRY66" s="610"/>
      <c r="QRZ66" s="610"/>
      <c r="QSA66" s="610"/>
      <c r="QSB66" s="610"/>
      <c r="QSC66" s="610"/>
      <c r="QSD66" s="610"/>
      <c r="QSE66" s="610"/>
      <c r="QSF66" s="610"/>
      <c r="QSG66" s="610"/>
      <c r="QSH66" s="610"/>
      <c r="QSI66" s="610"/>
      <c r="QSJ66" s="610"/>
      <c r="QSK66" s="610"/>
      <c r="QSL66" s="610"/>
      <c r="QSM66" s="610"/>
      <c r="QSN66" s="610"/>
      <c r="QSO66" s="610"/>
      <c r="QSP66" s="610"/>
      <c r="QSQ66" s="610"/>
      <c r="QSR66" s="610"/>
      <c r="QSS66" s="610"/>
      <c r="QST66" s="610"/>
      <c r="QSU66" s="610"/>
      <c r="QSV66" s="610"/>
      <c r="QSW66" s="610"/>
      <c r="QSX66" s="610"/>
      <c r="QSY66" s="610"/>
      <c r="QSZ66" s="610"/>
      <c r="QTA66" s="610"/>
      <c r="QTB66" s="610"/>
      <c r="QTC66" s="610"/>
      <c r="QTD66" s="610"/>
      <c r="QTE66" s="610"/>
      <c r="QTF66" s="610"/>
      <c r="QTG66" s="610"/>
      <c r="QTH66" s="610"/>
      <c r="QTI66" s="610"/>
      <c r="QTJ66" s="610"/>
      <c r="QTK66" s="610"/>
      <c r="QTL66" s="610"/>
      <c r="QTM66" s="610"/>
      <c r="QTN66" s="610"/>
      <c r="QTO66" s="610"/>
      <c r="QTP66" s="610"/>
      <c r="QTQ66" s="610"/>
      <c r="QTR66" s="610"/>
      <c r="QTS66" s="610"/>
      <c r="QTT66" s="610"/>
      <c r="QTU66" s="610"/>
      <c r="QTV66" s="610"/>
      <c r="QTW66" s="610"/>
      <c r="QTX66" s="610"/>
      <c r="QTY66" s="610"/>
      <c r="QTZ66" s="610"/>
      <c r="QUA66" s="610"/>
      <c r="QUB66" s="610"/>
      <c r="QUC66" s="610"/>
      <c r="QUD66" s="610"/>
      <c r="QUE66" s="610"/>
      <c r="QUF66" s="610"/>
      <c r="QUG66" s="610"/>
      <c r="QUH66" s="610"/>
      <c r="QUI66" s="610"/>
      <c r="QUJ66" s="610"/>
      <c r="QUK66" s="610"/>
      <c r="QUL66" s="610"/>
      <c r="QUM66" s="610"/>
      <c r="QUN66" s="610"/>
      <c r="QUO66" s="610"/>
      <c r="QUP66" s="610"/>
      <c r="QUQ66" s="610"/>
      <c r="QUR66" s="610"/>
      <c r="QUS66" s="610"/>
      <c r="QUT66" s="610"/>
      <c r="QUU66" s="610"/>
      <c r="QUV66" s="610"/>
      <c r="QUW66" s="610"/>
      <c r="QUX66" s="610"/>
      <c r="QUY66" s="610"/>
      <c r="QUZ66" s="610"/>
      <c r="QVA66" s="610"/>
      <c r="QVB66" s="610"/>
      <c r="QVC66" s="610"/>
      <c r="QVD66" s="610"/>
      <c r="QVE66" s="610"/>
      <c r="QVF66" s="610"/>
      <c r="QVG66" s="610"/>
      <c r="QVH66" s="610"/>
      <c r="QVI66" s="610"/>
      <c r="QVJ66" s="610"/>
      <c r="QVK66" s="610"/>
      <c r="QVL66" s="610"/>
      <c r="QVM66" s="610"/>
      <c r="QVN66" s="610"/>
      <c r="QVO66" s="610"/>
      <c r="QVP66" s="610"/>
      <c r="QVQ66" s="610"/>
      <c r="QVR66" s="610"/>
      <c r="QVS66" s="610"/>
      <c r="QVT66" s="610"/>
      <c r="QVU66" s="610"/>
      <c r="QVV66" s="610"/>
      <c r="QVW66" s="610"/>
      <c r="QVX66" s="610"/>
      <c r="QVY66" s="610"/>
      <c r="QVZ66" s="610"/>
      <c r="QWA66" s="610"/>
      <c r="QWB66" s="610"/>
      <c r="QWC66" s="610"/>
      <c r="QWD66" s="610"/>
      <c r="QWE66" s="610"/>
      <c r="QWF66" s="610"/>
      <c r="QWG66" s="610"/>
      <c r="QWH66" s="610"/>
      <c r="QWI66" s="610"/>
      <c r="QWJ66" s="610"/>
      <c r="QWK66" s="610"/>
      <c r="QWL66" s="610"/>
      <c r="QWM66" s="610"/>
      <c r="QWN66" s="610"/>
      <c r="QWO66" s="610"/>
      <c r="QWP66" s="610"/>
      <c r="QWQ66" s="610"/>
      <c r="QWR66" s="610"/>
      <c r="QWS66" s="610"/>
      <c r="QWT66" s="610"/>
      <c r="QWU66" s="610"/>
      <c r="QWV66" s="610"/>
      <c r="QWW66" s="610"/>
      <c r="QWX66" s="610"/>
      <c r="QWY66" s="610"/>
      <c r="QWZ66" s="610"/>
      <c r="QXA66" s="610"/>
      <c r="QXB66" s="610"/>
      <c r="QXC66" s="610"/>
      <c r="QXD66" s="610"/>
      <c r="QXE66" s="610"/>
      <c r="QXF66" s="610"/>
      <c r="QXG66" s="610"/>
      <c r="QXH66" s="610"/>
      <c r="QXI66" s="610"/>
      <c r="QXJ66" s="610"/>
      <c r="QXK66" s="610"/>
      <c r="QXL66" s="610"/>
      <c r="QXM66" s="610"/>
      <c r="QXN66" s="610"/>
      <c r="QXO66" s="610"/>
      <c r="QXP66" s="610"/>
      <c r="QXQ66" s="610"/>
      <c r="QXR66" s="610"/>
      <c r="QXS66" s="610"/>
      <c r="QXT66" s="610"/>
      <c r="QXU66" s="610"/>
      <c r="QXV66" s="610"/>
      <c r="QXW66" s="610"/>
      <c r="QXX66" s="610"/>
      <c r="QXY66" s="610"/>
      <c r="QXZ66" s="610"/>
      <c r="QYA66" s="610"/>
      <c r="QYB66" s="610"/>
      <c r="QYC66" s="610"/>
      <c r="QYD66" s="610"/>
      <c r="QYE66" s="610"/>
      <c r="QYF66" s="610"/>
      <c r="QYG66" s="610"/>
      <c r="QYH66" s="610"/>
      <c r="QYI66" s="610"/>
      <c r="QYJ66" s="610"/>
      <c r="QYK66" s="610"/>
      <c r="QYL66" s="610"/>
      <c r="QYM66" s="610"/>
      <c r="QYN66" s="610"/>
      <c r="QYO66" s="610"/>
      <c r="QYP66" s="610"/>
      <c r="QYQ66" s="610"/>
      <c r="QYR66" s="610"/>
      <c r="QYS66" s="610"/>
      <c r="QYT66" s="610"/>
      <c r="QYU66" s="610"/>
      <c r="QYV66" s="610"/>
      <c r="QYW66" s="610"/>
      <c r="QYX66" s="610"/>
      <c r="QYY66" s="610"/>
      <c r="QYZ66" s="610"/>
      <c r="QZA66" s="610"/>
      <c r="QZB66" s="610"/>
      <c r="QZC66" s="610"/>
      <c r="QZD66" s="610"/>
      <c r="QZE66" s="610"/>
      <c r="QZF66" s="610"/>
      <c r="QZG66" s="610"/>
      <c r="QZH66" s="610"/>
      <c r="QZI66" s="610"/>
      <c r="QZJ66" s="610"/>
      <c r="QZK66" s="610"/>
      <c r="QZL66" s="610"/>
      <c r="QZM66" s="610"/>
      <c r="QZN66" s="610"/>
      <c r="QZO66" s="610"/>
      <c r="QZP66" s="610"/>
      <c r="QZQ66" s="610"/>
      <c r="QZR66" s="610"/>
      <c r="QZS66" s="610"/>
      <c r="QZT66" s="610"/>
      <c r="QZU66" s="610"/>
      <c r="QZV66" s="610"/>
      <c r="QZW66" s="610"/>
      <c r="QZX66" s="610"/>
      <c r="QZY66" s="610"/>
      <c r="QZZ66" s="610"/>
      <c r="RAA66" s="610"/>
      <c r="RAB66" s="610"/>
      <c r="RAC66" s="610"/>
      <c r="RAD66" s="610"/>
      <c r="RAE66" s="610"/>
      <c r="RAF66" s="610"/>
      <c r="RAG66" s="610"/>
      <c r="RAH66" s="610"/>
      <c r="RAI66" s="610"/>
      <c r="RAJ66" s="610"/>
      <c r="RAK66" s="610"/>
      <c r="RAL66" s="610"/>
      <c r="RAM66" s="610"/>
      <c r="RAN66" s="610"/>
      <c r="RAO66" s="610"/>
      <c r="RAP66" s="610"/>
      <c r="RAQ66" s="610"/>
      <c r="RAR66" s="610"/>
      <c r="RAS66" s="610"/>
      <c r="RAT66" s="610"/>
      <c r="RAU66" s="610"/>
      <c r="RAV66" s="610"/>
      <c r="RAW66" s="610"/>
      <c r="RAX66" s="610"/>
      <c r="RAY66" s="610"/>
      <c r="RAZ66" s="610"/>
      <c r="RBA66" s="610"/>
      <c r="RBB66" s="610"/>
      <c r="RBC66" s="610"/>
      <c r="RBD66" s="610"/>
      <c r="RBE66" s="610"/>
      <c r="RBF66" s="610"/>
      <c r="RBG66" s="610"/>
      <c r="RBH66" s="610"/>
      <c r="RBI66" s="610"/>
      <c r="RBJ66" s="610"/>
      <c r="RBK66" s="610"/>
      <c r="RBL66" s="610"/>
      <c r="RBM66" s="610"/>
      <c r="RBN66" s="610"/>
      <c r="RBO66" s="610"/>
      <c r="RBP66" s="610"/>
      <c r="RBQ66" s="610"/>
      <c r="RBR66" s="610"/>
      <c r="RBS66" s="610"/>
      <c r="RBT66" s="610"/>
      <c r="RBU66" s="610"/>
      <c r="RBV66" s="610"/>
      <c r="RBW66" s="610"/>
      <c r="RBX66" s="610"/>
      <c r="RBY66" s="610"/>
      <c r="RBZ66" s="610"/>
      <c r="RCA66" s="610"/>
      <c r="RCB66" s="610"/>
      <c r="RCC66" s="610"/>
      <c r="RCD66" s="610"/>
      <c r="RCE66" s="610"/>
      <c r="RCF66" s="610"/>
      <c r="RCG66" s="610"/>
      <c r="RCH66" s="610"/>
      <c r="RCI66" s="610"/>
      <c r="RCJ66" s="610"/>
      <c r="RCK66" s="610"/>
      <c r="RCL66" s="610"/>
      <c r="RCM66" s="610"/>
      <c r="RCN66" s="610"/>
      <c r="RCO66" s="610"/>
      <c r="RCP66" s="610"/>
      <c r="RCQ66" s="610"/>
      <c r="RCR66" s="610"/>
      <c r="RCS66" s="610"/>
      <c r="RCT66" s="610"/>
      <c r="RCU66" s="610"/>
      <c r="RCV66" s="610"/>
      <c r="RCW66" s="610"/>
      <c r="RCX66" s="610"/>
      <c r="RCY66" s="610"/>
      <c r="RCZ66" s="610"/>
      <c r="RDA66" s="610"/>
      <c r="RDB66" s="610"/>
      <c r="RDC66" s="610"/>
      <c r="RDD66" s="610"/>
      <c r="RDE66" s="610"/>
      <c r="RDF66" s="610"/>
      <c r="RDG66" s="610"/>
      <c r="RDH66" s="610"/>
      <c r="RDI66" s="610"/>
      <c r="RDJ66" s="610"/>
      <c r="RDK66" s="610"/>
      <c r="RDL66" s="610"/>
      <c r="RDM66" s="610"/>
      <c r="RDN66" s="610"/>
      <c r="RDO66" s="610"/>
      <c r="RDP66" s="610"/>
      <c r="RDQ66" s="610"/>
      <c r="RDR66" s="610"/>
      <c r="RDS66" s="610"/>
      <c r="RDT66" s="610"/>
      <c r="RDU66" s="610"/>
      <c r="RDV66" s="610"/>
      <c r="RDW66" s="610"/>
      <c r="RDX66" s="610"/>
      <c r="RDY66" s="610"/>
      <c r="RDZ66" s="610"/>
      <c r="REA66" s="610"/>
      <c r="REB66" s="610"/>
      <c r="REC66" s="610"/>
      <c r="RED66" s="610"/>
      <c r="REE66" s="610"/>
      <c r="REF66" s="610"/>
      <c r="REG66" s="610"/>
      <c r="REH66" s="610"/>
      <c r="REI66" s="610"/>
      <c r="REJ66" s="610"/>
      <c r="REK66" s="610"/>
      <c r="REL66" s="610"/>
      <c r="REM66" s="610"/>
      <c r="REN66" s="610"/>
      <c r="REO66" s="610"/>
      <c r="REP66" s="610"/>
      <c r="REQ66" s="610"/>
      <c r="RER66" s="610"/>
      <c r="RES66" s="610"/>
      <c r="RET66" s="610"/>
      <c r="REU66" s="610"/>
      <c r="REV66" s="610"/>
      <c r="REW66" s="610"/>
      <c r="REX66" s="610"/>
      <c r="REY66" s="610"/>
      <c r="REZ66" s="610"/>
      <c r="RFA66" s="610"/>
      <c r="RFB66" s="610"/>
      <c r="RFC66" s="610"/>
      <c r="RFD66" s="610"/>
      <c r="RFE66" s="610"/>
      <c r="RFF66" s="610"/>
      <c r="RFG66" s="610"/>
      <c r="RFH66" s="610"/>
      <c r="RFI66" s="610"/>
      <c r="RFJ66" s="610"/>
      <c r="RFK66" s="610"/>
      <c r="RFL66" s="610"/>
      <c r="RFM66" s="610"/>
      <c r="RFN66" s="610"/>
      <c r="RFO66" s="610"/>
      <c r="RFP66" s="610"/>
      <c r="RFQ66" s="610"/>
      <c r="RFR66" s="610"/>
      <c r="RFS66" s="610"/>
      <c r="RFT66" s="610"/>
      <c r="RFU66" s="610"/>
      <c r="RFV66" s="610"/>
      <c r="RFW66" s="610"/>
      <c r="RFX66" s="610"/>
      <c r="RFY66" s="610"/>
      <c r="RFZ66" s="610"/>
      <c r="RGA66" s="610"/>
      <c r="RGB66" s="610"/>
      <c r="RGC66" s="610"/>
      <c r="RGD66" s="610"/>
      <c r="RGE66" s="610"/>
      <c r="RGF66" s="610"/>
      <c r="RGG66" s="610"/>
      <c r="RGH66" s="610"/>
      <c r="RGI66" s="610"/>
      <c r="RGJ66" s="610"/>
      <c r="RGK66" s="610"/>
      <c r="RGL66" s="610"/>
      <c r="RGM66" s="610"/>
      <c r="RGN66" s="610"/>
      <c r="RGO66" s="610"/>
      <c r="RGP66" s="610"/>
      <c r="RGQ66" s="610"/>
      <c r="RGR66" s="610"/>
      <c r="RGS66" s="610"/>
      <c r="RGT66" s="610"/>
      <c r="RGU66" s="610"/>
      <c r="RGV66" s="610"/>
      <c r="RGW66" s="610"/>
      <c r="RGX66" s="610"/>
      <c r="RGY66" s="610"/>
      <c r="RGZ66" s="610"/>
      <c r="RHA66" s="610"/>
      <c r="RHB66" s="610"/>
      <c r="RHC66" s="610"/>
      <c r="RHD66" s="610"/>
      <c r="RHE66" s="610"/>
      <c r="RHF66" s="610"/>
      <c r="RHG66" s="610"/>
      <c r="RHH66" s="610"/>
      <c r="RHI66" s="610"/>
      <c r="RHJ66" s="610"/>
      <c r="RHK66" s="610"/>
      <c r="RHL66" s="610"/>
      <c r="RHM66" s="610"/>
      <c r="RHN66" s="610"/>
      <c r="RHO66" s="610"/>
      <c r="RHP66" s="610"/>
      <c r="RHQ66" s="610"/>
      <c r="RHR66" s="610"/>
      <c r="RHS66" s="610"/>
      <c r="RHT66" s="610"/>
      <c r="RHU66" s="610"/>
      <c r="RHV66" s="610"/>
      <c r="RHW66" s="610"/>
      <c r="RHX66" s="610"/>
      <c r="RHY66" s="610"/>
      <c r="RHZ66" s="610"/>
      <c r="RIA66" s="610"/>
      <c r="RIB66" s="610"/>
      <c r="RIC66" s="610"/>
      <c r="RID66" s="610"/>
      <c r="RIE66" s="610"/>
      <c r="RIF66" s="610"/>
      <c r="RIG66" s="610"/>
      <c r="RIH66" s="610"/>
      <c r="RII66" s="610"/>
      <c r="RIJ66" s="610"/>
      <c r="RIK66" s="610"/>
      <c r="RIL66" s="610"/>
      <c r="RIM66" s="610"/>
      <c r="RIN66" s="610"/>
      <c r="RIO66" s="610"/>
      <c r="RIP66" s="610"/>
      <c r="RIQ66" s="610"/>
      <c r="RIR66" s="610"/>
      <c r="RIS66" s="610"/>
      <c r="RIT66" s="610"/>
      <c r="RIU66" s="610"/>
      <c r="RIV66" s="610"/>
      <c r="RIW66" s="610"/>
      <c r="RIX66" s="610"/>
      <c r="RIY66" s="610"/>
      <c r="RIZ66" s="610"/>
      <c r="RJA66" s="610"/>
      <c r="RJB66" s="610"/>
      <c r="RJC66" s="610"/>
      <c r="RJD66" s="610"/>
      <c r="RJE66" s="610"/>
      <c r="RJF66" s="610"/>
      <c r="RJG66" s="610"/>
      <c r="RJH66" s="610"/>
      <c r="RJI66" s="610"/>
      <c r="RJJ66" s="610"/>
      <c r="RJK66" s="610"/>
      <c r="RJL66" s="610"/>
      <c r="RJM66" s="610"/>
      <c r="RJN66" s="610"/>
      <c r="RJO66" s="610"/>
      <c r="RJP66" s="610"/>
      <c r="RJQ66" s="610"/>
      <c r="RJR66" s="610"/>
      <c r="RJS66" s="610"/>
      <c r="RJT66" s="610"/>
      <c r="RJU66" s="610"/>
      <c r="RJV66" s="610"/>
      <c r="RJW66" s="610"/>
      <c r="RJX66" s="610"/>
      <c r="RJY66" s="610"/>
      <c r="RJZ66" s="610"/>
      <c r="RKA66" s="610"/>
      <c r="RKB66" s="610"/>
      <c r="RKC66" s="610"/>
      <c r="RKD66" s="610"/>
      <c r="RKE66" s="610"/>
      <c r="RKF66" s="610"/>
      <c r="RKG66" s="610"/>
      <c r="RKH66" s="610"/>
      <c r="RKI66" s="610"/>
      <c r="RKJ66" s="610"/>
      <c r="RKK66" s="610"/>
      <c r="RKL66" s="610"/>
      <c r="RKM66" s="610"/>
      <c r="RKN66" s="610"/>
      <c r="RKO66" s="610"/>
      <c r="RKP66" s="610"/>
      <c r="RKQ66" s="610"/>
      <c r="RKR66" s="610"/>
      <c r="RKS66" s="610"/>
      <c r="RKT66" s="610"/>
      <c r="RKU66" s="610"/>
      <c r="RKV66" s="610"/>
      <c r="RKW66" s="610"/>
      <c r="RKX66" s="610"/>
      <c r="RKY66" s="610"/>
      <c r="RKZ66" s="610"/>
      <c r="RLA66" s="610"/>
      <c r="RLB66" s="610"/>
      <c r="RLC66" s="610"/>
      <c r="RLD66" s="610"/>
      <c r="RLE66" s="610"/>
      <c r="RLF66" s="610"/>
      <c r="RLG66" s="610"/>
      <c r="RLH66" s="610"/>
      <c r="RLI66" s="610"/>
      <c r="RLJ66" s="610"/>
      <c r="RLK66" s="610"/>
      <c r="RLL66" s="610"/>
      <c r="RLM66" s="610"/>
      <c r="RLN66" s="610"/>
      <c r="RLO66" s="610"/>
      <c r="RLP66" s="610"/>
      <c r="RLQ66" s="610"/>
      <c r="RLR66" s="610"/>
      <c r="RLS66" s="610"/>
      <c r="RLT66" s="610"/>
      <c r="RLU66" s="610"/>
      <c r="RLV66" s="610"/>
      <c r="RLW66" s="610"/>
      <c r="RLX66" s="610"/>
      <c r="RLY66" s="610"/>
      <c r="RLZ66" s="610"/>
      <c r="RMA66" s="610"/>
      <c r="RMB66" s="610"/>
      <c r="RMC66" s="610"/>
      <c r="RMD66" s="610"/>
      <c r="RME66" s="610"/>
      <c r="RMF66" s="610"/>
      <c r="RMG66" s="610"/>
      <c r="RMH66" s="610"/>
      <c r="RMI66" s="610"/>
      <c r="RMJ66" s="610"/>
      <c r="RMK66" s="610"/>
      <c r="RML66" s="610"/>
      <c r="RMM66" s="610"/>
      <c r="RMN66" s="610"/>
      <c r="RMO66" s="610"/>
      <c r="RMP66" s="610"/>
      <c r="RMQ66" s="610"/>
      <c r="RMR66" s="610"/>
      <c r="RMS66" s="610"/>
      <c r="RMT66" s="610"/>
      <c r="RMU66" s="610"/>
      <c r="RMV66" s="610"/>
      <c r="RMW66" s="610"/>
      <c r="RMX66" s="610"/>
      <c r="RMY66" s="610"/>
      <c r="RMZ66" s="610"/>
      <c r="RNA66" s="610"/>
      <c r="RNB66" s="610"/>
      <c r="RNC66" s="610"/>
      <c r="RND66" s="610"/>
      <c r="RNE66" s="610"/>
      <c r="RNF66" s="610"/>
      <c r="RNG66" s="610"/>
      <c r="RNH66" s="610"/>
      <c r="RNI66" s="610"/>
      <c r="RNJ66" s="610"/>
      <c r="RNK66" s="610"/>
      <c r="RNL66" s="610"/>
      <c r="RNM66" s="610"/>
      <c r="RNN66" s="610"/>
      <c r="RNO66" s="610"/>
      <c r="RNP66" s="610"/>
      <c r="RNQ66" s="610"/>
      <c r="RNR66" s="610"/>
      <c r="RNS66" s="610"/>
      <c r="RNT66" s="610"/>
      <c r="RNU66" s="610"/>
      <c r="RNV66" s="610"/>
      <c r="RNW66" s="610"/>
      <c r="RNX66" s="610"/>
      <c r="RNY66" s="610"/>
      <c r="RNZ66" s="610"/>
      <c r="ROA66" s="610"/>
      <c r="ROB66" s="610"/>
      <c r="ROC66" s="610"/>
      <c r="ROD66" s="610"/>
      <c r="ROE66" s="610"/>
      <c r="ROF66" s="610"/>
      <c r="ROG66" s="610"/>
      <c r="ROH66" s="610"/>
      <c r="ROI66" s="610"/>
      <c r="ROJ66" s="610"/>
      <c r="ROK66" s="610"/>
      <c r="ROL66" s="610"/>
      <c r="ROM66" s="610"/>
      <c r="RON66" s="610"/>
      <c r="ROO66" s="610"/>
      <c r="ROP66" s="610"/>
      <c r="ROQ66" s="610"/>
      <c r="ROR66" s="610"/>
      <c r="ROS66" s="610"/>
      <c r="ROT66" s="610"/>
      <c r="ROU66" s="610"/>
      <c r="ROV66" s="610"/>
      <c r="ROW66" s="610"/>
      <c r="ROX66" s="610"/>
      <c r="ROY66" s="610"/>
      <c r="ROZ66" s="610"/>
      <c r="RPA66" s="610"/>
      <c r="RPB66" s="610"/>
      <c r="RPC66" s="610"/>
      <c r="RPD66" s="610"/>
      <c r="RPE66" s="610"/>
      <c r="RPF66" s="610"/>
      <c r="RPG66" s="610"/>
      <c r="RPH66" s="610"/>
      <c r="RPI66" s="610"/>
      <c r="RPJ66" s="610"/>
      <c r="RPK66" s="610"/>
      <c r="RPL66" s="610"/>
      <c r="RPM66" s="610"/>
      <c r="RPN66" s="610"/>
      <c r="RPO66" s="610"/>
      <c r="RPP66" s="610"/>
      <c r="RPQ66" s="610"/>
      <c r="RPR66" s="610"/>
      <c r="RPS66" s="610"/>
      <c r="RPT66" s="610"/>
      <c r="RPU66" s="610"/>
      <c r="RPV66" s="610"/>
      <c r="RPW66" s="610"/>
      <c r="RPX66" s="610"/>
      <c r="RPY66" s="610"/>
      <c r="RPZ66" s="610"/>
      <c r="RQA66" s="610"/>
      <c r="RQB66" s="610"/>
      <c r="RQC66" s="610"/>
      <c r="RQD66" s="610"/>
      <c r="RQE66" s="610"/>
      <c r="RQF66" s="610"/>
      <c r="RQG66" s="610"/>
      <c r="RQH66" s="610"/>
      <c r="RQI66" s="610"/>
      <c r="RQJ66" s="610"/>
      <c r="RQK66" s="610"/>
      <c r="RQL66" s="610"/>
      <c r="RQM66" s="610"/>
      <c r="RQN66" s="610"/>
      <c r="RQO66" s="610"/>
      <c r="RQP66" s="610"/>
      <c r="RQQ66" s="610"/>
      <c r="RQR66" s="610"/>
      <c r="RQS66" s="610"/>
      <c r="RQT66" s="610"/>
      <c r="RQU66" s="610"/>
      <c r="RQV66" s="610"/>
      <c r="RQW66" s="610"/>
      <c r="RQX66" s="610"/>
      <c r="RQY66" s="610"/>
      <c r="RQZ66" s="610"/>
      <c r="RRA66" s="610"/>
      <c r="RRB66" s="610"/>
      <c r="RRC66" s="610"/>
      <c r="RRD66" s="610"/>
      <c r="RRE66" s="610"/>
      <c r="RRF66" s="610"/>
      <c r="RRG66" s="610"/>
      <c r="RRH66" s="610"/>
      <c r="RRI66" s="610"/>
      <c r="RRJ66" s="610"/>
      <c r="RRK66" s="610"/>
      <c r="RRL66" s="610"/>
      <c r="RRM66" s="610"/>
      <c r="RRN66" s="610"/>
      <c r="RRO66" s="610"/>
      <c r="RRP66" s="610"/>
      <c r="RRQ66" s="610"/>
      <c r="RRR66" s="610"/>
      <c r="RRS66" s="610"/>
      <c r="RRT66" s="610"/>
      <c r="RRU66" s="610"/>
      <c r="RRV66" s="610"/>
      <c r="RRW66" s="610"/>
      <c r="RRX66" s="610"/>
      <c r="RRY66" s="610"/>
      <c r="RRZ66" s="610"/>
      <c r="RSA66" s="610"/>
      <c r="RSB66" s="610"/>
      <c r="RSC66" s="610"/>
      <c r="RSD66" s="610"/>
      <c r="RSE66" s="610"/>
      <c r="RSF66" s="610"/>
      <c r="RSG66" s="610"/>
      <c r="RSH66" s="610"/>
      <c r="RSI66" s="610"/>
      <c r="RSJ66" s="610"/>
      <c r="RSK66" s="610"/>
      <c r="RSL66" s="610"/>
      <c r="RSM66" s="610"/>
      <c r="RSN66" s="610"/>
      <c r="RSO66" s="610"/>
      <c r="RSP66" s="610"/>
      <c r="RSQ66" s="610"/>
      <c r="RSR66" s="610"/>
      <c r="RSS66" s="610"/>
      <c r="RST66" s="610"/>
      <c r="RSU66" s="610"/>
      <c r="RSV66" s="610"/>
      <c r="RSW66" s="610"/>
      <c r="RSX66" s="610"/>
      <c r="RSY66" s="610"/>
      <c r="RSZ66" s="610"/>
      <c r="RTA66" s="610"/>
      <c r="RTB66" s="610"/>
      <c r="RTC66" s="610"/>
      <c r="RTD66" s="610"/>
      <c r="RTE66" s="610"/>
      <c r="RTF66" s="610"/>
      <c r="RTG66" s="610"/>
      <c r="RTH66" s="610"/>
      <c r="RTI66" s="610"/>
      <c r="RTJ66" s="610"/>
      <c r="RTK66" s="610"/>
      <c r="RTL66" s="610"/>
      <c r="RTM66" s="610"/>
      <c r="RTN66" s="610"/>
      <c r="RTO66" s="610"/>
      <c r="RTP66" s="610"/>
      <c r="RTQ66" s="610"/>
      <c r="RTR66" s="610"/>
      <c r="RTS66" s="610"/>
      <c r="RTT66" s="610"/>
      <c r="RTU66" s="610"/>
      <c r="RTV66" s="610"/>
      <c r="RTW66" s="610"/>
      <c r="RTX66" s="610"/>
      <c r="RTY66" s="610"/>
      <c r="RTZ66" s="610"/>
      <c r="RUA66" s="610"/>
      <c r="RUB66" s="610"/>
      <c r="RUC66" s="610"/>
      <c r="RUD66" s="610"/>
      <c r="RUE66" s="610"/>
      <c r="RUF66" s="610"/>
      <c r="RUG66" s="610"/>
      <c r="RUH66" s="610"/>
      <c r="RUI66" s="610"/>
      <c r="RUJ66" s="610"/>
      <c r="RUK66" s="610"/>
      <c r="RUL66" s="610"/>
      <c r="RUM66" s="610"/>
      <c r="RUN66" s="610"/>
      <c r="RUO66" s="610"/>
      <c r="RUP66" s="610"/>
      <c r="RUQ66" s="610"/>
      <c r="RUR66" s="610"/>
      <c r="RUS66" s="610"/>
      <c r="RUT66" s="610"/>
      <c r="RUU66" s="610"/>
      <c r="RUV66" s="610"/>
      <c r="RUW66" s="610"/>
      <c r="RUX66" s="610"/>
      <c r="RUY66" s="610"/>
      <c r="RUZ66" s="610"/>
      <c r="RVA66" s="610"/>
      <c r="RVB66" s="610"/>
      <c r="RVC66" s="610"/>
      <c r="RVD66" s="610"/>
      <c r="RVE66" s="610"/>
      <c r="RVF66" s="610"/>
      <c r="RVG66" s="610"/>
      <c r="RVH66" s="610"/>
      <c r="RVI66" s="610"/>
      <c r="RVJ66" s="610"/>
      <c r="RVK66" s="610"/>
      <c r="RVL66" s="610"/>
      <c r="RVM66" s="610"/>
      <c r="RVN66" s="610"/>
      <c r="RVO66" s="610"/>
      <c r="RVP66" s="610"/>
      <c r="RVQ66" s="610"/>
      <c r="RVR66" s="610"/>
      <c r="RVS66" s="610"/>
      <c r="RVT66" s="610"/>
      <c r="RVU66" s="610"/>
      <c r="RVV66" s="610"/>
      <c r="RVW66" s="610"/>
      <c r="RVX66" s="610"/>
      <c r="RVY66" s="610"/>
      <c r="RVZ66" s="610"/>
      <c r="RWA66" s="610"/>
      <c r="RWB66" s="610"/>
      <c r="RWC66" s="610"/>
      <c r="RWD66" s="610"/>
      <c r="RWE66" s="610"/>
      <c r="RWF66" s="610"/>
      <c r="RWG66" s="610"/>
      <c r="RWH66" s="610"/>
      <c r="RWI66" s="610"/>
      <c r="RWJ66" s="610"/>
      <c r="RWK66" s="610"/>
      <c r="RWL66" s="610"/>
      <c r="RWM66" s="610"/>
      <c r="RWN66" s="610"/>
      <c r="RWO66" s="610"/>
      <c r="RWP66" s="610"/>
      <c r="RWQ66" s="610"/>
      <c r="RWR66" s="610"/>
      <c r="RWS66" s="610"/>
      <c r="RWT66" s="610"/>
      <c r="RWU66" s="610"/>
      <c r="RWV66" s="610"/>
      <c r="RWW66" s="610"/>
      <c r="RWX66" s="610"/>
      <c r="RWY66" s="610"/>
      <c r="RWZ66" s="610"/>
      <c r="RXA66" s="610"/>
      <c r="RXB66" s="610"/>
      <c r="RXC66" s="610"/>
      <c r="RXD66" s="610"/>
      <c r="RXE66" s="610"/>
      <c r="RXF66" s="610"/>
      <c r="RXG66" s="610"/>
      <c r="RXH66" s="610"/>
      <c r="RXI66" s="610"/>
      <c r="RXJ66" s="610"/>
      <c r="RXK66" s="610"/>
      <c r="RXL66" s="610"/>
      <c r="RXM66" s="610"/>
      <c r="RXN66" s="610"/>
      <c r="RXO66" s="610"/>
      <c r="RXP66" s="610"/>
      <c r="RXQ66" s="610"/>
      <c r="RXR66" s="610"/>
      <c r="RXS66" s="610"/>
      <c r="RXT66" s="610"/>
      <c r="RXU66" s="610"/>
      <c r="RXV66" s="610"/>
      <c r="RXW66" s="610"/>
      <c r="RXX66" s="610"/>
      <c r="RXY66" s="610"/>
      <c r="RXZ66" s="610"/>
      <c r="RYA66" s="610"/>
      <c r="RYB66" s="610"/>
      <c r="RYC66" s="610"/>
      <c r="RYD66" s="610"/>
      <c r="RYE66" s="610"/>
      <c r="RYF66" s="610"/>
      <c r="RYG66" s="610"/>
      <c r="RYH66" s="610"/>
      <c r="RYI66" s="610"/>
      <c r="RYJ66" s="610"/>
      <c r="RYK66" s="610"/>
      <c r="RYL66" s="610"/>
      <c r="RYM66" s="610"/>
      <c r="RYN66" s="610"/>
      <c r="RYO66" s="610"/>
      <c r="RYP66" s="610"/>
      <c r="RYQ66" s="610"/>
      <c r="RYR66" s="610"/>
      <c r="RYS66" s="610"/>
      <c r="RYT66" s="610"/>
      <c r="RYU66" s="610"/>
      <c r="RYV66" s="610"/>
      <c r="RYW66" s="610"/>
      <c r="RYX66" s="610"/>
      <c r="RYY66" s="610"/>
      <c r="RYZ66" s="610"/>
      <c r="RZA66" s="610"/>
      <c r="RZB66" s="610"/>
      <c r="RZC66" s="610"/>
      <c r="RZD66" s="610"/>
      <c r="RZE66" s="610"/>
      <c r="RZF66" s="610"/>
      <c r="RZG66" s="610"/>
      <c r="RZH66" s="610"/>
      <c r="RZI66" s="610"/>
      <c r="RZJ66" s="610"/>
      <c r="RZK66" s="610"/>
      <c r="RZL66" s="610"/>
      <c r="RZM66" s="610"/>
      <c r="RZN66" s="610"/>
      <c r="RZO66" s="610"/>
      <c r="RZP66" s="610"/>
      <c r="RZQ66" s="610"/>
      <c r="RZR66" s="610"/>
      <c r="RZS66" s="610"/>
      <c r="RZT66" s="610"/>
      <c r="RZU66" s="610"/>
      <c r="RZV66" s="610"/>
      <c r="RZW66" s="610"/>
      <c r="RZX66" s="610"/>
      <c r="RZY66" s="610"/>
      <c r="RZZ66" s="610"/>
      <c r="SAA66" s="610"/>
      <c r="SAB66" s="610"/>
      <c r="SAC66" s="610"/>
      <c r="SAD66" s="610"/>
      <c r="SAE66" s="610"/>
      <c r="SAF66" s="610"/>
      <c r="SAG66" s="610"/>
      <c r="SAH66" s="610"/>
      <c r="SAI66" s="610"/>
      <c r="SAJ66" s="610"/>
      <c r="SAK66" s="610"/>
      <c r="SAL66" s="610"/>
      <c r="SAM66" s="610"/>
      <c r="SAN66" s="610"/>
      <c r="SAO66" s="610"/>
      <c r="SAP66" s="610"/>
      <c r="SAQ66" s="610"/>
      <c r="SAR66" s="610"/>
      <c r="SAS66" s="610"/>
      <c r="SAT66" s="610"/>
      <c r="SAU66" s="610"/>
      <c r="SAV66" s="610"/>
      <c r="SAW66" s="610"/>
      <c r="SAX66" s="610"/>
      <c r="SAY66" s="610"/>
      <c r="SAZ66" s="610"/>
      <c r="SBA66" s="610"/>
      <c r="SBB66" s="610"/>
      <c r="SBC66" s="610"/>
      <c r="SBD66" s="610"/>
      <c r="SBE66" s="610"/>
      <c r="SBF66" s="610"/>
      <c r="SBG66" s="610"/>
      <c r="SBH66" s="610"/>
      <c r="SBI66" s="610"/>
      <c r="SBJ66" s="610"/>
      <c r="SBK66" s="610"/>
      <c r="SBL66" s="610"/>
      <c r="SBM66" s="610"/>
      <c r="SBN66" s="610"/>
      <c r="SBO66" s="610"/>
      <c r="SBP66" s="610"/>
      <c r="SBQ66" s="610"/>
      <c r="SBR66" s="610"/>
      <c r="SBS66" s="610"/>
      <c r="SBT66" s="610"/>
      <c r="SBU66" s="610"/>
      <c r="SBV66" s="610"/>
      <c r="SBW66" s="610"/>
      <c r="SBX66" s="610"/>
      <c r="SBY66" s="610"/>
      <c r="SBZ66" s="610"/>
      <c r="SCA66" s="610"/>
      <c r="SCB66" s="610"/>
      <c r="SCC66" s="610"/>
      <c r="SCD66" s="610"/>
      <c r="SCE66" s="610"/>
      <c r="SCF66" s="610"/>
      <c r="SCG66" s="610"/>
      <c r="SCH66" s="610"/>
      <c r="SCI66" s="610"/>
      <c r="SCJ66" s="610"/>
      <c r="SCK66" s="610"/>
      <c r="SCL66" s="610"/>
      <c r="SCM66" s="610"/>
      <c r="SCN66" s="610"/>
      <c r="SCO66" s="610"/>
      <c r="SCP66" s="610"/>
      <c r="SCQ66" s="610"/>
      <c r="SCR66" s="610"/>
      <c r="SCS66" s="610"/>
      <c r="SCT66" s="610"/>
      <c r="SCU66" s="610"/>
      <c r="SCV66" s="610"/>
      <c r="SCW66" s="610"/>
      <c r="SCX66" s="610"/>
      <c r="SCY66" s="610"/>
      <c r="SCZ66" s="610"/>
      <c r="SDA66" s="610"/>
      <c r="SDB66" s="610"/>
      <c r="SDC66" s="610"/>
      <c r="SDD66" s="610"/>
      <c r="SDE66" s="610"/>
      <c r="SDF66" s="610"/>
      <c r="SDG66" s="610"/>
      <c r="SDH66" s="610"/>
      <c r="SDI66" s="610"/>
      <c r="SDJ66" s="610"/>
      <c r="SDK66" s="610"/>
      <c r="SDL66" s="610"/>
      <c r="SDM66" s="610"/>
      <c r="SDN66" s="610"/>
      <c r="SDO66" s="610"/>
      <c r="SDP66" s="610"/>
      <c r="SDQ66" s="610"/>
      <c r="SDR66" s="610"/>
      <c r="SDS66" s="610"/>
      <c r="SDT66" s="610"/>
      <c r="SDU66" s="610"/>
      <c r="SDV66" s="610"/>
      <c r="SDW66" s="610"/>
      <c r="SDX66" s="610"/>
      <c r="SDY66" s="610"/>
      <c r="SDZ66" s="610"/>
      <c r="SEA66" s="610"/>
      <c r="SEB66" s="610"/>
      <c r="SEC66" s="610"/>
      <c r="SED66" s="610"/>
      <c r="SEE66" s="610"/>
      <c r="SEF66" s="610"/>
      <c r="SEG66" s="610"/>
      <c r="SEH66" s="610"/>
      <c r="SEI66" s="610"/>
      <c r="SEJ66" s="610"/>
      <c r="SEK66" s="610"/>
      <c r="SEL66" s="610"/>
      <c r="SEM66" s="610"/>
      <c r="SEN66" s="610"/>
      <c r="SEO66" s="610"/>
      <c r="SEP66" s="610"/>
      <c r="SEQ66" s="610"/>
      <c r="SER66" s="610"/>
      <c r="SES66" s="610"/>
      <c r="SET66" s="610"/>
      <c r="SEU66" s="610"/>
      <c r="SEV66" s="610"/>
      <c r="SEW66" s="610"/>
      <c r="SEX66" s="610"/>
      <c r="SEY66" s="610"/>
      <c r="SEZ66" s="610"/>
      <c r="SFA66" s="610"/>
      <c r="SFB66" s="610"/>
      <c r="SFC66" s="610"/>
      <c r="SFD66" s="610"/>
      <c r="SFE66" s="610"/>
      <c r="SFF66" s="610"/>
      <c r="SFG66" s="610"/>
      <c r="SFH66" s="610"/>
      <c r="SFI66" s="610"/>
      <c r="SFJ66" s="610"/>
      <c r="SFK66" s="610"/>
      <c r="SFL66" s="610"/>
      <c r="SFM66" s="610"/>
      <c r="SFN66" s="610"/>
      <c r="SFO66" s="610"/>
      <c r="SFP66" s="610"/>
      <c r="SFQ66" s="610"/>
      <c r="SFR66" s="610"/>
      <c r="SFS66" s="610"/>
      <c r="SFT66" s="610"/>
      <c r="SFU66" s="610"/>
      <c r="SFV66" s="610"/>
      <c r="SFW66" s="610"/>
      <c r="SFX66" s="610"/>
      <c r="SFY66" s="610"/>
      <c r="SFZ66" s="610"/>
      <c r="SGA66" s="610"/>
      <c r="SGB66" s="610"/>
      <c r="SGC66" s="610"/>
      <c r="SGD66" s="610"/>
      <c r="SGE66" s="610"/>
      <c r="SGF66" s="610"/>
      <c r="SGG66" s="610"/>
      <c r="SGH66" s="610"/>
      <c r="SGI66" s="610"/>
      <c r="SGJ66" s="610"/>
      <c r="SGK66" s="610"/>
      <c r="SGL66" s="610"/>
      <c r="SGM66" s="610"/>
      <c r="SGN66" s="610"/>
      <c r="SGO66" s="610"/>
      <c r="SGP66" s="610"/>
      <c r="SGQ66" s="610"/>
      <c r="SGR66" s="610"/>
      <c r="SGS66" s="610"/>
      <c r="SGT66" s="610"/>
      <c r="SGU66" s="610"/>
      <c r="SGV66" s="610"/>
      <c r="SGW66" s="610"/>
      <c r="SGX66" s="610"/>
      <c r="SGY66" s="610"/>
      <c r="SGZ66" s="610"/>
      <c r="SHA66" s="610"/>
      <c r="SHB66" s="610"/>
      <c r="SHC66" s="610"/>
      <c r="SHD66" s="610"/>
      <c r="SHE66" s="610"/>
      <c r="SHF66" s="610"/>
      <c r="SHG66" s="610"/>
      <c r="SHH66" s="610"/>
      <c r="SHI66" s="610"/>
      <c r="SHJ66" s="610"/>
      <c r="SHK66" s="610"/>
      <c r="SHL66" s="610"/>
      <c r="SHM66" s="610"/>
      <c r="SHN66" s="610"/>
      <c r="SHO66" s="610"/>
      <c r="SHP66" s="610"/>
      <c r="SHQ66" s="610"/>
      <c r="SHR66" s="610"/>
      <c r="SHS66" s="610"/>
      <c r="SHT66" s="610"/>
      <c r="SHU66" s="610"/>
      <c r="SHV66" s="610"/>
      <c r="SHW66" s="610"/>
      <c r="SHX66" s="610"/>
      <c r="SHY66" s="610"/>
      <c r="SHZ66" s="610"/>
      <c r="SIA66" s="610"/>
      <c r="SIB66" s="610"/>
      <c r="SIC66" s="610"/>
      <c r="SID66" s="610"/>
      <c r="SIE66" s="610"/>
      <c r="SIF66" s="610"/>
      <c r="SIG66" s="610"/>
      <c r="SIH66" s="610"/>
      <c r="SII66" s="610"/>
      <c r="SIJ66" s="610"/>
      <c r="SIK66" s="610"/>
      <c r="SIL66" s="610"/>
      <c r="SIM66" s="610"/>
      <c r="SIN66" s="610"/>
      <c r="SIO66" s="610"/>
      <c r="SIP66" s="610"/>
      <c r="SIQ66" s="610"/>
      <c r="SIR66" s="610"/>
      <c r="SIS66" s="610"/>
      <c r="SIT66" s="610"/>
      <c r="SIU66" s="610"/>
      <c r="SIV66" s="610"/>
      <c r="SIW66" s="610"/>
      <c r="SIX66" s="610"/>
      <c r="SIY66" s="610"/>
      <c r="SIZ66" s="610"/>
      <c r="SJA66" s="610"/>
      <c r="SJB66" s="610"/>
      <c r="SJC66" s="610"/>
      <c r="SJD66" s="610"/>
      <c r="SJE66" s="610"/>
      <c r="SJF66" s="610"/>
      <c r="SJG66" s="610"/>
      <c r="SJH66" s="610"/>
      <c r="SJI66" s="610"/>
      <c r="SJJ66" s="610"/>
      <c r="SJK66" s="610"/>
      <c r="SJL66" s="610"/>
      <c r="SJM66" s="610"/>
      <c r="SJN66" s="610"/>
      <c r="SJO66" s="610"/>
      <c r="SJP66" s="610"/>
      <c r="SJQ66" s="610"/>
      <c r="SJR66" s="610"/>
      <c r="SJS66" s="610"/>
      <c r="SJT66" s="610"/>
      <c r="SJU66" s="610"/>
      <c r="SJV66" s="610"/>
      <c r="SJW66" s="610"/>
      <c r="SJX66" s="610"/>
      <c r="SJY66" s="610"/>
      <c r="SJZ66" s="610"/>
      <c r="SKA66" s="610"/>
      <c r="SKB66" s="610"/>
      <c r="SKC66" s="610"/>
      <c r="SKD66" s="610"/>
      <c r="SKE66" s="610"/>
      <c r="SKF66" s="610"/>
      <c r="SKG66" s="610"/>
      <c r="SKH66" s="610"/>
      <c r="SKI66" s="610"/>
      <c r="SKJ66" s="610"/>
      <c r="SKK66" s="610"/>
      <c r="SKL66" s="610"/>
      <c r="SKM66" s="610"/>
      <c r="SKN66" s="610"/>
      <c r="SKO66" s="610"/>
      <c r="SKP66" s="610"/>
      <c r="SKQ66" s="610"/>
      <c r="SKR66" s="610"/>
      <c r="SKS66" s="610"/>
      <c r="SKT66" s="610"/>
      <c r="SKU66" s="610"/>
      <c r="SKV66" s="610"/>
      <c r="SKW66" s="610"/>
      <c r="SKX66" s="610"/>
      <c r="SKY66" s="610"/>
      <c r="SKZ66" s="610"/>
      <c r="SLA66" s="610"/>
      <c r="SLB66" s="610"/>
      <c r="SLC66" s="610"/>
      <c r="SLD66" s="610"/>
      <c r="SLE66" s="610"/>
      <c r="SLF66" s="610"/>
      <c r="SLG66" s="610"/>
      <c r="SLH66" s="610"/>
      <c r="SLI66" s="610"/>
      <c r="SLJ66" s="610"/>
      <c r="SLK66" s="610"/>
      <c r="SLL66" s="610"/>
      <c r="SLM66" s="610"/>
      <c r="SLN66" s="610"/>
      <c r="SLO66" s="610"/>
      <c r="SLP66" s="610"/>
      <c r="SLQ66" s="610"/>
      <c r="SLR66" s="610"/>
      <c r="SLS66" s="610"/>
      <c r="SLT66" s="610"/>
      <c r="SLU66" s="610"/>
      <c r="SLV66" s="610"/>
      <c r="SLW66" s="610"/>
      <c r="SLX66" s="610"/>
      <c r="SLY66" s="610"/>
      <c r="SLZ66" s="610"/>
      <c r="SMA66" s="610"/>
      <c r="SMB66" s="610"/>
      <c r="SMC66" s="610"/>
      <c r="SMD66" s="610"/>
      <c r="SME66" s="610"/>
      <c r="SMF66" s="610"/>
      <c r="SMG66" s="610"/>
      <c r="SMH66" s="610"/>
      <c r="SMI66" s="610"/>
      <c r="SMJ66" s="610"/>
      <c r="SMK66" s="610"/>
      <c r="SML66" s="610"/>
      <c r="SMM66" s="610"/>
      <c r="SMN66" s="610"/>
      <c r="SMO66" s="610"/>
      <c r="SMP66" s="610"/>
      <c r="SMQ66" s="610"/>
      <c r="SMR66" s="610"/>
      <c r="SMS66" s="610"/>
      <c r="SMT66" s="610"/>
      <c r="SMU66" s="610"/>
      <c r="SMV66" s="610"/>
      <c r="SMW66" s="610"/>
      <c r="SMX66" s="610"/>
      <c r="SMY66" s="610"/>
      <c r="SMZ66" s="610"/>
      <c r="SNA66" s="610"/>
      <c r="SNB66" s="610"/>
      <c r="SNC66" s="610"/>
      <c r="SND66" s="610"/>
      <c r="SNE66" s="610"/>
      <c r="SNF66" s="610"/>
      <c r="SNG66" s="610"/>
      <c r="SNH66" s="610"/>
      <c r="SNI66" s="610"/>
      <c r="SNJ66" s="610"/>
      <c r="SNK66" s="610"/>
      <c r="SNL66" s="610"/>
      <c r="SNM66" s="610"/>
      <c r="SNN66" s="610"/>
      <c r="SNO66" s="610"/>
      <c r="SNP66" s="610"/>
      <c r="SNQ66" s="610"/>
      <c r="SNR66" s="610"/>
      <c r="SNS66" s="610"/>
      <c r="SNT66" s="610"/>
      <c r="SNU66" s="610"/>
      <c r="SNV66" s="610"/>
      <c r="SNW66" s="610"/>
      <c r="SNX66" s="610"/>
      <c r="SNY66" s="610"/>
      <c r="SNZ66" s="610"/>
      <c r="SOA66" s="610"/>
      <c r="SOB66" s="610"/>
      <c r="SOC66" s="610"/>
      <c r="SOD66" s="610"/>
      <c r="SOE66" s="610"/>
      <c r="SOF66" s="610"/>
      <c r="SOG66" s="610"/>
      <c r="SOH66" s="610"/>
      <c r="SOI66" s="610"/>
      <c r="SOJ66" s="610"/>
      <c r="SOK66" s="610"/>
      <c r="SOL66" s="610"/>
      <c r="SOM66" s="610"/>
      <c r="SON66" s="610"/>
      <c r="SOO66" s="610"/>
      <c r="SOP66" s="610"/>
      <c r="SOQ66" s="610"/>
      <c r="SOR66" s="610"/>
      <c r="SOS66" s="610"/>
      <c r="SOT66" s="610"/>
      <c r="SOU66" s="610"/>
      <c r="SOV66" s="610"/>
      <c r="SOW66" s="610"/>
      <c r="SOX66" s="610"/>
      <c r="SOY66" s="610"/>
      <c r="SOZ66" s="610"/>
      <c r="SPA66" s="610"/>
      <c r="SPB66" s="610"/>
      <c r="SPC66" s="610"/>
      <c r="SPD66" s="610"/>
      <c r="SPE66" s="610"/>
      <c r="SPF66" s="610"/>
      <c r="SPG66" s="610"/>
      <c r="SPH66" s="610"/>
      <c r="SPI66" s="610"/>
      <c r="SPJ66" s="610"/>
      <c r="SPK66" s="610"/>
      <c r="SPL66" s="610"/>
      <c r="SPM66" s="610"/>
      <c r="SPN66" s="610"/>
      <c r="SPO66" s="610"/>
      <c r="SPP66" s="610"/>
      <c r="SPQ66" s="610"/>
      <c r="SPR66" s="610"/>
      <c r="SPS66" s="610"/>
      <c r="SPT66" s="610"/>
      <c r="SPU66" s="610"/>
      <c r="SPV66" s="610"/>
      <c r="SPW66" s="610"/>
      <c r="SPX66" s="610"/>
      <c r="SPY66" s="610"/>
      <c r="SPZ66" s="610"/>
      <c r="SQA66" s="610"/>
      <c r="SQB66" s="610"/>
      <c r="SQC66" s="610"/>
      <c r="SQD66" s="610"/>
      <c r="SQE66" s="610"/>
      <c r="SQF66" s="610"/>
      <c r="SQG66" s="610"/>
      <c r="SQH66" s="610"/>
      <c r="SQI66" s="610"/>
      <c r="SQJ66" s="610"/>
      <c r="SQK66" s="610"/>
      <c r="SQL66" s="610"/>
      <c r="SQM66" s="610"/>
      <c r="SQN66" s="610"/>
      <c r="SQO66" s="610"/>
      <c r="SQP66" s="610"/>
      <c r="SQQ66" s="610"/>
      <c r="SQR66" s="610"/>
      <c r="SQS66" s="610"/>
      <c r="SQT66" s="610"/>
      <c r="SQU66" s="610"/>
      <c r="SQV66" s="610"/>
      <c r="SQW66" s="610"/>
      <c r="SQX66" s="610"/>
      <c r="SQY66" s="610"/>
      <c r="SQZ66" s="610"/>
      <c r="SRA66" s="610"/>
      <c r="SRB66" s="610"/>
      <c r="SRC66" s="610"/>
      <c r="SRD66" s="610"/>
      <c r="SRE66" s="610"/>
      <c r="SRF66" s="610"/>
      <c r="SRG66" s="610"/>
      <c r="SRH66" s="610"/>
      <c r="SRI66" s="610"/>
      <c r="SRJ66" s="610"/>
      <c r="SRK66" s="610"/>
      <c r="SRL66" s="610"/>
      <c r="SRM66" s="610"/>
      <c r="SRN66" s="610"/>
      <c r="SRO66" s="610"/>
      <c r="SRP66" s="610"/>
      <c r="SRQ66" s="610"/>
      <c r="SRR66" s="610"/>
      <c r="SRS66" s="610"/>
      <c r="SRT66" s="610"/>
      <c r="SRU66" s="610"/>
      <c r="SRV66" s="610"/>
      <c r="SRW66" s="610"/>
      <c r="SRX66" s="610"/>
      <c r="SRY66" s="610"/>
      <c r="SRZ66" s="610"/>
      <c r="SSA66" s="610"/>
      <c r="SSB66" s="610"/>
      <c r="SSC66" s="610"/>
      <c r="SSD66" s="610"/>
      <c r="SSE66" s="610"/>
      <c r="SSF66" s="610"/>
      <c r="SSG66" s="610"/>
      <c r="SSH66" s="610"/>
      <c r="SSI66" s="610"/>
      <c r="SSJ66" s="610"/>
      <c r="SSK66" s="610"/>
      <c r="SSL66" s="610"/>
      <c r="SSM66" s="610"/>
      <c r="SSN66" s="610"/>
      <c r="SSO66" s="610"/>
      <c r="SSP66" s="610"/>
      <c r="SSQ66" s="610"/>
      <c r="SSR66" s="610"/>
      <c r="SSS66" s="610"/>
      <c r="SST66" s="610"/>
      <c r="SSU66" s="610"/>
      <c r="SSV66" s="610"/>
      <c r="SSW66" s="610"/>
      <c r="SSX66" s="610"/>
      <c r="SSY66" s="610"/>
      <c r="SSZ66" s="610"/>
      <c r="STA66" s="610"/>
      <c r="STB66" s="610"/>
      <c r="STC66" s="610"/>
      <c r="STD66" s="610"/>
      <c r="STE66" s="610"/>
      <c r="STF66" s="610"/>
      <c r="STG66" s="610"/>
      <c r="STH66" s="610"/>
      <c r="STI66" s="610"/>
      <c r="STJ66" s="610"/>
      <c r="STK66" s="610"/>
      <c r="STL66" s="610"/>
      <c r="STM66" s="610"/>
      <c r="STN66" s="610"/>
      <c r="STO66" s="610"/>
      <c r="STP66" s="610"/>
      <c r="STQ66" s="610"/>
      <c r="STR66" s="610"/>
      <c r="STS66" s="610"/>
      <c r="STT66" s="610"/>
      <c r="STU66" s="610"/>
      <c r="STV66" s="610"/>
      <c r="STW66" s="610"/>
      <c r="STX66" s="610"/>
      <c r="STY66" s="610"/>
      <c r="STZ66" s="610"/>
      <c r="SUA66" s="610"/>
      <c r="SUB66" s="610"/>
      <c r="SUC66" s="610"/>
      <c r="SUD66" s="610"/>
      <c r="SUE66" s="610"/>
      <c r="SUF66" s="610"/>
      <c r="SUG66" s="610"/>
      <c r="SUH66" s="610"/>
      <c r="SUI66" s="610"/>
      <c r="SUJ66" s="610"/>
      <c r="SUK66" s="610"/>
      <c r="SUL66" s="610"/>
      <c r="SUM66" s="610"/>
      <c r="SUN66" s="610"/>
      <c r="SUO66" s="610"/>
      <c r="SUP66" s="610"/>
      <c r="SUQ66" s="610"/>
      <c r="SUR66" s="610"/>
      <c r="SUS66" s="610"/>
      <c r="SUT66" s="610"/>
      <c r="SUU66" s="610"/>
      <c r="SUV66" s="610"/>
      <c r="SUW66" s="610"/>
      <c r="SUX66" s="610"/>
      <c r="SUY66" s="610"/>
      <c r="SUZ66" s="610"/>
      <c r="SVA66" s="610"/>
      <c r="SVB66" s="610"/>
      <c r="SVC66" s="610"/>
      <c r="SVD66" s="610"/>
      <c r="SVE66" s="610"/>
      <c r="SVF66" s="610"/>
      <c r="SVG66" s="610"/>
      <c r="SVH66" s="610"/>
      <c r="SVI66" s="610"/>
      <c r="SVJ66" s="610"/>
      <c r="SVK66" s="610"/>
      <c r="SVL66" s="610"/>
      <c r="SVM66" s="610"/>
      <c r="SVN66" s="610"/>
      <c r="SVO66" s="610"/>
      <c r="SVP66" s="610"/>
      <c r="SVQ66" s="610"/>
      <c r="SVR66" s="610"/>
      <c r="SVS66" s="610"/>
      <c r="SVT66" s="610"/>
      <c r="SVU66" s="610"/>
      <c r="SVV66" s="610"/>
      <c r="SVW66" s="610"/>
      <c r="SVX66" s="610"/>
      <c r="SVY66" s="610"/>
      <c r="SVZ66" s="610"/>
      <c r="SWA66" s="610"/>
      <c r="SWB66" s="610"/>
      <c r="SWC66" s="610"/>
      <c r="SWD66" s="610"/>
      <c r="SWE66" s="610"/>
      <c r="SWF66" s="610"/>
      <c r="SWG66" s="610"/>
      <c r="SWH66" s="610"/>
      <c r="SWI66" s="610"/>
      <c r="SWJ66" s="610"/>
      <c r="SWK66" s="610"/>
      <c r="SWL66" s="610"/>
      <c r="SWM66" s="610"/>
      <c r="SWN66" s="610"/>
      <c r="SWO66" s="610"/>
      <c r="SWP66" s="610"/>
      <c r="SWQ66" s="610"/>
      <c r="SWR66" s="610"/>
      <c r="SWS66" s="610"/>
      <c r="SWT66" s="610"/>
      <c r="SWU66" s="610"/>
      <c r="SWV66" s="610"/>
      <c r="SWW66" s="610"/>
      <c r="SWX66" s="610"/>
      <c r="SWY66" s="610"/>
      <c r="SWZ66" s="610"/>
      <c r="SXA66" s="610"/>
      <c r="SXB66" s="610"/>
      <c r="SXC66" s="610"/>
      <c r="SXD66" s="610"/>
      <c r="SXE66" s="610"/>
      <c r="SXF66" s="610"/>
      <c r="SXG66" s="610"/>
      <c r="SXH66" s="610"/>
      <c r="SXI66" s="610"/>
      <c r="SXJ66" s="610"/>
      <c r="SXK66" s="610"/>
      <c r="SXL66" s="610"/>
      <c r="SXM66" s="610"/>
      <c r="SXN66" s="610"/>
      <c r="SXO66" s="610"/>
      <c r="SXP66" s="610"/>
      <c r="SXQ66" s="610"/>
      <c r="SXR66" s="610"/>
      <c r="SXS66" s="610"/>
      <c r="SXT66" s="610"/>
      <c r="SXU66" s="610"/>
      <c r="SXV66" s="610"/>
      <c r="SXW66" s="610"/>
      <c r="SXX66" s="610"/>
      <c r="SXY66" s="610"/>
      <c r="SXZ66" s="610"/>
      <c r="SYA66" s="610"/>
      <c r="SYB66" s="610"/>
      <c r="SYC66" s="610"/>
      <c r="SYD66" s="610"/>
      <c r="SYE66" s="610"/>
      <c r="SYF66" s="610"/>
      <c r="SYG66" s="610"/>
      <c r="SYH66" s="610"/>
      <c r="SYI66" s="610"/>
      <c r="SYJ66" s="610"/>
      <c r="SYK66" s="610"/>
      <c r="SYL66" s="610"/>
      <c r="SYM66" s="610"/>
      <c r="SYN66" s="610"/>
      <c r="SYO66" s="610"/>
      <c r="SYP66" s="610"/>
      <c r="SYQ66" s="610"/>
      <c r="SYR66" s="610"/>
      <c r="SYS66" s="610"/>
      <c r="SYT66" s="610"/>
      <c r="SYU66" s="610"/>
      <c r="SYV66" s="610"/>
      <c r="SYW66" s="610"/>
      <c r="SYX66" s="610"/>
      <c r="SYY66" s="610"/>
      <c r="SYZ66" s="610"/>
      <c r="SZA66" s="610"/>
      <c r="SZB66" s="610"/>
      <c r="SZC66" s="610"/>
      <c r="SZD66" s="610"/>
      <c r="SZE66" s="610"/>
      <c r="SZF66" s="610"/>
      <c r="SZG66" s="610"/>
      <c r="SZH66" s="610"/>
      <c r="SZI66" s="610"/>
      <c r="SZJ66" s="610"/>
      <c r="SZK66" s="610"/>
      <c r="SZL66" s="610"/>
      <c r="SZM66" s="610"/>
      <c r="SZN66" s="610"/>
      <c r="SZO66" s="610"/>
      <c r="SZP66" s="610"/>
      <c r="SZQ66" s="610"/>
      <c r="SZR66" s="610"/>
      <c r="SZS66" s="610"/>
      <c r="SZT66" s="610"/>
      <c r="SZU66" s="610"/>
      <c r="SZV66" s="610"/>
      <c r="SZW66" s="610"/>
      <c r="SZX66" s="610"/>
      <c r="SZY66" s="610"/>
      <c r="SZZ66" s="610"/>
      <c r="TAA66" s="610"/>
      <c r="TAB66" s="610"/>
      <c r="TAC66" s="610"/>
      <c r="TAD66" s="610"/>
      <c r="TAE66" s="610"/>
      <c r="TAF66" s="610"/>
      <c r="TAG66" s="610"/>
      <c r="TAH66" s="610"/>
      <c r="TAI66" s="610"/>
      <c r="TAJ66" s="610"/>
      <c r="TAK66" s="610"/>
      <c r="TAL66" s="610"/>
      <c r="TAM66" s="610"/>
      <c r="TAN66" s="610"/>
      <c r="TAO66" s="610"/>
      <c r="TAP66" s="610"/>
      <c r="TAQ66" s="610"/>
      <c r="TAR66" s="610"/>
      <c r="TAS66" s="610"/>
      <c r="TAT66" s="610"/>
      <c r="TAU66" s="610"/>
      <c r="TAV66" s="610"/>
      <c r="TAW66" s="610"/>
      <c r="TAX66" s="610"/>
      <c r="TAY66" s="610"/>
      <c r="TAZ66" s="610"/>
      <c r="TBA66" s="610"/>
      <c r="TBB66" s="610"/>
      <c r="TBC66" s="610"/>
      <c r="TBD66" s="610"/>
      <c r="TBE66" s="610"/>
      <c r="TBF66" s="610"/>
      <c r="TBG66" s="610"/>
      <c r="TBH66" s="610"/>
      <c r="TBI66" s="610"/>
      <c r="TBJ66" s="610"/>
      <c r="TBK66" s="610"/>
      <c r="TBL66" s="610"/>
      <c r="TBM66" s="610"/>
      <c r="TBN66" s="610"/>
      <c r="TBO66" s="610"/>
      <c r="TBP66" s="610"/>
      <c r="TBQ66" s="610"/>
      <c r="TBR66" s="610"/>
      <c r="TBS66" s="610"/>
      <c r="TBT66" s="610"/>
      <c r="TBU66" s="610"/>
      <c r="TBV66" s="610"/>
      <c r="TBW66" s="610"/>
      <c r="TBX66" s="610"/>
      <c r="TBY66" s="610"/>
      <c r="TBZ66" s="610"/>
      <c r="TCA66" s="610"/>
      <c r="TCB66" s="610"/>
      <c r="TCC66" s="610"/>
      <c r="TCD66" s="610"/>
      <c r="TCE66" s="610"/>
      <c r="TCF66" s="610"/>
      <c r="TCG66" s="610"/>
      <c r="TCH66" s="610"/>
      <c r="TCI66" s="610"/>
      <c r="TCJ66" s="610"/>
      <c r="TCK66" s="610"/>
      <c r="TCL66" s="610"/>
      <c r="TCM66" s="610"/>
      <c r="TCN66" s="610"/>
      <c r="TCO66" s="610"/>
      <c r="TCP66" s="610"/>
      <c r="TCQ66" s="610"/>
      <c r="TCR66" s="610"/>
      <c r="TCS66" s="610"/>
      <c r="TCT66" s="610"/>
      <c r="TCU66" s="610"/>
      <c r="TCV66" s="610"/>
      <c r="TCW66" s="610"/>
      <c r="TCX66" s="610"/>
      <c r="TCY66" s="610"/>
      <c r="TCZ66" s="610"/>
      <c r="TDA66" s="610"/>
      <c r="TDB66" s="610"/>
      <c r="TDC66" s="610"/>
      <c r="TDD66" s="610"/>
      <c r="TDE66" s="610"/>
      <c r="TDF66" s="610"/>
      <c r="TDG66" s="610"/>
      <c r="TDH66" s="610"/>
      <c r="TDI66" s="610"/>
      <c r="TDJ66" s="610"/>
      <c r="TDK66" s="610"/>
      <c r="TDL66" s="610"/>
      <c r="TDM66" s="610"/>
      <c r="TDN66" s="610"/>
      <c r="TDO66" s="610"/>
      <c r="TDP66" s="610"/>
      <c r="TDQ66" s="610"/>
      <c r="TDR66" s="610"/>
      <c r="TDS66" s="610"/>
      <c r="TDT66" s="610"/>
      <c r="TDU66" s="610"/>
      <c r="TDV66" s="610"/>
      <c r="TDW66" s="610"/>
      <c r="TDX66" s="610"/>
      <c r="TDY66" s="610"/>
      <c r="TDZ66" s="610"/>
      <c r="TEA66" s="610"/>
      <c r="TEB66" s="610"/>
      <c r="TEC66" s="610"/>
      <c r="TED66" s="610"/>
      <c r="TEE66" s="610"/>
      <c r="TEF66" s="610"/>
      <c r="TEG66" s="610"/>
      <c r="TEH66" s="610"/>
      <c r="TEI66" s="610"/>
      <c r="TEJ66" s="610"/>
      <c r="TEK66" s="610"/>
      <c r="TEL66" s="610"/>
      <c r="TEM66" s="610"/>
      <c r="TEN66" s="610"/>
      <c r="TEO66" s="610"/>
      <c r="TEP66" s="610"/>
      <c r="TEQ66" s="610"/>
      <c r="TER66" s="610"/>
      <c r="TES66" s="610"/>
      <c r="TET66" s="610"/>
      <c r="TEU66" s="610"/>
      <c r="TEV66" s="610"/>
      <c r="TEW66" s="610"/>
      <c r="TEX66" s="610"/>
      <c r="TEY66" s="610"/>
      <c r="TEZ66" s="610"/>
      <c r="TFA66" s="610"/>
      <c r="TFB66" s="610"/>
      <c r="TFC66" s="610"/>
      <c r="TFD66" s="610"/>
      <c r="TFE66" s="610"/>
      <c r="TFF66" s="610"/>
      <c r="TFG66" s="610"/>
      <c r="TFH66" s="610"/>
      <c r="TFI66" s="610"/>
      <c r="TFJ66" s="610"/>
      <c r="TFK66" s="610"/>
      <c r="TFL66" s="610"/>
      <c r="TFM66" s="610"/>
      <c r="TFN66" s="610"/>
      <c r="TFO66" s="610"/>
      <c r="TFP66" s="610"/>
      <c r="TFQ66" s="610"/>
      <c r="TFR66" s="610"/>
      <c r="TFS66" s="610"/>
      <c r="TFT66" s="610"/>
      <c r="TFU66" s="610"/>
      <c r="TFV66" s="610"/>
      <c r="TFW66" s="610"/>
      <c r="TFX66" s="610"/>
      <c r="TFY66" s="610"/>
      <c r="TFZ66" s="610"/>
      <c r="TGA66" s="610"/>
      <c r="TGB66" s="610"/>
      <c r="TGC66" s="610"/>
      <c r="TGD66" s="610"/>
      <c r="TGE66" s="610"/>
      <c r="TGF66" s="610"/>
      <c r="TGG66" s="610"/>
      <c r="TGH66" s="610"/>
      <c r="TGI66" s="610"/>
      <c r="TGJ66" s="610"/>
      <c r="TGK66" s="610"/>
      <c r="TGL66" s="610"/>
      <c r="TGM66" s="610"/>
      <c r="TGN66" s="610"/>
      <c r="TGO66" s="610"/>
      <c r="TGP66" s="610"/>
      <c r="TGQ66" s="610"/>
      <c r="TGR66" s="610"/>
      <c r="TGS66" s="610"/>
      <c r="TGT66" s="610"/>
      <c r="TGU66" s="610"/>
      <c r="TGV66" s="610"/>
      <c r="TGW66" s="610"/>
      <c r="TGX66" s="610"/>
      <c r="TGY66" s="610"/>
      <c r="TGZ66" s="610"/>
      <c r="THA66" s="610"/>
      <c r="THB66" s="610"/>
      <c r="THC66" s="610"/>
      <c r="THD66" s="610"/>
      <c r="THE66" s="610"/>
      <c r="THF66" s="610"/>
      <c r="THG66" s="610"/>
      <c r="THH66" s="610"/>
      <c r="THI66" s="610"/>
      <c r="THJ66" s="610"/>
      <c r="THK66" s="610"/>
      <c r="THL66" s="610"/>
      <c r="THM66" s="610"/>
      <c r="THN66" s="610"/>
      <c r="THO66" s="610"/>
      <c r="THP66" s="610"/>
      <c r="THQ66" s="610"/>
      <c r="THR66" s="610"/>
      <c r="THS66" s="610"/>
      <c r="THT66" s="610"/>
      <c r="THU66" s="610"/>
      <c r="THV66" s="610"/>
      <c r="THW66" s="610"/>
      <c r="THX66" s="610"/>
      <c r="THY66" s="610"/>
      <c r="THZ66" s="610"/>
      <c r="TIA66" s="610"/>
      <c r="TIB66" s="610"/>
      <c r="TIC66" s="610"/>
      <c r="TID66" s="610"/>
      <c r="TIE66" s="610"/>
      <c r="TIF66" s="610"/>
      <c r="TIG66" s="610"/>
      <c r="TIH66" s="610"/>
      <c r="TII66" s="610"/>
      <c r="TIJ66" s="610"/>
      <c r="TIK66" s="610"/>
      <c r="TIL66" s="610"/>
      <c r="TIM66" s="610"/>
      <c r="TIN66" s="610"/>
      <c r="TIO66" s="610"/>
      <c r="TIP66" s="610"/>
      <c r="TIQ66" s="610"/>
      <c r="TIR66" s="610"/>
      <c r="TIS66" s="610"/>
      <c r="TIT66" s="610"/>
      <c r="TIU66" s="610"/>
      <c r="TIV66" s="610"/>
      <c r="TIW66" s="610"/>
      <c r="TIX66" s="610"/>
      <c r="TIY66" s="610"/>
      <c r="TIZ66" s="610"/>
      <c r="TJA66" s="610"/>
      <c r="TJB66" s="610"/>
      <c r="TJC66" s="610"/>
      <c r="TJD66" s="610"/>
      <c r="TJE66" s="610"/>
      <c r="TJF66" s="610"/>
      <c r="TJG66" s="610"/>
      <c r="TJH66" s="610"/>
      <c r="TJI66" s="610"/>
      <c r="TJJ66" s="610"/>
      <c r="TJK66" s="610"/>
      <c r="TJL66" s="610"/>
      <c r="TJM66" s="610"/>
      <c r="TJN66" s="610"/>
      <c r="TJO66" s="610"/>
      <c r="TJP66" s="610"/>
      <c r="TJQ66" s="610"/>
      <c r="TJR66" s="610"/>
      <c r="TJS66" s="610"/>
      <c r="TJT66" s="610"/>
      <c r="TJU66" s="610"/>
      <c r="TJV66" s="610"/>
      <c r="TJW66" s="610"/>
      <c r="TJX66" s="610"/>
      <c r="TJY66" s="610"/>
      <c r="TJZ66" s="610"/>
      <c r="TKA66" s="610"/>
      <c r="TKB66" s="610"/>
      <c r="TKC66" s="610"/>
      <c r="TKD66" s="610"/>
      <c r="TKE66" s="610"/>
      <c r="TKF66" s="610"/>
      <c r="TKG66" s="610"/>
      <c r="TKH66" s="610"/>
      <c r="TKI66" s="610"/>
      <c r="TKJ66" s="610"/>
      <c r="TKK66" s="610"/>
      <c r="TKL66" s="610"/>
      <c r="TKM66" s="610"/>
      <c r="TKN66" s="610"/>
      <c r="TKO66" s="610"/>
      <c r="TKP66" s="610"/>
      <c r="TKQ66" s="610"/>
      <c r="TKR66" s="610"/>
      <c r="TKS66" s="610"/>
      <c r="TKT66" s="610"/>
      <c r="TKU66" s="610"/>
      <c r="TKV66" s="610"/>
      <c r="TKW66" s="610"/>
      <c r="TKX66" s="610"/>
      <c r="TKY66" s="610"/>
      <c r="TKZ66" s="610"/>
      <c r="TLA66" s="610"/>
      <c r="TLB66" s="610"/>
      <c r="TLC66" s="610"/>
      <c r="TLD66" s="610"/>
      <c r="TLE66" s="610"/>
      <c r="TLF66" s="610"/>
      <c r="TLG66" s="610"/>
      <c r="TLH66" s="610"/>
      <c r="TLI66" s="610"/>
      <c r="TLJ66" s="610"/>
      <c r="TLK66" s="610"/>
      <c r="TLL66" s="610"/>
      <c r="TLM66" s="610"/>
      <c r="TLN66" s="610"/>
      <c r="TLO66" s="610"/>
      <c r="TLP66" s="610"/>
      <c r="TLQ66" s="610"/>
      <c r="TLR66" s="610"/>
      <c r="TLS66" s="610"/>
      <c r="TLT66" s="610"/>
      <c r="TLU66" s="610"/>
      <c r="TLV66" s="610"/>
      <c r="TLW66" s="610"/>
      <c r="TLX66" s="610"/>
      <c r="TLY66" s="610"/>
      <c r="TLZ66" s="610"/>
      <c r="TMA66" s="610"/>
      <c r="TMB66" s="610"/>
      <c r="TMC66" s="610"/>
      <c r="TMD66" s="610"/>
      <c r="TME66" s="610"/>
      <c r="TMF66" s="610"/>
      <c r="TMG66" s="610"/>
      <c r="TMH66" s="610"/>
      <c r="TMI66" s="610"/>
      <c r="TMJ66" s="610"/>
      <c r="TMK66" s="610"/>
      <c r="TML66" s="610"/>
      <c r="TMM66" s="610"/>
      <c r="TMN66" s="610"/>
      <c r="TMO66" s="610"/>
      <c r="TMP66" s="610"/>
      <c r="TMQ66" s="610"/>
      <c r="TMR66" s="610"/>
      <c r="TMS66" s="610"/>
      <c r="TMT66" s="610"/>
      <c r="TMU66" s="610"/>
      <c r="TMV66" s="610"/>
      <c r="TMW66" s="610"/>
      <c r="TMX66" s="610"/>
      <c r="TMY66" s="610"/>
      <c r="TMZ66" s="610"/>
      <c r="TNA66" s="610"/>
      <c r="TNB66" s="610"/>
      <c r="TNC66" s="610"/>
      <c r="TND66" s="610"/>
      <c r="TNE66" s="610"/>
      <c r="TNF66" s="610"/>
      <c r="TNG66" s="610"/>
      <c r="TNH66" s="610"/>
      <c r="TNI66" s="610"/>
      <c r="TNJ66" s="610"/>
      <c r="TNK66" s="610"/>
      <c r="TNL66" s="610"/>
      <c r="TNM66" s="610"/>
      <c r="TNN66" s="610"/>
      <c r="TNO66" s="610"/>
      <c r="TNP66" s="610"/>
      <c r="TNQ66" s="610"/>
      <c r="TNR66" s="610"/>
      <c r="TNS66" s="610"/>
      <c r="TNT66" s="610"/>
      <c r="TNU66" s="610"/>
      <c r="TNV66" s="610"/>
      <c r="TNW66" s="610"/>
      <c r="TNX66" s="610"/>
      <c r="TNY66" s="610"/>
      <c r="TNZ66" s="610"/>
      <c r="TOA66" s="610"/>
      <c r="TOB66" s="610"/>
      <c r="TOC66" s="610"/>
      <c r="TOD66" s="610"/>
      <c r="TOE66" s="610"/>
      <c r="TOF66" s="610"/>
      <c r="TOG66" s="610"/>
      <c r="TOH66" s="610"/>
      <c r="TOI66" s="610"/>
      <c r="TOJ66" s="610"/>
      <c r="TOK66" s="610"/>
      <c r="TOL66" s="610"/>
      <c r="TOM66" s="610"/>
      <c r="TON66" s="610"/>
      <c r="TOO66" s="610"/>
      <c r="TOP66" s="610"/>
      <c r="TOQ66" s="610"/>
      <c r="TOR66" s="610"/>
      <c r="TOS66" s="610"/>
      <c r="TOT66" s="610"/>
      <c r="TOU66" s="610"/>
      <c r="TOV66" s="610"/>
      <c r="TOW66" s="610"/>
      <c r="TOX66" s="610"/>
      <c r="TOY66" s="610"/>
      <c r="TOZ66" s="610"/>
      <c r="TPA66" s="610"/>
      <c r="TPB66" s="610"/>
      <c r="TPC66" s="610"/>
      <c r="TPD66" s="610"/>
      <c r="TPE66" s="610"/>
      <c r="TPF66" s="610"/>
      <c r="TPG66" s="610"/>
      <c r="TPH66" s="610"/>
      <c r="TPI66" s="610"/>
      <c r="TPJ66" s="610"/>
      <c r="TPK66" s="610"/>
      <c r="TPL66" s="610"/>
      <c r="TPM66" s="610"/>
      <c r="TPN66" s="610"/>
      <c r="TPO66" s="610"/>
      <c r="TPP66" s="610"/>
      <c r="TPQ66" s="610"/>
      <c r="TPR66" s="610"/>
      <c r="TPS66" s="610"/>
      <c r="TPT66" s="610"/>
      <c r="TPU66" s="610"/>
      <c r="TPV66" s="610"/>
      <c r="TPW66" s="610"/>
      <c r="TPX66" s="610"/>
      <c r="TPY66" s="610"/>
      <c r="TPZ66" s="610"/>
      <c r="TQA66" s="610"/>
      <c r="TQB66" s="610"/>
      <c r="TQC66" s="610"/>
      <c r="TQD66" s="610"/>
      <c r="TQE66" s="610"/>
      <c r="TQF66" s="610"/>
      <c r="TQG66" s="610"/>
      <c r="TQH66" s="610"/>
      <c r="TQI66" s="610"/>
      <c r="TQJ66" s="610"/>
      <c r="TQK66" s="610"/>
      <c r="TQL66" s="610"/>
      <c r="TQM66" s="610"/>
      <c r="TQN66" s="610"/>
      <c r="TQO66" s="610"/>
      <c r="TQP66" s="610"/>
      <c r="TQQ66" s="610"/>
      <c r="TQR66" s="610"/>
      <c r="TQS66" s="610"/>
      <c r="TQT66" s="610"/>
      <c r="TQU66" s="610"/>
      <c r="TQV66" s="610"/>
      <c r="TQW66" s="610"/>
      <c r="TQX66" s="610"/>
      <c r="TQY66" s="610"/>
      <c r="TQZ66" s="610"/>
      <c r="TRA66" s="610"/>
      <c r="TRB66" s="610"/>
      <c r="TRC66" s="610"/>
      <c r="TRD66" s="610"/>
      <c r="TRE66" s="610"/>
      <c r="TRF66" s="610"/>
      <c r="TRG66" s="610"/>
      <c r="TRH66" s="610"/>
      <c r="TRI66" s="610"/>
      <c r="TRJ66" s="610"/>
      <c r="TRK66" s="610"/>
      <c r="TRL66" s="610"/>
      <c r="TRM66" s="610"/>
      <c r="TRN66" s="610"/>
      <c r="TRO66" s="610"/>
      <c r="TRP66" s="610"/>
      <c r="TRQ66" s="610"/>
      <c r="TRR66" s="610"/>
      <c r="TRS66" s="610"/>
      <c r="TRT66" s="610"/>
      <c r="TRU66" s="610"/>
      <c r="TRV66" s="610"/>
      <c r="TRW66" s="610"/>
      <c r="TRX66" s="610"/>
      <c r="TRY66" s="610"/>
      <c r="TRZ66" s="610"/>
      <c r="TSA66" s="610"/>
      <c r="TSB66" s="610"/>
      <c r="TSC66" s="610"/>
      <c r="TSD66" s="610"/>
      <c r="TSE66" s="610"/>
      <c r="TSF66" s="610"/>
      <c r="TSG66" s="610"/>
      <c r="TSH66" s="610"/>
      <c r="TSI66" s="610"/>
      <c r="TSJ66" s="610"/>
      <c r="TSK66" s="610"/>
      <c r="TSL66" s="610"/>
      <c r="TSM66" s="610"/>
      <c r="TSN66" s="610"/>
      <c r="TSO66" s="610"/>
      <c r="TSP66" s="610"/>
      <c r="TSQ66" s="610"/>
      <c r="TSR66" s="610"/>
      <c r="TSS66" s="610"/>
      <c r="TST66" s="610"/>
      <c r="TSU66" s="610"/>
      <c r="TSV66" s="610"/>
      <c r="TSW66" s="610"/>
      <c r="TSX66" s="610"/>
      <c r="TSY66" s="610"/>
      <c r="TSZ66" s="610"/>
      <c r="TTA66" s="610"/>
      <c r="TTB66" s="610"/>
      <c r="TTC66" s="610"/>
      <c r="TTD66" s="610"/>
      <c r="TTE66" s="610"/>
      <c r="TTF66" s="610"/>
      <c r="TTG66" s="610"/>
      <c r="TTH66" s="610"/>
      <c r="TTI66" s="610"/>
      <c r="TTJ66" s="610"/>
      <c r="TTK66" s="610"/>
      <c r="TTL66" s="610"/>
      <c r="TTM66" s="610"/>
      <c r="TTN66" s="610"/>
      <c r="TTO66" s="610"/>
      <c r="TTP66" s="610"/>
      <c r="TTQ66" s="610"/>
      <c r="TTR66" s="610"/>
      <c r="TTS66" s="610"/>
      <c r="TTT66" s="610"/>
      <c r="TTU66" s="610"/>
      <c r="TTV66" s="610"/>
      <c r="TTW66" s="610"/>
      <c r="TTX66" s="610"/>
      <c r="TTY66" s="610"/>
      <c r="TTZ66" s="610"/>
      <c r="TUA66" s="610"/>
      <c r="TUB66" s="610"/>
      <c r="TUC66" s="610"/>
      <c r="TUD66" s="610"/>
      <c r="TUE66" s="610"/>
      <c r="TUF66" s="610"/>
      <c r="TUG66" s="610"/>
      <c r="TUH66" s="610"/>
      <c r="TUI66" s="610"/>
      <c r="TUJ66" s="610"/>
      <c r="TUK66" s="610"/>
      <c r="TUL66" s="610"/>
      <c r="TUM66" s="610"/>
      <c r="TUN66" s="610"/>
      <c r="TUO66" s="610"/>
      <c r="TUP66" s="610"/>
      <c r="TUQ66" s="610"/>
      <c r="TUR66" s="610"/>
      <c r="TUS66" s="610"/>
      <c r="TUT66" s="610"/>
      <c r="TUU66" s="610"/>
      <c r="TUV66" s="610"/>
      <c r="TUW66" s="610"/>
      <c r="TUX66" s="610"/>
      <c r="TUY66" s="610"/>
      <c r="TUZ66" s="610"/>
      <c r="TVA66" s="610"/>
      <c r="TVB66" s="610"/>
      <c r="TVC66" s="610"/>
      <c r="TVD66" s="610"/>
      <c r="TVE66" s="610"/>
      <c r="TVF66" s="610"/>
      <c r="TVG66" s="610"/>
      <c r="TVH66" s="610"/>
      <c r="TVI66" s="610"/>
      <c r="TVJ66" s="610"/>
      <c r="TVK66" s="610"/>
      <c r="TVL66" s="610"/>
      <c r="TVM66" s="610"/>
      <c r="TVN66" s="610"/>
      <c r="TVO66" s="610"/>
      <c r="TVP66" s="610"/>
      <c r="TVQ66" s="610"/>
      <c r="TVR66" s="610"/>
      <c r="TVS66" s="610"/>
      <c r="TVT66" s="610"/>
      <c r="TVU66" s="610"/>
      <c r="TVV66" s="610"/>
      <c r="TVW66" s="610"/>
      <c r="TVX66" s="610"/>
      <c r="TVY66" s="610"/>
      <c r="TVZ66" s="610"/>
      <c r="TWA66" s="610"/>
      <c r="TWB66" s="610"/>
      <c r="TWC66" s="610"/>
      <c r="TWD66" s="610"/>
      <c r="TWE66" s="610"/>
      <c r="TWF66" s="610"/>
      <c r="TWG66" s="610"/>
      <c r="TWH66" s="610"/>
      <c r="TWI66" s="610"/>
      <c r="TWJ66" s="610"/>
      <c r="TWK66" s="610"/>
      <c r="TWL66" s="610"/>
      <c r="TWM66" s="610"/>
      <c r="TWN66" s="610"/>
      <c r="TWO66" s="610"/>
      <c r="TWP66" s="610"/>
      <c r="TWQ66" s="610"/>
      <c r="TWR66" s="610"/>
      <c r="TWS66" s="610"/>
      <c r="TWT66" s="610"/>
      <c r="TWU66" s="610"/>
      <c r="TWV66" s="610"/>
      <c r="TWW66" s="610"/>
      <c r="TWX66" s="610"/>
      <c r="TWY66" s="610"/>
      <c r="TWZ66" s="610"/>
      <c r="TXA66" s="610"/>
      <c r="TXB66" s="610"/>
      <c r="TXC66" s="610"/>
      <c r="TXD66" s="610"/>
      <c r="TXE66" s="610"/>
      <c r="TXF66" s="610"/>
      <c r="TXG66" s="610"/>
      <c r="TXH66" s="610"/>
      <c r="TXI66" s="610"/>
      <c r="TXJ66" s="610"/>
      <c r="TXK66" s="610"/>
      <c r="TXL66" s="610"/>
      <c r="TXM66" s="610"/>
      <c r="TXN66" s="610"/>
      <c r="TXO66" s="610"/>
      <c r="TXP66" s="610"/>
      <c r="TXQ66" s="610"/>
      <c r="TXR66" s="610"/>
      <c r="TXS66" s="610"/>
      <c r="TXT66" s="610"/>
      <c r="TXU66" s="610"/>
      <c r="TXV66" s="610"/>
      <c r="TXW66" s="610"/>
      <c r="TXX66" s="610"/>
      <c r="TXY66" s="610"/>
      <c r="TXZ66" s="610"/>
      <c r="TYA66" s="610"/>
      <c r="TYB66" s="610"/>
      <c r="TYC66" s="610"/>
      <c r="TYD66" s="610"/>
      <c r="TYE66" s="610"/>
      <c r="TYF66" s="610"/>
      <c r="TYG66" s="610"/>
      <c r="TYH66" s="610"/>
      <c r="TYI66" s="610"/>
      <c r="TYJ66" s="610"/>
      <c r="TYK66" s="610"/>
      <c r="TYL66" s="610"/>
      <c r="TYM66" s="610"/>
      <c r="TYN66" s="610"/>
      <c r="TYO66" s="610"/>
      <c r="TYP66" s="610"/>
      <c r="TYQ66" s="610"/>
      <c r="TYR66" s="610"/>
      <c r="TYS66" s="610"/>
      <c r="TYT66" s="610"/>
      <c r="TYU66" s="610"/>
      <c r="TYV66" s="610"/>
      <c r="TYW66" s="610"/>
      <c r="TYX66" s="610"/>
      <c r="TYY66" s="610"/>
      <c r="TYZ66" s="610"/>
      <c r="TZA66" s="610"/>
      <c r="TZB66" s="610"/>
      <c r="TZC66" s="610"/>
      <c r="TZD66" s="610"/>
      <c r="TZE66" s="610"/>
      <c r="TZF66" s="610"/>
      <c r="TZG66" s="610"/>
      <c r="TZH66" s="610"/>
      <c r="TZI66" s="610"/>
      <c r="TZJ66" s="610"/>
      <c r="TZK66" s="610"/>
      <c r="TZL66" s="610"/>
      <c r="TZM66" s="610"/>
      <c r="TZN66" s="610"/>
      <c r="TZO66" s="610"/>
      <c r="TZP66" s="610"/>
      <c r="TZQ66" s="610"/>
      <c r="TZR66" s="610"/>
      <c r="TZS66" s="610"/>
      <c r="TZT66" s="610"/>
      <c r="TZU66" s="610"/>
      <c r="TZV66" s="610"/>
      <c r="TZW66" s="610"/>
      <c r="TZX66" s="610"/>
      <c r="TZY66" s="610"/>
      <c r="TZZ66" s="610"/>
      <c r="UAA66" s="610"/>
      <c r="UAB66" s="610"/>
      <c r="UAC66" s="610"/>
      <c r="UAD66" s="610"/>
      <c r="UAE66" s="610"/>
      <c r="UAF66" s="610"/>
      <c r="UAG66" s="610"/>
      <c r="UAH66" s="610"/>
      <c r="UAI66" s="610"/>
      <c r="UAJ66" s="610"/>
      <c r="UAK66" s="610"/>
      <c r="UAL66" s="610"/>
      <c r="UAM66" s="610"/>
      <c r="UAN66" s="610"/>
      <c r="UAO66" s="610"/>
      <c r="UAP66" s="610"/>
      <c r="UAQ66" s="610"/>
      <c r="UAR66" s="610"/>
      <c r="UAS66" s="610"/>
      <c r="UAT66" s="610"/>
      <c r="UAU66" s="610"/>
      <c r="UAV66" s="610"/>
      <c r="UAW66" s="610"/>
      <c r="UAX66" s="610"/>
      <c r="UAY66" s="610"/>
      <c r="UAZ66" s="610"/>
      <c r="UBA66" s="610"/>
      <c r="UBB66" s="610"/>
      <c r="UBC66" s="610"/>
      <c r="UBD66" s="610"/>
      <c r="UBE66" s="610"/>
      <c r="UBF66" s="610"/>
      <c r="UBG66" s="610"/>
      <c r="UBH66" s="610"/>
      <c r="UBI66" s="610"/>
      <c r="UBJ66" s="610"/>
      <c r="UBK66" s="610"/>
      <c r="UBL66" s="610"/>
      <c r="UBM66" s="610"/>
      <c r="UBN66" s="610"/>
      <c r="UBO66" s="610"/>
      <c r="UBP66" s="610"/>
      <c r="UBQ66" s="610"/>
      <c r="UBR66" s="610"/>
      <c r="UBS66" s="610"/>
      <c r="UBT66" s="610"/>
      <c r="UBU66" s="610"/>
      <c r="UBV66" s="610"/>
      <c r="UBW66" s="610"/>
      <c r="UBX66" s="610"/>
      <c r="UBY66" s="610"/>
      <c r="UBZ66" s="610"/>
      <c r="UCA66" s="610"/>
      <c r="UCB66" s="610"/>
      <c r="UCC66" s="610"/>
      <c r="UCD66" s="610"/>
      <c r="UCE66" s="610"/>
      <c r="UCF66" s="610"/>
      <c r="UCG66" s="610"/>
      <c r="UCH66" s="610"/>
      <c r="UCI66" s="610"/>
      <c r="UCJ66" s="610"/>
      <c r="UCK66" s="610"/>
      <c r="UCL66" s="610"/>
      <c r="UCM66" s="610"/>
      <c r="UCN66" s="610"/>
      <c r="UCO66" s="610"/>
      <c r="UCP66" s="610"/>
      <c r="UCQ66" s="610"/>
      <c r="UCR66" s="610"/>
      <c r="UCS66" s="610"/>
      <c r="UCT66" s="610"/>
      <c r="UCU66" s="610"/>
      <c r="UCV66" s="610"/>
      <c r="UCW66" s="610"/>
      <c r="UCX66" s="610"/>
      <c r="UCY66" s="610"/>
      <c r="UCZ66" s="610"/>
      <c r="UDA66" s="610"/>
      <c r="UDB66" s="610"/>
      <c r="UDC66" s="610"/>
      <c r="UDD66" s="610"/>
      <c r="UDE66" s="610"/>
      <c r="UDF66" s="610"/>
      <c r="UDG66" s="610"/>
      <c r="UDH66" s="610"/>
      <c r="UDI66" s="610"/>
      <c r="UDJ66" s="610"/>
      <c r="UDK66" s="610"/>
      <c r="UDL66" s="610"/>
      <c r="UDM66" s="610"/>
      <c r="UDN66" s="610"/>
      <c r="UDO66" s="610"/>
      <c r="UDP66" s="610"/>
      <c r="UDQ66" s="610"/>
      <c r="UDR66" s="610"/>
      <c r="UDS66" s="610"/>
      <c r="UDT66" s="610"/>
      <c r="UDU66" s="610"/>
      <c r="UDV66" s="610"/>
      <c r="UDW66" s="610"/>
      <c r="UDX66" s="610"/>
      <c r="UDY66" s="610"/>
      <c r="UDZ66" s="610"/>
      <c r="UEA66" s="610"/>
      <c r="UEB66" s="610"/>
      <c r="UEC66" s="610"/>
      <c r="UED66" s="610"/>
      <c r="UEE66" s="610"/>
      <c r="UEF66" s="610"/>
      <c r="UEG66" s="610"/>
      <c r="UEH66" s="610"/>
      <c r="UEI66" s="610"/>
      <c r="UEJ66" s="610"/>
      <c r="UEK66" s="610"/>
      <c r="UEL66" s="610"/>
      <c r="UEM66" s="610"/>
      <c r="UEN66" s="610"/>
      <c r="UEO66" s="610"/>
      <c r="UEP66" s="610"/>
      <c r="UEQ66" s="610"/>
      <c r="UER66" s="610"/>
      <c r="UES66" s="610"/>
      <c r="UET66" s="610"/>
      <c r="UEU66" s="610"/>
      <c r="UEV66" s="610"/>
      <c r="UEW66" s="610"/>
      <c r="UEX66" s="610"/>
      <c r="UEY66" s="610"/>
      <c r="UEZ66" s="610"/>
      <c r="UFA66" s="610"/>
      <c r="UFB66" s="610"/>
      <c r="UFC66" s="610"/>
      <c r="UFD66" s="610"/>
      <c r="UFE66" s="610"/>
      <c r="UFF66" s="610"/>
      <c r="UFG66" s="610"/>
      <c r="UFH66" s="610"/>
      <c r="UFI66" s="610"/>
      <c r="UFJ66" s="610"/>
      <c r="UFK66" s="610"/>
      <c r="UFL66" s="610"/>
      <c r="UFM66" s="610"/>
      <c r="UFN66" s="610"/>
      <c r="UFO66" s="610"/>
      <c r="UFP66" s="610"/>
      <c r="UFQ66" s="610"/>
      <c r="UFR66" s="610"/>
      <c r="UFS66" s="610"/>
      <c r="UFT66" s="610"/>
      <c r="UFU66" s="610"/>
      <c r="UFV66" s="610"/>
      <c r="UFW66" s="610"/>
      <c r="UFX66" s="610"/>
      <c r="UFY66" s="610"/>
      <c r="UFZ66" s="610"/>
      <c r="UGA66" s="610"/>
      <c r="UGB66" s="610"/>
      <c r="UGC66" s="610"/>
      <c r="UGD66" s="610"/>
      <c r="UGE66" s="610"/>
      <c r="UGF66" s="610"/>
      <c r="UGG66" s="610"/>
      <c r="UGH66" s="610"/>
      <c r="UGI66" s="610"/>
      <c r="UGJ66" s="610"/>
      <c r="UGK66" s="610"/>
      <c r="UGL66" s="610"/>
      <c r="UGM66" s="610"/>
      <c r="UGN66" s="610"/>
      <c r="UGO66" s="610"/>
      <c r="UGP66" s="610"/>
      <c r="UGQ66" s="610"/>
      <c r="UGR66" s="610"/>
      <c r="UGS66" s="610"/>
      <c r="UGT66" s="610"/>
      <c r="UGU66" s="610"/>
      <c r="UGV66" s="610"/>
      <c r="UGW66" s="610"/>
      <c r="UGX66" s="610"/>
      <c r="UGY66" s="610"/>
      <c r="UGZ66" s="610"/>
      <c r="UHA66" s="610"/>
      <c r="UHB66" s="610"/>
      <c r="UHC66" s="610"/>
      <c r="UHD66" s="610"/>
      <c r="UHE66" s="610"/>
      <c r="UHF66" s="610"/>
      <c r="UHG66" s="610"/>
      <c r="UHH66" s="610"/>
      <c r="UHI66" s="610"/>
      <c r="UHJ66" s="610"/>
      <c r="UHK66" s="610"/>
      <c r="UHL66" s="610"/>
      <c r="UHM66" s="610"/>
      <c r="UHN66" s="610"/>
      <c r="UHO66" s="610"/>
      <c r="UHP66" s="610"/>
      <c r="UHQ66" s="610"/>
      <c r="UHR66" s="610"/>
      <c r="UHS66" s="610"/>
      <c r="UHT66" s="610"/>
      <c r="UHU66" s="610"/>
      <c r="UHV66" s="610"/>
      <c r="UHW66" s="610"/>
      <c r="UHX66" s="610"/>
      <c r="UHY66" s="610"/>
      <c r="UHZ66" s="610"/>
      <c r="UIA66" s="610"/>
      <c r="UIB66" s="610"/>
      <c r="UIC66" s="610"/>
      <c r="UID66" s="610"/>
      <c r="UIE66" s="610"/>
      <c r="UIF66" s="610"/>
      <c r="UIG66" s="610"/>
      <c r="UIH66" s="610"/>
      <c r="UII66" s="610"/>
      <c r="UIJ66" s="610"/>
      <c r="UIK66" s="610"/>
      <c r="UIL66" s="610"/>
      <c r="UIM66" s="610"/>
      <c r="UIN66" s="610"/>
      <c r="UIO66" s="610"/>
      <c r="UIP66" s="610"/>
      <c r="UIQ66" s="610"/>
      <c r="UIR66" s="610"/>
      <c r="UIS66" s="610"/>
      <c r="UIT66" s="610"/>
      <c r="UIU66" s="610"/>
      <c r="UIV66" s="610"/>
      <c r="UIW66" s="610"/>
      <c r="UIX66" s="610"/>
      <c r="UIY66" s="610"/>
      <c r="UIZ66" s="610"/>
      <c r="UJA66" s="610"/>
      <c r="UJB66" s="610"/>
      <c r="UJC66" s="610"/>
      <c r="UJD66" s="610"/>
      <c r="UJE66" s="610"/>
      <c r="UJF66" s="610"/>
      <c r="UJG66" s="610"/>
      <c r="UJH66" s="610"/>
      <c r="UJI66" s="610"/>
      <c r="UJJ66" s="610"/>
      <c r="UJK66" s="610"/>
      <c r="UJL66" s="610"/>
      <c r="UJM66" s="610"/>
      <c r="UJN66" s="610"/>
      <c r="UJO66" s="610"/>
      <c r="UJP66" s="610"/>
      <c r="UJQ66" s="610"/>
      <c r="UJR66" s="610"/>
      <c r="UJS66" s="610"/>
      <c r="UJT66" s="610"/>
      <c r="UJU66" s="610"/>
      <c r="UJV66" s="610"/>
      <c r="UJW66" s="610"/>
      <c r="UJX66" s="610"/>
      <c r="UJY66" s="610"/>
      <c r="UJZ66" s="610"/>
      <c r="UKA66" s="610"/>
      <c r="UKB66" s="610"/>
      <c r="UKC66" s="610"/>
      <c r="UKD66" s="610"/>
      <c r="UKE66" s="610"/>
      <c r="UKF66" s="610"/>
      <c r="UKG66" s="610"/>
      <c r="UKH66" s="610"/>
      <c r="UKI66" s="610"/>
      <c r="UKJ66" s="610"/>
      <c r="UKK66" s="610"/>
      <c r="UKL66" s="610"/>
      <c r="UKM66" s="610"/>
      <c r="UKN66" s="610"/>
      <c r="UKO66" s="610"/>
      <c r="UKP66" s="610"/>
      <c r="UKQ66" s="610"/>
      <c r="UKR66" s="610"/>
      <c r="UKS66" s="610"/>
      <c r="UKT66" s="610"/>
      <c r="UKU66" s="610"/>
      <c r="UKV66" s="610"/>
      <c r="UKW66" s="610"/>
      <c r="UKX66" s="610"/>
      <c r="UKY66" s="610"/>
      <c r="UKZ66" s="610"/>
      <c r="ULA66" s="610"/>
      <c r="ULB66" s="610"/>
      <c r="ULC66" s="610"/>
      <c r="ULD66" s="610"/>
      <c r="ULE66" s="610"/>
      <c r="ULF66" s="610"/>
      <c r="ULG66" s="610"/>
      <c r="ULH66" s="610"/>
      <c r="ULI66" s="610"/>
      <c r="ULJ66" s="610"/>
      <c r="ULK66" s="610"/>
      <c r="ULL66" s="610"/>
      <c r="ULM66" s="610"/>
      <c r="ULN66" s="610"/>
      <c r="ULO66" s="610"/>
      <c r="ULP66" s="610"/>
      <c r="ULQ66" s="610"/>
      <c r="ULR66" s="610"/>
      <c r="ULS66" s="610"/>
      <c r="ULT66" s="610"/>
      <c r="ULU66" s="610"/>
      <c r="ULV66" s="610"/>
      <c r="ULW66" s="610"/>
      <c r="ULX66" s="610"/>
      <c r="ULY66" s="610"/>
      <c r="ULZ66" s="610"/>
      <c r="UMA66" s="610"/>
      <c r="UMB66" s="610"/>
      <c r="UMC66" s="610"/>
      <c r="UMD66" s="610"/>
      <c r="UME66" s="610"/>
      <c r="UMF66" s="610"/>
      <c r="UMG66" s="610"/>
      <c r="UMH66" s="610"/>
      <c r="UMI66" s="610"/>
      <c r="UMJ66" s="610"/>
      <c r="UMK66" s="610"/>
      <c r="UML66" s="610"/>
      <c r="UMM66" s="610"/>
      <c r="UMN66" s="610"/>
      <c r="UMO66" s="610"/>
      <c r="UMP66" s="610"/>
      <c r="UMQ66" s="610"/>
      <c r="UMR66" s="610"/>
      <c r="UMS66" s="610"/>
      <c r="UMT66" s="610"/>
      <c r="UMU66" s="610"/>
      <c r="UMV66" s="610"/>
      <c r="UMW66" s="610"/>
      <c r="UMX66" s="610"/>
      <c r="UMY66" s="610"/>
      <c r="UMZ66" s="610"/>
      <c r="UNA66" s="610"/>
      <c r="UNB66" s="610"/>
      <c r="UNC66" s="610"/>
      <c r="UND66" s="610"/>
      <c r="UNE66" s="610"/>
      <c r="UNF66" s="610"/>
      <c r="UNG66" s="610"/>
      <c r="UNH66" s="610"/>
      <c r="UNI66" s="610"/>
      <c r="UNJ66" s="610"/>
      <c r="UNK66" s="610"/>
      <c r="UNL66" s="610"/>
      <c r="UNM66" s="610"/>
      <c r="UNN66" s="610"/>
      <c r="UNO66" s="610"/>
      <c r="UNP66" s="610"/>
      <c r="UNQ66" s="610"/>
      <c r="UNR66" s="610"/>
      <c r="UNS66" s="610"/>
      <c r="UNT66" s="610"/>
      <c r="UNU66" s="610"/>
      <c r="UNV66" s="610"/>
      <c r="UNW66" s="610"/>
      <c r="UNX66" s="610"/>
      <c r="UNY66" s="610"/>
      <c r="UNZ66" s="610"/>
      <c r="UOA66" s="610"/>
      <c r="UOB66" s="610"/>
      <c r="UOC66" s="610"/>
      <c r="UOD66" s="610"/>
      <c r="UOE66" s="610"/>
      <c r="UOF66" s="610"/>
      <c r="UOG66" s="610"/>
      <c r="UOH66" s="610"/>
      <c r="UOI66" s="610"/>
      <c r="UOJ66" s="610"/>
      <c r="UOK66" s="610"/>
      <c r="UOL66" s="610"/>
      <c r="UOM66" s="610"/>
      <c r="UON66" s="610"/>
      <c r="UOO66" s="610"/>
      <c r="UOP66" s="610"/>
      <c r="UOQ66" s="610"/>
      <c r="UOR66" s="610"/>
      <c r="UOS66" s="610"/>
      <c r="UOT66" s="610"/>
      <c r="UOU66" s="610"/>
      <c r="UOV66" s="610"/>
      <c r="UOW66" s="610"/>
      <c r="UOX66" s="610"/>
      <c r="UOY66" s="610"/>
      <c r="UOZ66" s="610"/>
      <c r="UPA66" s="610"/>
      <c r="UPB66" s="610"/>
      <c r="UPC66" s="610"/>
      <c r="UPD66" s="610"/>
      <c r="UPE66" s="610"/>
      <c r="UPF66" s="610"/>
      <c r="UPG66" s="610"/>
      <c r="UPH66" s="610"/>
      <c r="UPI66" s="610"/>
      <c r="UPJ66" s="610"/>
      <c r="UPK66" s="610"/>
      <c r="UPL66" s="610"/>
      <c r="UPM66" s="610"/>
      <c r="UPN66" s="610"/>
      <c r="UPO66" s="610"/>
      <c r="UPP66" s="610"/>
      <c r="UPQ66" s="610"/>
      <c r="UPR66" s="610"/>
      <c r="UPS66" s="610"/>
      <c r="UPT66" s="610"/>
      <c r="UPU66" s="610"/>
      <c r="UPV66" s="610"/>
      <c r="UPW66" s="610"/>
      <c r="UPX66" s="610"/>
      <c r="UPY66" s="610"/>
      <c r="UPZ66" s="610"/>
      <c r="UQA66" s="610"/>
      <c r="UQB66" s="610"/>
      <c r="UQC66" s="610"/>
      <c r="UQD66" s="610"/>
      <c r="UQE66" s="610"/>
      <c r="UQF66" s="610"/>
      <c r="UQG66" s="610"/>
      <c r="UQH66" s="610"/>
      <c r="UQI66" s="610"/>
      <c r="UQJ66" s="610"/>
      <c r="UQK66" s="610"/>
      <c r="UQL66" s="610"/>
      <c r="UQM66" s="610"/>
      <c r="UQN66" s="610"/>
      <c r="UQO66" s="610"/>
      <c r="UQP66" s="610"/>
      <c r="UQQ66" s="610"/>
      <c r="UQR66" s="610"/>
      <c r="UQS66" s="610"/>
      <c r="UQT66" s="610"/>
      <c r="UQU66" s="610"/>
      <c r="UQV66" s="610"/>
      <c r="UQW66" s="610"/>
      <c r="UQX66" s="610"/>
      <c r="UQY66" s="610"/>
      <c r="UQZ66" s="610"/>
      <c r="URA66" s="610"/>
      <c r="URB66" s="610"/>
      <c r="URC66" s="610"/>
      <c r="URD66" s="610"/>
      <c r="URE66" s="610"/>
      <c r="URF66" s="610"/>
      <c r="URG66" s="610"/>
      <c r="URH66" s="610"/>
      <c r="URI66" s="610"/>
      <c r="URJ66" s="610"/>
      <c r="URK66" s="610"/>
      <c r="URL66" s="610"/>
      <c r="URM66" s="610"/>
      <c r="URN66" s="610"/>
      <c r="URO66" s="610"/>
      <c r="URP66" s="610"/>
      <c r="URQ66" s="610"/>
      <c r="URR66" s="610"/>
      <c r="URS66" s="610"/>
      <c r="URT66" s="610"/>
      <c r="URU66" s="610"/>
      <c r="URV66" s="610"/>
      <c r="URW66" s="610"/>
      <c r="URX66" s="610"/>
      <c r="URY66" s="610"/>
      <c r="URZ66" s="610"/>
      <c r="USA66" s="610"/>
      <c r="USB66" s="610"/>
      <c r="USC66" s="610"/>
      <c r="USD66" s="610"/>
      <c r="USE66" s="610"/>
      <c r="USF66" s="610"/>
      <c r="USG66" s="610"/>
      <c r="USH66" s="610"/>
      <c r="USI66" s="610"/>
      <c r="USJ66" s="610"/>
      <c r="USK66" s="610"/>
      <c r="USL66" s="610"/>
      <c r="USM66" s="610"/>
      <c r="USN66" s="610"/>
      <c r="USO66" s="610"/>
      <c r="USP66" s="610"/>
      <c r="USQ66" s="610"/>
      <c r="USR66" s="610"/>
      <c r="USS66" s="610"/>
      <c r="UST66" s="610"/>
      <c r="USU66" s="610"/>
      <c r="USV66" s="610"/>
      <c r="USW66" s="610"/>
      <c r="USX66" s="610"/>
      <c r="USY66" s="610"/>
      <c r="USZ66" s="610"/>
      <c r="UTA66" s="610"/>
      <c r="UTB66" s="610"/>
      <c r="UTC66" s="610"/>
      <c r="UTD66" s="610"/>
      <c r="UTE66" s="610"/>
      <c r="UTF66" s="610"/>
      <c r="UTG66" s="610"/>
      <c r="UTH66" s="610"/>
      <c r="UTI66" s="610"/>
      <c r="UTJ66" s="610"/>
      <c r="UTK66" s="610"/>
      <c r="UTL66" s="610"/>
      <c r="UTM66" s="610"/>
      <c r="UTN66" s="610"/>
      <c r="UTO66" s="610"/>
      <c r="UTP66" s="610"/>
      <c r="UTQ66" s="610"/>
      <c r="UTR66" s="610"/>
      <c r="UTS66" s="610"/>
      <c r="UTT66" s="610"/>
      <c r="UTU66" s="610"/>
      <c r="UTV66" s="610"/>
      <c r="UTW66" s="610"/>
      <c r="UTX66" s="610"/>
      <c r="UTY66" s="610"/>
      <c r="UTZ66" s="610"/>
      <c r="UUA66" s="610"/>
      <c r="UUB66" s="610"/>
      <c r="UUC66" s="610"/>
      <c r="UUD66" s="610"/>
      <c r="UUE66" s="610"/>
      <c r="UUF66" s="610"/>
      <c r="UUG66" s="610"/>
      <c r="UUH66" s="610"/>
      <c r="UUI66" s="610"/>
      <c r="UUJ66" s="610"/>
      <c r="UUK66" s="610"/>
      <c r="UUL66" s="610"/>
      <c r="UUM66" s="610"/>
      <c r="UUN66" s="610"/>
      <c r="UUO66" s="610"/>
      <c r="UUP66" s="610"/>
      <c r="UUQ66" s="610"/>
      <c r="UUR66" s="610"/>
      <c r="UUS66" s="610"/>
      <c r="UUT66" s="610"/>
      <c r="UUU66" s="610"/>
      <c r="UUV66" s="610"/>
      <c r="UUW66" s="610"/>
      <c r="UUX66" s="610"/>
      <c r="UUY66" s="610"/>
      <c r="UUZ66" s="610"/>
      <c r="UVA66" s="610"/>
      <c r="UVB66" s="610"/>
      <c r="UVC66" s="610"/>
      <c r="UVD66" s="610"/>
      <c r="UVE66" s="610"/>
      <c r="UVF66" s="610"/>
      <c r="UVG66" s="610"/>
      <c r="UVH66" s="610"/>
      <c r="UVI66" s="610"/>
      <c r="UVJ66" s="610"/>
      <c r="UVK66" s="610"/>
      <c r="UVL66" s="610"/>
      <c r="UVM66" s="610"/>
      <c r="UVN66" s="610"/>
      <c r="UVO66" s="610"/>
      <c r="UVP66" s="610"/>
      <c r="UVQ66" s="610"/>
      <c r="UVR66" s="610"/>
      <c r="UVS66" s="610"/>
      <c r="UVT66" s="610"/>
      <c r="UVU66" s="610"/>
      <c r="UVV66" s="610"/>
      <c r="UVW66" s="610"/>
      <c r="UVX66" s="610"/>
      <c r="UVY66" s="610"/>
      <c r="UVZ66" s="610"/>
      <c r="UWA66" s="610"/>
      <c r="UWB66" s="610"/>
      <c r="UWC66" s="610"/>
      <c r="UWD66" s="610"/>
      <c r="UWE66" s="610"/>
      <c r="UWF66" s="610"/>
      <c r="UWG66" s="610"/>
      <c r="UWH66" s="610"/>
      <c r="UWI66" s="610"/>
      <c r="UWJ66" s="610"/>
      <c r="UWK66" s="610"/>
      <c r="UWL66" s="610"/>
      <c r="UWM66" s="610"/>
      <c r="UWN66" s="610"/>
      <c r="UWO66" s="610"/>
      <c r="UWP66" s="610"/>
      <c r="UWQ66" s="610"/>
      <c r="UWR66" s="610"/>
      <c r="UWS66" s="610"/>
      <c r="UWT66" s="610"/>
      <c r="UWU66" s="610"/>
      <c r="UWV66" s="610"/>
      <c r="UWW66" s="610"/>
      <c r="UWX66" s="610"/>
      <c r="UWY66" s="610"/>
      <c r="UWZ66" s="610"/>
      <c r="UXA66" s="610"/>
      <c r="UXB66" s="610"/>
      <c r="UXC66" s="610"/>
      <c r="UXD66" s="610"/>
      <c r="UXE66" s="610"/>
      <c r="UXF66" s="610"/>
      <c r="UXG66" s="610"/>
      <c r="UXH66" s="610"/>
      <c r="UXI66" s="610"/>
      <c r="UXJ66" s="610"/>
      <c r="UXK66" s="610"/>
      <c r="UXL66" s="610"/>
      <c r="UXM66" s="610"/>
      <c r="UXN66" s="610"/>
      <c r="UXO66" s="610"/>
      <c r="UXP66" s="610"/>
      <c r="UXQ66" s="610"/>
      <c r="UXR66" s="610"/>
      <c r="UXS66" s="610"/>
      <c r="UXT66" s="610"/>
      <c r="UXU66" s="610"/>
      <c r="UXV66" s="610"/>
      <c r="UXW66" s="610"/>
      <c r="UXX66" s="610"/>
      <c r="UXY66" s="610"/>
      <c r="UXZ66" s="610"/>
      <c r="UYA66" s="610"/>
      <c r="UYB66" s="610"/>
      <c r="UYC66" s="610"/>
      <c r="UYD66" s="610"/>
      <c r="UYE66" s="610"/>
      <c r="UYF66" s="610"/>
      <c r="UYG66" s="610"/>
      <c r="UYH66" s="610"/>
      <c r="UYI66" s="610"/>
      <c r="UYJ66" s="610"/>
      <c r="UYK66" s="610"/>
      <c r="UYL66" s="610"/>
      <c r="UYM66" s="610"/>
      <c r="UYN66" s="610"/>
      <c r="UYO66" s="610"/>
      <c r="UYP66" s="610"/>
      <c r="UYQ66" s="610"/>
      <c r="UYR66" s="610"/>
      <c r="UYS66" s="610"/>
      <c r="UYT66" s="610"/>
      <c r="UYU66" s="610"/>
      <c r="UYV66" s="610"/>
      <c r="UYW66" s="610"/>
      <c r="UYX66" s="610"/>
      <c r="UYY66" s="610"/>
      <c r="UYZ66" s="610"/>
      <c r="UZA66" s="610"/>
      <c r="UZB66" s="610"/>
      <c r="UZC66" s="610"/>
      <c r="UZD66" s="610"/>
      <c r="UZE66" s="610"/>
      <c r="UZF66" s="610"/>
      <c r="UZG66" s="610"/>
      <c r="UZH66" s="610"/>
      <c r="UZI66" s="610"/>
      <c r="UZJ66" s="610"/>
      <c r="UZK66" s="610"/>
      <c r="UZL66" s="610"/>
      <c r="UZM66" s="610"/>
      <c r="UZN66" s="610"/>
      <c r="UZO66" s="610"/>
      <c r="UZP66" s="610"/>
      <c r="UZQ66" s="610"/>
      <c r="UZR66" s="610"/>
      <c r="UZS66" s="610"/>
      <c r="UZT66" s="610"/>
      <c r="UZU66" s="610"/>
      <c r="UZV66" s="610"/>
      <c r="UZW66" s="610"/>
      <c r="UZX66" s="610"/>
      <c r="UZY66" s="610"/>
      <c r="UZZ66" s="610"/>
      <c r="VAA66" s="610"/>
      <c r="VAB66" s="610"/>
      <c r="VAC66" s="610"/>
      <c r="VAD66" s="610"/>
      <c r="VAE66" s="610"/>
      <c r="VAF66" s="610"/>
      <c r="VAG66" s="610"/>
      <c r="VAH66" s="610"/>
      <c r="VAI66" s="610"/>
      <c r="VAJ66" s="610"/>
      <c r="VAK66" s="610"/>
      <c r="VAL66" s="610"/>
      <c r="VAM66" s="610"/>
      <c r="VAN66" s="610"/>
      <c r="VAO66" s="610"/>
      <c r="VAP66" s="610"/>
      <c r="VAQ66" s="610"/>
      <c r="VAR66" s="610"/>
      <c r="VAS66" s="610"/>
      <c r="VAT66" s="610"/>
      <c r="VAU66" s="610"/>
      <c r="VAV66" s="610"/>
      <c r="VAW66" s="610"/>
      <c r="VAX66" s="610"/>
      <c r="VAY66" s="610"/>
      <c r="VAZ66" s="610"/>
      <c r="VBA66" s="610"/>
      <c r="VBB66" s="610"/>
      <c r="VBC66" s="610"/>
      <c r="VBD66" s="610"/>
      <c r="VBE66" s="610"/>
      <c r="VBF66" s="610"/>
      <c r="VBG66" s="610"/>
      <c r="VBH66" s="610"/>
      <c r="VBI66" s="610"/>
      <c r="VBJ66" s="610"/>
      <c r="VBK66" s="610"/>
      <c r="VBL66" s="610"/>
      <c r="VBM66" s="610"/>
      <c r="VBN66" s="610"/>
      <c r="VBO66" s="610"/>
      <c r="VBP66" s="610"/>
      <c r="VBQ66" s="610"/>
      <c r="VBR66" s="610"/>
      <c r="VBS66" s="610"/>
      <c r="VBT66" s="610"/>
      <c r="VBU66" s="610"/>
      <c r="VBV66" s="610"/>
      <c r="VBW66" s="610"/>
      <c r="VBX66" s="610"/>
      <c r="VBY66" s="610"/>
      <c r="VBZ66" s="610"/>
      <c r="VCA66" s="610"/>
      <c r="VCB66" s="610"/>
      <c r="VCC66" s="610"/>
      <c r="VCD66" s="610"/>
      <c r="VCE66" s="610"/>
      <c r="VCF66" s="610"/>
      <c r="VCG66" s="610"/>
      <c r="VCH66" s="610"/>
      <c r="VCI66" s="610"/>
      <c r="VCJ66" s="610"/>
      <c r="VCK66" s="610"/>
      <c r="VCL66" s="610"/>
      <c r="VCM66" s="610"/>
      <c r="VCN66" s="610"/>
      <c r="VCO66" s="610"/>
      <c r="VCP66" s="610"/>
      <c r="VCQ66" s="610"/>
      <c r="VCR66" s="610"/>
      <c r="VCS66" s="610"/>
      <c r="VCT66" s="610"/>
      <c r="VCU66" s="610"/>
      <c r="VCV66" s="610"/>
      <c r="VCW66" s="610"/>
      <c r="VCX66" s="610"/>
      <c r="VCY66" s="610"/>
      <c r="VCZ66" s="610"/>
      <c r="VDA66" s="610"/>
      <c r="VDB66" s="610"/>
      <c r="VDC66" s="610"/>
      <c r="VDD66" s="610"/>
      <c r="VDE66" s="610"/>
      <c r="VDF66" s="610"/>
      <c r="VDG66" s="610"/>
      <c r="VDH66" s="610"/>
      <c r="VDI66" s="610"/>
      <c r="VDJ66" s="610"/>
      <c r="VDK66" s="610"/>
      <c r="VDL66" s="610"/>
      <c r="VDM66" s="610"/>
      <c r="VDN66" s="610"/>
      <c r="VDO66" s="610"/>
      <c r="VDP66" s="610"/>
      <c r="VDQ66" s="610"/>
      <c r="VDR66" s="610"/>
      <c r="VDS66" s="610"/>
      <c r="VDT66" s="610"/>
      <c r="VDU66" s="610"/>
      <c r="VDV66" s="610"/>
      <c r="VDW66" s="610"/>
      <c r="VDX66" s="610"/>
      <c r="VDY66" s="610"/>
      <c r="VDZ66" s="610"/>
      <c r="VEA66" s="610"/>
      <c r="VEB66" s="610"/>
      <c r="VEC66" s="610"/>
      <c r="VED66" s="610"/>
      <c r="VEE66" s="610"/>
      <c r="VEF66" s="610"/>
      <c r="VEG66" s="610"/>
      <c r="VEH66" s="610"/>
      <c r="VEI66" s="610"/>
      <c r="VEJ66" s="610"/>
      <c r="VEK66" s="610"/>
      <c r="VEL66" s="610"/>
      <c r="VEM66" s="610"/>
      <c r="VEN66" s="610"/>
      <c r="VEO66" s="610"/>
      <c r="VEP66" s="610"/>
      <c r="VEQ66" s="610"/>
      <c r="VER66" s="610"/>
      <c r="VES66" s="610"/>
      <c r="VET66" s="610"/>
      <c r="VEU66" s="610"/>
      <c r="VEV66" s="610"/>
      <c r="VEW66" s="610"/>
      <c r="VEX66" s="610"/>
      <c r="VEY66" s="610"/>
      <c r="VEZ66" s="610"/>
      <c r="VFA66" s="610"/>
      <c r="VFB66" s="610"/>
      <c r="VFC66" s="610"/>
      <c r="VFD66" s="610"/>
      <c r="VFE66" s="610"/>
      <c r="VFF66" s="610"/>
      <c r="VFG66" s="610"/>
      <c r="VFH66" s="610"/>
      <c r="VFI66" s="610"/>
      <c r="VFJ66" s="610"/>
      <c r="VFK66" s="610"/>
      <c r="VFL66" s="610"/>
      <c r="VFM66" s="610"/>
      <c r="VFN66" s="610"/>
      <c r="VFO66" s="610"/>
      <c r="VFP66" s="610"/>
      <c r="VFQ66" s="610"/>
      <c r="VFR66" s="610"/>
      <c r="VFS66" s="610"/>
      <c r="VFT66" s="610"/>
      <c r="VFU66" s="610"/>
      <c r="VFV66" s="610"/>
      <c r="VFW66" s="610"/>
      <c r="VFX66" s="610"/>
      <c r="VFY66" s="610"/>
      <c r="VFZ66" s="610"/>
      <c r="VGA66" s="610"/>
      <c r="VGB66" s="610"/>
      <c r="VGC66" s="610"/>
      <c r="VGD66" s="610"/>
      <c r="VGE66" s="610"/>
      <c r="VGF66" s="610"/>
      <c r="VGG66" s="610"/>
      <c r="VGH66" s="610"/>
      <c r="VGI66" s="610"/>
      <c r="VGJ66" s="610"/>
      <c r="VGK66" s="610"/>
      <c r="VGL66" s="610"/>
      <c r="VGM66" s="610"/>
      <c r="VGN66" s="610"/>
      <c r="VGO66" s="610"/>
      <c r="VGP66" s="610"/>
      <c r="VGQ66" s="610"/>
      <c r="VGR66" s="610"/>
      <c r="VGS66" s="610"/>
      <c r="VGT66" s="610"/>
      <c r="VGU66" s="610"/>
      <c r="VGV66" s="610"/>
      <c r="VGW66" s="610"/>
      <c r="VGX66" s="610"/>
      <c r="VGY66" s="610"/>
      <c r="VGZ66" s="610"/>
      <c r="VHA66" s="610"/>
      <c r="VHB66" s="610"/>
      <c r="VHC66" s="610"/>
      <c r="VHD66" s="610"/>
      <c r="VHE66" s="610"/>
      <c r="VHF66" s="610"/>
      <c r="VHG66" s="610"/>
      <c r="VHH66" s="610"/>
      <c r="VHI66" s="610"/>
      <c r="VHJ66" s="610"/>
      <c r="VHK66" s="610"/>
      <c r="VHL66" s="610"/>
      <c r="VHM66" s="610"/>
      <c r="VHN66" s="610"/>
      <c r="VHO66" s="610"/>
      <c r="VHP66" s="610"/>
      <c r="VHQ66" s="610"/>
      <c r="VHR66" s="610"/>
      <c r="VHS66" s="610"/>
      <c r="VHT66" s="610"/>
      <c r="VHU66" s="610"/>
      <c r="VHV66" s="610"/>
      <c r="VHW66" s="610"/>
      <c r="VHX66" s="610"/>
      <c r="VHY66" s="610"/>
      <c r="VHZ66" s="610"/>
      <c r="VIA66" s="610"/>
      <c r="VIB66" s="610"/>
      <c r="VIC66" s="610"/>
      <c r="VID66" s="610"/>
      <c r="VIE66" s="610"/>
      <c r="VIF66" s="610"/>
      <c r="VIG66" s="610"/>
      <c r="VIH66" s="610"/>
      <c r="VII66" s="610"/>
      <c r="VIJ66" s="610"/>
      <c r="VIK66" s="610"/>
      <c r="VIL66" s="610"/>
      <c r="VIM66" s="610"/>
      <c r="VIN66" s="610"/>
      <c r="VIO66" s="610"/>
      <c r="VIP66" s="610"/>
      <c r="VIQ66" s="610"/>
      <c r="VIR66" s="610"/>
      <c r="VIS66" s="610"/>
      <c r="VIT66" s="610"/>
      <c r="VIU66" s="610"/>
      <c r="VIV66" s="610"/>
      <c r="VIW66" s="610"/>
      <c r="VIX66" s="610"/>
      <c r="VIY66" s="610"/>
      <c r="VIZ66" s="610"/>
      <c r="VJA66" s="610"/>
      <c r="VJB66" s="610"/>
      <c r="VJC66" s="610"/>
      <c r="VJD66" s="610"/>
      <c r="VJE66" s="610"/>
      <c r="VJF66" s="610"/>
      <c r="VJG66" s="610"/>
      <c r="VJH66" s="610"/>
      <c r="VJI66" s="610"/>
      <c r="VJJ66" s="610"/>
      <c r="VJK66" s="610"/>
      <c r="VJL66" s="610"/>
      <c r="VJM66" s="610"/>
      <c r="VJN66" s="610"/>
      <c r="VJO66" s="610"/>
      <c r="VJP66" s="610"/>
      <c r="VJQ66" s="610"/>
      <c r="VJR66" s="610"/>
      <c r="VJS66" s="610"/>
      <c r="VJT66" s="610"/>
      <c r="VJU66" s="610"/>
      <c r="VJV66" s="610"/>
      <c r="VJW66" s="610"/>
      <c r="VJX66" s="610"/>
      <c r="VJY66" s="610"/>
      <c r="VJZ66" s="610"/>
      <c r="VKA66" s="610"/>
      <c r="VKB66" s="610"/>
      <c r="VKC66" s="610"/>
      <c r="VKD66" s="610"/>
      <c r="VKE66" s="610"/>
      <c r="VKF66" s="610"/>
      <c r="VKG66" s="610"/>
      <c r="VKH66" s="610"/>
      <c r="VKI66" s="610"/>
      <c r="VKJ66" s="610"/>
      <c r="VKK66" s="610"/>
      <c r="VKL66" s="610"/>
      <c r="VKM66" s="610"/>
      <c r="VKN66" s="610"/>
      <c r="VKO66" s="610"/>
      <c r="VKP66" s="610"/>
      <c r="VKQ66" s="610"/>
      <c r="VKR66" s="610"/>
      <c r="VKS66" s="610"/>
      <c r="VKT66" s="610"/>
      <c r="VKU66" s="610"/>
      <c r="VKV66" s="610"/>
      <c r="VKW66" s="610"/>
      <c r="VKX66" s="610"/>
      <c r="VKY66" s="610"/>
      <c r="VKZ66" s="610"/>
      <c r="VLA66" s="610"/>
      <c r="VLB66" s="610"/>
      <c r="VLC66" s="610"/>
      <c r="VLD66" s="610"/>
      <c r="VLE66" s="610"/>
      <c r="VLF66" s="610"/>
      <c r="VLG66" s="610"/>
      <c r="VLH66" s="610"/>
      <c r="VLI66" s="610"/>
      <c r="VLJ66" s="610"/>
      <c r="VLK66" s="610"/>
      <c r="VLL66" s="610"/>
      <c r="VLM66" s="610"/>
      <c r="VLN66" s="610"/>
      <c r="VLO66" s="610"/>
      <c r="VLP66" s="610"/>
      <c r="VLQ66" s="610"/>
      <c r="VLR66" s="610"/>
      <c r="VLS66" s="610"/>
      <c r="VLT66" s="610"/>
      <c r="VLU66" s="610"/>
      <c r="VLV66" s="610"/>
      <c r="VLW66" s="610"/>
      <c r="VLX66" s="610"/>
      <c r="VLY66" s="610"/>
      <c r="VLZ66" s="610"/>
      <c r="VMA66" s="610"/>
      <c r="VMB66" s="610"/>
      <c r="VMC66" s="610"/>
      <c r="VMD66" s="610"/>
      <c r="VME66" s="610"/>
      <c r="VMF66" s="610"/>
      <c r="VMG66" s="610"/>
      <c r="VMH66" s="610"/>
      <c r="VMI66" s="610"/>
      <c r="VMJ66" s="610"/>
      <c r="VMK66" s="610"/>
      <c r="VML66" s="610"/>
      <c r="VMM66" s="610"/>
      <c r="VMN66" s="610"/>
      <c r="VMO66" s="610"/>
      <c r="VMP66" s="610"/>
      <c r="VMQ66" s="610"/>
      <c r="VMR66" s="610"/>
      <c r="VMS66" s="610"/>
      <c r="VMT66" s="610"/>
      <c r="VMU66" s="610"/>
      <c r="VMV66" s="610"/>
      <c r="VMW66" s="610"/>
      <c r="VMX66" s="610"/>
      <c r="VMY66" s="610"/>
      <c r="VMZ66" s="610"/>
      <c r="VNA66" s="610"/>
      <c r="VNB66" s="610"/>
      <c r="VNC66" s="610"/>
      <c r="VND66" s="610"/>
      <c r="VNE66" s="610"/>
      <c r="VNF66" s="610"/>
      <c r="VNG66" s="610"/>
      <c r="VNH66" s="610"/>
      <c r="VNI66" s="610"/>
      <c r="VNJ66" s="610"/>
      <c r="VNK66" s="610"/>
      <c r="VNL66" s="610"/>
      <c r="VNM66" s="610"/>
      <c r="VNN66" s="610"/>
      <c r="VNO66" s="610"/>
      <c r="VNP66" s="610"/>
      <c r="VNQ66" s="610"/>
      <c r="VNR66" s="610"/>
      <c r="VNS66" s="610"/>
      <c r="VNT66" s="610"/>
      <c r="VNU66" s="610"/>
      <c r="VNV66" s="610"/>
      <c r="VNW66" s="610"/>
      <c r="VNX66" s="610"/>
      <c r="VNY66" s="610"/>
      <c r="VNZ66" s="610"/>
      <c r="VOA66" s="610"/>
      <c r="VOB66" s="610"/>
      <c r="VOC66" s="610"/>
      <c r="VOD66" s="610"/>
      <c r="VOE66" s="610"/>
      <c r="VOF66" s="610"/>
      <c r="VOG66" s="610"/>
      <c r="VOH66" s="610"/>
      <c r="VOI66" s="610"/>
      <c r="VOJ66" s="610"/>
      <c r="VOK66" s="610"/>
      <c r="VOL66" s="610"/>
      <c r="VOM66" s="610"/>
      <c r="VON66" s="610"/>
      <c r="VOO66" s="610"/>
      <c r="VOP66" s="610"/>
      <c r="VOQ66" s="610"/>
      <c r="VOR66" s="610"/>
      <c r="VOS66" s="610"/>
      <c r="VOT66" s="610"/>
      <c r="VOU66" s="610"/>
      <c r="VOV66" s="610"/>
      <c r="VOW66" s="610"/>
      <c r="VOX66" s="610"/>
      <c r="VOY66" s="610"/>
      <c r="VOZ66" s="610"/>
      <c r="VPA66" s="610"/>
      <c r="VPB66" s="610"/>
      <c r="VPC66" s="610"/>
      <c r="VPD66" s="610"/>
      <c r="VPE66" s="610"/>
      <c r="VPF66" s="610"/>
      <c r="VPG66" s="610"/>
      <c r="VPH66" s="610"/>
      <c r="VPI66" s="610"/>
      <c r="VPJ66" s="610"/>
      <c r="VPK66" s="610"/>
      <c r="VPL66" s="610"/>
      <c r="VPM66" s="610"/>
      <c r="VPN66" s="610"/>
      <c r="VPO66" s="610"/>
      <c r="VPP66" s="610"/>
      <c r="VPQ66" s="610"/>
      <c r="VPR66" s="610"/>
      <c r="VPS66" s="610"/>
      <c r="VPT66" s="610"/>
      <c r="VPU66" s="610"/>
      <c r="VPV66" s="610"/>
      <c r="VPW66" s="610"/>
      <c r="VPX66" s="610"/>
      <c r="VPY66" s="610"/>
      <c r="VPZ66" s="610"/>
      <c r="VQA66" s="610"/>
      <c r="VQB66" s="610"/>
      <c r="VQC66" s="610"/>
      <c r="VQD66" s="610"/>
      <c r="VQE66" s="610"/>
      <c r="VQF66" s="610"/>
      <c r="VQG66" s="610"/>
      <c r="VQH66" s="610"/>
      <c r="VQI66" s="610"/>
      <c r="VQJ66" s="610"/>
      <c r="VQK66" s="610"/>
      <c r="VQL66" s="610"/>
      <c r="VQM66" s="610"/>
      <c r="VQN66" s="610"/>
      <c r="VQO66" s="610"/>
      <c r="VQP66" s="610"/>
      <c r="VQQ66" s="610"/>
      <c r="VQR66" s="610"/>
      <c r="VQS66" s="610"/>
      <c r="VQT66" s="610"/>
      <c r="VQU66" s="610"/>
      <c r="VQV66" s="610"/>
      <c r="VQW66" s="610"/>
      <c r="VQX66" s="610"/>
      <c r="VQY66" s="610"/>
      <c r="VQZ66" s="610"/>
      <c r="VRA66" s="610"/>
      <c r="VRB66" s="610"/>
      <c r="VRC66" s="610"/>
      <c r="VRD66" s="610"/>
      <c r="VRE66" s="610"/>
      <c r="VRF66" s="610"/>
      <c r="VRG66" s="610"/>
      <c r="VRH66" s="610"/>
      <c r="VRI66" s="610"/>
      <c r="VRJ66" s="610"/>
      <c r="VRK66" s="610"/>
      <c r="VRL66" s="610"/>
      <c r="VRM66" s="610"/>
      <c r="VRN66" s="610"/>
      <c r="VRO66" s="610"/>
      <c r="VRP66" s="610"/>
      <c r="VRQ66" s="610"/>
      <c r="VRR66" s="610"/>
      <c r="VRS66" s="610"/>
      <c r="VRT66" s="610"/>
      <c r="VRU66" s="610"/>
      <c r="VRV66" s="610"/>
      <c r="VRW66" s="610"/>
      <c r="VRX66" s="610"/>
      <c r="VRY66" s="610"/>
      <c r="VRZ66" s="610"/>
      <c r="VSA66" s="610"/>
      <c r="VSB66" s="610"/>
      <c r="VSC66" s="610"/>
      <c r="VSD66" s="610"/>
      <c r="VSE66" s="610"/>
      <c r="VSF66" s="610"/>
      <c r="VSG66" s="610"/>
      <c r="VSH66" s="610"/>
      <c r="VSI66" s="610"/>
      <c r="VSJ66" s="610"/>
      <c r="VSK66" s="610"/>
      <c r="VSL66" s="610"/>
      <c r="VSM66" s="610"/>
      <c r="VSN66" s="610"/>
      <c r="VSO66" s="610"/>
      <c r="VSP66" s="610"/>
      <c r="VSQ66" s="610"/>
      <c r="VSR66" s="610"/>
      <c r="VSS66" s="610"/>
      <c r="VST66" s="610"/>
      <c r="VSU66" s="610"/>
      <c r="VSV66" s="610"/>
      <c r="VSW66" s="610"/>
      <c r="VSX66" s="610"/>
      <c r="VSY66" s="610"/>
      <c r="VSZ66" s="610"/>
      <c r="VTA66" s="610"/>
      <c r="VTB66" s="610"/>
      <c r="VTC66" s="610"/>
      <c r="VTD66" s="610"/>
      <c r="VTE66" s="610"/>
      <c r="VTF66" s="610"/>
      <c r="VTG66" s="610"/>
      <c r="VTH66" s="610"/>
      <c r="VTI66" s="610"/>
      <c r="VTJ66" s="610"/>
      <c r="VTK66" s="610"/>
      <c r="VTL66" s="610"/>
      <c r="VTM66" s="610"/>
      <c r="VTN66" s="610"/>
      <c r="VTO66" s="610"/>
      <c r="VTP66" s="610"/>
      <c r="VTQ66" s="610"/>
      <c r="VTR66" s="610"/>
      <c r="VTS66" s="610"/>
      <c r="VTT66" s="610"/>
      <c r="VTU66" s="610"/>
      <c r="VTV66" s="610"/>
      <c r="VTW66" s="610"/>
      <c r="VTX66" s="610"/>
      <c r="VTY66" s="610"/>
      <c r="VTZ66" s="610"/>
      <c r="VUA66" s="610"/>
      <c r="VUB66" s="610"/>
      <c r="VUC66" s="610"/>
      <c r="VUD66" s="610"/>
      <c r="VUE66" s="610"/>
      <c r="VUF66" s="610"/>
      <c r="VUG66" s="610"/>
      <c r="VUH66" s="610"/>
      <c r="VUI66" s="610"/>
      <c r="VUJ66" s="610"/>
      <c r="VUK66" s="610"/>
      <c r="VUL66" s="610"/>
      <c r="VUM66" s="610"/>
      <c r="VUN66" s="610"/>
      <c r="VUO66" s="610"/>
      <c r="VUP66" s="610"/>
      <c r="VUQ66" s="610"/>
      <c r="VUR66" s="610"/>
      <c r="VUS66" s="610"/>
      <c r="VUT66" s="610"/>
      <c r="VUU66" s="610"/>
      <c r="VUV66" s="610"/>
      <c r="VUW66" s="610"/>
      <c r="VUX66" s="610"/>
      <c r="VUY66" s="610"/>
      <c r="VUZ66" s="610"/>
      <c r="VVA66" s="610"/>
      <c r="VVB66" s="610"/>
      <c r="VVC66" s="610"/>
      <c r="VVD66" s="610"/>
      <c r="VVE66" s="610"/>
      <c r="VVF66" s="610"/>
      <c r="VVG66" s="610"/>
      <c r="VVH66" s="610"/>
      <c r="VVI66" s="610"/>
      <c r="VVJ66" s="610"/>
      <c r="VVK66" s="610"/>
      <c r="VVL66" s="610"/>
      <c r="VVM66" s="610"/>
      <c r="VVN66" s="610"/>
      <c r="VVO66" s="610"/>
      <c r="VVP66" s="610"/>
      <c r="VVQ66" s="610"/>
      <c r="VVR66" s="610"/>
      <c r="VVS66" s="610"/>
      <c r="VVT66" s="610"/>
      <c r="VVU66" s="610"/>
      <c r="VVV66" s="610"/>
      <c r="VVW66" s="610"/>
      <c r="VVX66" s="610"/>
      <c r="VVY66" s="610"/>
      <c r="VVZ66" s="610"/>
      <c r="VWA66" s="610"/>
      <c r="VWB66" s="610"/>
      <c r="VWC66" s="610"/>
      <c r="VWD66" s="610"/>
      <c r="VWE66" s="610"/>
      <c r="VWF66" s="610"/>
      <c r="VWG66" s="610"/>
      <c r="VWH66" s="610"/>
      <c r="VWI66" s="610"/>
      <c r="VWJ66" s="610"/>
      <c r="VWK66" s="610"/>
      <c r="VWL66" s="610"/>
      <c r="VWM66" s="610"/>
      <c r="VWN66" s="610"/>
      <c r="VWO66" s="610"/>
      <c r="VWP66" s="610"/>
      <c r="VWQ66" s="610"/>
      <c r="VWR66" s="610"/>
      <c r="VWS66" s="610"/>
      <c r="VWT66" s="610"/>
      <c r="VWU66" s="610"/>
      <c r="VWV66" s="610"/>
      <c r="VWW66" s="610"/>
      <c r="VWX66" s="610"/>
      <c r="VWY66" s="610"/>
      <c r="VWZ66" s="610"/>
      <c r="VXA66" s="610"/>
      <c r="VXB66" s="610"/>
      <c r="VXC66" s="610"/>
      <c r="VXD66" s="610"/>
      <c r="VXE66" s="610"/>
      <c r="VXF66" s="610"/>
      <c r="VXG66" s="610"/>
      <c r="VXH66" s="610"/>
      <c r="VXI66" s="610"/>
      <c r="VXJ66" s="610"/>
      <c r="VXK66" s="610"/>
      <c r="VXL66" s="610"/>
      <c r="VXM66" s="610"/>
      <c r="VXN66" s="610"/>
      <c r="VXO66" s="610"/>
      <c r="VXP66" s="610"/>
      <c r="VXQ66" s="610"/>
      <c r="VXR66" s="610"/>
      <c r="VXS66" s="610"/>
      <c r="VXT66" s="610"/>
      <c r="VXU66" s="610"/>
      <c r="VXV66" s="610"/>
      <c r="VXW66" s="610"/>
      <c r="VXX66" s="610"/>
      <c r="VXY66" s="610"/>
      <c r="VXZ66" s="610"/>
      <c r="VYA66" s="610"/>
      <c r="VYB66" s="610"/>
      <c r="VYC66" s="610"/>
      <c r="VYD66" s="610"/>
      <c r="VYE66" s="610"/>
      <c r="VYF66" s="610"/>
      <c r="VYG66" s="610"/>
      <c r="VYH66" s="610"/>
      <c r="VYI66" s="610"/>
      <c r="VYJ66" s="610"/>
      <c r="VYK66" s="610"/>
      <c r="VYL66" s="610"/>
      <c r="VYM66" s="610"/>
      <c r="VYN66" s="610"/>
      <c r="VYO66" s="610"/>
      <c r="VYP66" s="610"/>
      <c r="VYQ66" s="610"/>
      <c r="VYR66" s="610"/>
      <c r="VYS66" s="610"/>
      <c r="VYT66" s="610"/>
      <c r="VYU66" s="610"/>
      <c r="VYV66" s="610"/>
      <c r="VYW66" s="610"/>
      <c r="VYX66" s="610"/>
      <c r="VYY66" s="610"/>
      <c r="VYZ66" s="610"/>
      <c r="VZA66" s="610"/>
      <c r="VZB66" s="610"/>
      <c r="VZC66" s="610"/>
      <c r="VZD66" s="610"/>
      <c r="VZE66" s="610"/>
      <c r="VZF66" s="610"/>
      <c r="VZG66" s="610"/>
      <c r="VZH66" s="610"/>
      <c r="VZI66" s="610"/>
      <c r="VZJ66" s="610"/>
      <c r="VZK66" s="610"/>
      <c r="VZL66" s="610"/>
      <c r="VZM66" s="610"/>
      <c r="VZN66" s="610"/>
      <c r="VZO66" s="610"/>
      <c r="VZP66" s="610"/>
      <c r="VZQ66" s="610"/>
      <c r="VZR66" s="610"/>
      <c r="VZS66" s="610"/>
      <c r="VZT66" s="610"/>
      <c r="VZU66" s="610"/>
      <c r="VZV66" s="610"/>
      <c r="VZW66" s="610"/>
      <c r="VZX66" s="610"/>
      <c r="VZY66" s="610"/>
      <c r="VZZ66" s="610"/>
      <c r="WAA66" s="610"/>
      <c r="WAB66" s="610"/>
      <c r="WAC66" s="610"/>
      <c r="WAD66" s="610"/>
      <c r="WAE66" s="610"/>
      <c r="WAF66" s="610"/>
      <c r="WAG66" s="610"/>
      <c r="WAH66" s="610"/>
      <c r="WAI66" s="610"/>
      <c r="WAJ66" s="610"/>
      <c r="WAK66" s="610"/>
      <c r="WAL66" s="610"/>
      <c r="WAM66" s="610"/>
      <c r="WAN66" s="610"/>
      <c r="WAO66" s="610"/>
      <c r="WAP66" s="610"/>
      <c r="WAQ66" s="610"/>
      <c r="WAR66" s="610"/>
      <c r="WAS66" s="610"/>
      <c r="WAT66" s="610"/>
      <c r="WAU66" s="610"/>
      <c r="WAV66" s="610"/>
      <c r="WAW66" s="610"/>
      <c r="WAX66" s="610"/>
      <c r="WAY66" s="610"/>
      <c r="WAZ66" s="610"/>
      <c r="WBA66" s="610"/>
      <c r="WBB66" s="610"/>
      <c r="WBC66" s="610"/>
      <c r="WBD66" s="610"/>
      <c r="WBE66" s="610"/>
      <c r="WBF66" s="610"/>
      <c r="WBG66" s="610"/>
      <c r="WBH66" s="610"/>
      <c r="WBI66" s="610"/>
      <c r="WBJ66" s="610"/>
      <c r="WBK66" s="610"/>
      <c r="WBL66" s="610"/>
      <c r="WBM66" s="610"/>
      <c r="WBN66" s="610"/>
      <c r="WBO66" s="610"/>
      <c r="WBP66" s="610"/>
      <c r="WBQ66" s="610"/>
      <c r="WBR66" s="610"/>
      <c r="WBS66" s="610"/>
      <c r="WBT66" s="610"/>
      <c r="WBU66" s="610"/>
      <c r="WBV66" s="610"/>
      <c r="WBW66" s="610"/>
      <c r="WBX66" s="610"/>
      <c r="WBY66" s="610"/>
      <c r="WBZ66" s="610"/>
      <c r="WCA66" s="610"/>
      <c r="WCB66" s="610"/>
      <c r="WCC66" s="610"/>
      <c r="WCD66" s="610"/>
      <c r="WCE66" s="610"/>
      <c r="WCF66" s="610"/>
      <c r="WCG66" s="610"/>
      <c r="WCH66" s="610"/>
      <c r="WCI66" s="610"/>
      <c r="WCJ66" s="610"/>
      <c r="WCK66" s="610"/>
      <c r="WCL66" s="610"/>
      <c r="WCM66" s="610"/>
      <c r="WCN66" s="610"/>
      <c r="WCO66" s="610"/>
      <c r="WCP66" s="610"/>
      <c r="WCQ66" s="610"/>
      <c r="WCR66" s="610"/>
      <c r="WCS66" s="610"/>
      <c r="WCT66" s="610"/>
      <c r="WCU66" s="610"/>
      <c r="WCV66" s="610"/>
      <c r="WCW66" s="610"/>
      <c r="WCX66" s="610"/>
      <c r="WCY66" s="610"/>
      <c r="WCZ66" s="610"/>
      <c r="WDA66" s="610"/>
      <c r="WDB66" s="610"/>
      <c r="WDC66" s="610"/>
      <c r="WDD66" s="610"/>
      <c r="WDE66" s="610"/>
      <c r="WDF66" s="610"/>
      <c r="WDG66" s="610"/>
      <c r="WDH66" s="610"/>
      <c r="WDI66" s="610"/>
      <c r="WDJ66" s="610"/>
      <c r="WDK66" s="610"/>
      <c r="WDL66" s="610"/>
      <c r="WDM66" s="610"/>
      <c r="WDN66" s="610"/>
      <c r="WDO66" s="610"/>
      <c r="WDP66" s="610"/>
      <c r="WDQ66" s="610"/>
      <c r="WDR66" s="610"/>
      <c r="WDS66" s="610"/>
      <c r="WDT66" s="610"/>
      <c r="WDU66" s="610"/>
      <c r="WDV66" s="610"/>
      <c r="WDW66" s="610"/>
      <c r="WDX66" s="610"/>
      <c r="WDY66" s="610"/>
      <c r="WDZ66" s="610"/>
      <c r="WEA66" s="610"/>
      <c r="WEB66" s="610"/>
      <c r="WEC66" s="610"/>
      <c r="WED66" s="610"/>
      <c r="WEE66" s="610"/>
      <c r="WEF66" s="610"/>
      <c r="WEG66" s="610"/>
      <c r="WEH66" s="610"/>
      <c r="WEI66" s="610"/>
      <c r="WEJ66" s="610"/>
      <c r="WEK66" s="610"/>
      <c r="WEL66" s="610"/>
      <c r="WEM66" s="610"/>
      <c r="WEN66" s="610"/>
      <c r="WEO66" s="610"/>
      <c r="WEP66" s="610"/>
      <c r="WEQ66" s="610"/>
      <c r="WER66" s="610"/>
      <c r="WES66" s="610"/>
      <c r="WET66" s="610"/>
      <c r="WEU66" s="610"/>
      <c r="WEV66" s="610"/>
      <c r="WEW66" s="610"/>
      <c r="WEX66" s="610"/>
      <c r="WEY66" s="610"/>
      <c r="WEZ66" s="610"/>
      <c r="WFA66" s="610"/>
      <c r="WFB66" s="610"/>
      <c r="WFC66" s="610"/>
      <c r="WFD66" s="610"/>
      <c r="WFE66" s="610"/>
      <c r="WFF66" s="610"/>
      <c r="WFG66" s="610"/>
      <c r="WFH66" s="610"/>
      <c r="WFI66" s="610"/>
      <c r="WFJ66" s="610"/>
      <c r="WFK66" s="610"/>
      <c r="WFL66" s="610"/>
      <c r="WFM66" s="610"/>
      <c r="WFN66" s="610"/>
      <c r="WFO66" s="610"/>
      <c r="WFP66" s="610"/>
      <c r="WFQ66" s="610"/>
      <c r="WFR66" s="610"/>
      <c r="WFS66" s="610"/>
      <c r="WFT66" s="610"/>
      <c r="WFU66" s="610"/>
      <c r="WFV66" s="610"/>
      <c r="WFW66" s="610"/>
      <c r="WFX66" s="610"/>
      <c r="WFY66" s="610"/>
      <c r="WFZ66" s="610"/>
      <c r="WGA66" s="610"/>
      <c r="WGB66" s="610"/>
      <c r="WGC66" s="610"/>
      <c r="WGD66" s="610"/>
      <c r="WGE66" s="610"/>
      <c r="WGF66" s="610"/>
      <c r="WGG66" s="610"/>
      <c r="WGH66" s="610"/>
      <c r="WGI66" s="610"/>
      <c r="WGJ66" s="610"/>
      <c r="WGK66" s="610"/>
      <c r="WGL66" s="610"/>
      <c r="WGM66" s="610"/>
      <c r="WGN66" s="610"/>
      <c r="WGO66" s="610"/>
      <c r="WGP66" s="610"/>
      <c r="WGQ66" s="610"/>
      <c r="WGR66" s="610"/>
      <c r="WGS66" s="610"/>
      <c r="WGT66" s="610"/>
      <c r="WGU66" s="610"/>
      <c r="WGV66" s="610"/>
      <c r="WGW66" s="610"/>
      <c r="WGX66" s="610"/>
      <c r="WGY66" s="610"/>
      <c r="WGZ66" s="610"/>
      <c r="WHA66" s="610"/>
      <c r="WHB66" s="610"/>
      <c r="WHC66" s="610"/>
      <c r="WHD66" s="610"/>
      <c r="WHE66" s="610"/>
      <c r="WHF66" s="610"/>
      <c r="WHG66" s="610"/>
      <c r="WHH66" s="610"/>
      <c r="WHI66" s="610"/>
      <c r="WHJ66" s="610"/>
      <c r="WHK66" s="610"/>
      <c r="WHL66" s="610"/>
      <c r="WHM66" s="610"/>
      <c r="WHN66" s="610"/>
      <c r="WHO66" s="610"/>
      <c r="WHP66" s="610"/>
      <c r="WHQ66" s="610"/>
      <c r="WHR66" s="610"/>
      <c r="WHS66" s="610"/>
      <c r="WHT66" s="610"/>
      <c r="WHU66" s="610"/>
      <c r="WHV66" s="610"/>
      <c r="WHW66" s="610"/>
      <c r="WHX66" s="610"/>
      <c r="WHY66" s="610"/>
      <c r="WHZ66" s="610"/>
      <c r="WIA66" s="610"/>
      <c r="WIB66" s="610"/>
      <c r="WIC66" s="610"/>
      <c r="WID66" s="610"/>
      <c r="WIE66" s="610"/>
      <c r="WIF66" s="610"/>
      <c r="WIG66" s="610"/>
      <c r="WIH66" s="610"/>
      <c r="WII66" s="610"/>
      <c r="WIJ66" s="610"/>
      <c r="WIK66" s="610"/>
      <c r="WIL66" s="610"/>
      <c r="WIM66" s="610"/>
      <c r="WIN66" s="610"/>
      <c r="WIO66" s="610"/>
      <c r="WIP66" s="610"/>
      <c r="WIQ66" s="610"/>
      <c r="WIR66" s="610"/>
      <c r="WIS66" s="610"/>
      <c r="WIT66" s="610"/>
      <c r="WIU66" s="610"/>
      <c r="WIV66" s="610"/>
      <c r="WIW66" s="610"/>
      <c r="WIX66" s="610"/>
      <c r="WIY66" s="610"/>
      <c r="WIZ66" s="610"/>
      <c r="WJA66" s="610"/>
      <c r="WJB66" s="610"/>
      <c r="WJC66" s="610"/>
      <c r="WJD66" s="610"/>
      <c r="WJE66" s="610"/>
      <c r="WJF66" s="610"/>
      <c r="WJG66" s="610"/>
      <c r="WJH66" s="610"/>
      <c r="WJI66" s="610"/>
      <c r="WJJ66" s="610"/>
      <c r="WJK66" s="610"/>
      <c r="WJL66" s="610"/>
      <c r="WJM66" s="610"/>
      <c r="WJN66" s="610"/>
      <c r="WJO66" s="610"/>
      <c r="WJP66" s="610"/>
      <c r="WJQ66" s="610"/>
      <c r="WJR66" s="610"/>
      <c r="WJS66" s="610"/>
      <c r="WJT66" s="610"/>
      <c r="WJU66" s="610"/>
      <c r="WJV66" s="610"/>
      <c r="WJW66" s="610"/>
      <c r="WJX66" s="610"/>
      <c r="WJY66" s="610"/>
      <c r="WJZ66" s="610"/>
      <c r="WKA66" s="610"/>
      <c r="WKB66" s="610"/>
      <c r="WKC66" s="610"/>
      <c r="WKD66" s="610"/>
      <c r="WKE66" s="610"/>
      <c r="WKF66" s="610"/>
      <c r="WKG66" s="610"/>
      <c r="WKH66" s="610"/>
      <c r="WKI66" s="610"/>
      <c r="WKJ66" s="610"/>
      <c r="WKK66" s="610"/>
      <c r="WKL66" s="610"/>
      <c r="WKM66" s="610"/>
      <c r="WKN66" s="610"/>
      <c r="WKO66" s="610"/>
      <c r="WKP66" s="610"/>
      <c r="WKQ66" s="610"/>
      <c r="WKR66" s="610"/>
      <c r="WKS66" s="610"/>
      <c r="WKT66" s="610"/>
      <c r="WKU66" s="610"/>
      <c r="WKV66" s="610"/>
      <c r="WKW66" s="610"/>
      <c r="WKX66" s="610"/>
      <c r="WKY66" s="610"/>
      <c r="WKZ66" s="610"/>
      <c r="WLA66" s="610"/>
      <c r="WLB66" s="610"/>
      <c r="WLC66" s="610"/>
      <c r="WLD66" s="610"/>
      <c r="WLE66" s="610"/>
      <c r="WLF66" s="610"/>
      <c r="WLG66" s="610"/>
      <c r="WLH66" s="610"/>
      <c r="WLI66" s="610"/>
      <c r="WLJ66" s="610"/>
      <c r="WLK66" s="610"/>
      <c r="WLL66" s="610"/>
      <c r="WLM66" s="610"/>
      <c r="WLN66" s="610"/>
      <c r="WLO66" s="610"/>
      <c r="WLP66" s="610"/>
      <c r="WLQ66" s="610"/>
      <c r="WLR66" s="610"/>
      <c r="WLS66" s="610"/>
      <c r="WLT66" s="610"/>
      <c r="WLU66" s="610"/>
      <c r="WLV66" s="610"/>
      <c r="WLW66" s="610"/>
      <c r="WLX66" s="610"/>
      <c r="WLY66" s="610"/>
      <c r="WLZ66" s="610"/>
      <c r="WMA66" s="610"/>
      <c r="WMB66" s="610"/>
      <c r="WMC66" s="610"/>
      <c r="WMD66" s="610"/>
      <c r="WME66" s="610"/>
      <c r="WMF66" s="610"/>
      <c r="WMG66" s="610"/>
      <c r="WMH66" s="610"/>
      <c r="WMI66" s="610"/>
      <c r="WMJ66" s="610"/>
      <c r="WMK66" s="610"/>
      <c r="WML66" s="610"/>
      <c r="WMM66" s="610"/>
      <c r="WMN66" s="610"/>
      <c r="WMO66" s="610"/>
      <c r="WMP66" s="610"/>
      <c r="WMQ66" s="610"/>
      <c r="WMR66" s="610"/>
      <c r="WMS66" s="610"/>
      <c r="WMT66" s="610"/>
      <c r="WMU66" s="610"/>
      <c r="WMV66" s="610"/>
      <c r="WMW66" s="610"/>
      <c r="WMX66" s="610"/>
      <c r="WMY66" s="610"/>
      <c r="WMZ66" s="610"/>
      <c r="WNA66" s="610"/>
      <c r="WNB66" s="610"/>
      <c r="WNC66" s="610"/>
      <c r="WND66" s="610"/>
      <c r="WNE66" s="610"/>
      <c r="WNF66" s="610"/>
      <c r="WNG66" s="610"/>
      <c r="WNH66" s="610"/>
      <c r="WNI66" s="610"/>
      <c r="WNJ66" s="610"/>
      <c r="WNK66" s="610"/>
      <c r="WNL66" s="610"/>
      <c r="WNM66" s="610"/>
      <c r="WNN66" s="610"/>
      <c r="WNO66" s="610"/>
      <c r="WNP66" s="610"/>
      <c r="WNQ66" s="610"/>
      <c r="WNR66" s="610"/>
      <c r="WNS66" s="610"/>
      <c r="WNT66" s="610"/>
      <c r="WNU66" s="610"/>
      <c r="WNV66" s="610"/>
      <c r="WNW66" s="610"/>
      <c r="WNX66" s="610"/>
      <c r="WNY66" s="610"/>
      <c r="WNZ66" s="610"/>
      <c r="WOA66" s="610"/>
      <c r="WOB66" s="610"/>
      <c r="WOC66" s="610"/>
      <c r="WOD66" s="610"/>
      <c r="WOE66" s="610"/>
      <c r="WOF66" s="610"/>
      <c r="WOG66" s="610"/>
      <c r="WOH66" s="610"/>
      <c r="WOI66" s="610"/>
      <c r="WOJ66" s="610"/>
      <c r="WOK66" s="610"/>
      <c r="WOL66" s="610"/>
      <c r="WOM66" s="610"/>
      <c r="WON66" s="610"/>
      <c r="WOO66" s="610"/>
      <c r="WOP66" s="610"/>
      <c r="WOQ66" s="610"/>
      <c r="WOR66" s="610"/>
      <c r="WOS66" s="610"/>
      <c r="WOT66" s="610"/>
      <c r="WOU66" s="610"/>
      <c r="WOV66" s="610"/>
      <c r="WOW66" s="610"/>
      <c r="WOX66" s="610"/>
      <c r="WOY66" s="610"/>
      <c r="WOZ66" s="610"/>
      <c r="WPA66" s="610"/>
      <c r="WPB66" s="610"/>
      <c r="WPC66" s="610"/>
      <c r="WPD66" s="610"/>
      <c r="WPE66" s="610"/>
      <c r="WPF66" s="610"/>
      <c r="WPG66" s="610"/>
      <c r="WPH66" s="610"/>
      <c r="WPI66" s="610"/>
      <c r="WPJ66" s="610"/>
      <c r="WPK66" s="610"/>
      <c r="WPL66" s="610"/>
      <c r="WPM66" s="610"/>
      <c r="WPN66" s="610"/>
      <c r="WPO66" s="610"/>
      <c r="WPP66" s="610"/>
      <c r="WPQ66" s="610"/>
      <c r="WPR66" s="610"/>
      <c r="WPS66" s="610"/>
      <c r="WPT66" s="610"/>
      <c r="WPU66" s="610"/>
      <c r="WPV66" s="610"/>
      <c r="WPW66" s="610"/>
      <c r="WPX66" s="610"/>
      <c r="WPY66" s="610"/>
      <c r="WPZ66" s="610"/>
      <c r="WQA66" s="610"/>
      <c r="WQB66" s="610"/>
      <c r="WQC66" s="610"/>
      <c r="WQD66" s="610"/>
      <c r="WQE66" s="610"/>
      <c r="WQF66" s="610"/>
      <c r="WQG66" s="610"/>
      <c r="WQH66" s="610"/>
      <c r="WQI66" s="610"/>
      <c r="WQJ66" s="610"/>
      <c r="WQK66" s="610"/>
      <c r="WQL66" s="610"/>
      <c r="WQM66" s="610"/>
      <c r="WQN66" s="610"/>
      <c r="WQO66" s="610"/>
      <c r="WQP66" s="610"/>
      <c r="WQQ66" s="610"/>
      <c r="WQR66" s="610"/>
      <c r="WQS66" s="610"/>
      <c r="WQT66" s="610"/>
      <c r="WQU66" s="610"/>
      <c r="WQV66" s="610"/>
      <c r="WQW66" s="610"/>
      <c r="WQX66" s="610"/>
      <c r="WQY66" s="610"/>
      <c r="WQZ66" s="610"/>
      <c r="WRA66" s="610"/>
      <c r="WRB66" s="610"/>
      <c r="WRC66" s="610"/>
      <c r="WRD66" s="610"/>
      <c r="WRE66" s="610"/>
      <c r="WRF66" s="610"/>
      <c r="WRG66" s="610"/>
      <c r="WRH66" s="610"/>
      <c r="WRI66" s="610"/>
      <c r="WRJ66" s="610"/>
      <c r="WRK66" s="610"/>
      <c r="WRL66" s="610"/>
      <c r="WRM66" s="610"/>
      <c r="WRN66" s="610"/>
      <c r="WRO66" s="610"/>
      <c r="WRP66" s="610"/>
      <c r="WRQ66" s="610"/>
      <c r="WRR66" s="610"/>
      <c r="WRS66" s="610"/>
      <c r="WRT66" s="610"/>
      <c r="WRU66" s="610"/>
      <c r="WRV66" s="610"/>
      <c r="WRW66" s="610"/>
      <c r="WRX66" s="610"/>
      <c r="WRY66" s="610"/>
      <c r="WRZ66" s="610"/>
      <c r="WSA66" s="610"/>
      <c r="WSB66" s="610"/>
      <c r="WSC66" s="610"/>
      <c r="WSD66" s="610"/>
      <c r="WSE66" s="610"/>
      <c r="WSF66" s="610"/>
      <c r="WSG66" s="610"/>
      <c r="WSH66" s="610"/>
      <c r="WSI66" s="610"/>
      <c r="WSJ66" s="610"/>
      <c r="WSK66" s="610"/>
      <c r="WSL66" s="610"/>
      <c r="WSM66" s="610"/>
      <c r="WSN66" s="610"/>
      <c r="WSO66" s="610"/>
      <c r="WSP66" s="610"/>
      <c r="WSQ66" s="610"/>
      <c r="WSR66" s="610"/>
      <c r="WSS66" s="610"/>
      <c r="WST66" s="610"/>
      <c r="WSU66" s="610"/>
      <c r="WSV66" s="610"/>
      <c r="WSW66" s="610"/>
      <c r="WSX66" s="610"/>
      <c r="WSY66" s="610"/>
      <c r="WSZ66" s="610"/>
      <c r="WTA66" s="610"/>
      <c r="WTB66" s="610"/>
      <c r="WTC66" s="610"/>
      <c r="WTD66" s="610"/>
      <c r="WTE66" s="610"/>
      <c r="WTF66" s="610"/>
      <c r="WTG66" s="610"/>
      <c r="WTH66" s="610"/>
      <c r="WTI66" s="610"/>
      <c r="WTJ66" s="610"/>
      <c r="WTK66" s="610"/>
      <c r="WTL66" s="610"/>
      <c r="WTM66" s="610"/>
      <c r="WTN66" s="610"/>
      <c r="WTO66" s="610"/>
      <c r="WTP66" s="610"/>
      <c r="WTQ66" s="610"/>
      <c r="WTR66" s="610"/>
      <c r="WTS66" s="610"/>
      <c r="WTT66" s="610"/>
      <c r="WTU66" s="610"/>
      <c r="WTV66" s="610"/>
      <c r="WTW66" s="610"/>
      <c r="WTX66" s="610"/>
      <c r="WTY66" s="610"/>
      <c r="WTZ66" s="610"/>
      <c r="WUA66" s="610"/>
      <c r="WUB66" s="610"/>
      <c r="WUC66" s="610"/>
      <c r="WUD66" s="610"/>
      <c r="WUE66" s="610"/>
      <c r="WUF66" s="610"/>
      <c r="WUG66" s="610"/>
      <c r="WUH66" s="610"/>
      <c r="WUI66" s="610"/>
      <c r="WUJ66" s="610"/>
      <c r="WUK66" s="610"/>
      <c r="WUL66" s="610"/>
      <c r="WUM66" s="610"/>
      <c r="WUN66" s="610"/>
      <c r="WUO66" s="610"/>
      <c r="WUP66" s="610"/>
      <c r="WUQ66" s="610"/>
      <c r="WUR66" s="610"/>
      <c r="WUS66" s="610"/>
      <c r="WUT66" s="610"/>
      <c r="WUU66" s="610"/>
      <c r="WUV66" s="610"/>
      <c r="WUW66" s="610"/>
      <c r="WUX66" s="610"/>
      <c r="WUY66" s="610"/>
      <c r="WUZ66" s="610"/>
      <c r="WVA66" s="610"/>
      <c r="WVB66" s="610"/>
      <c r="WVC66" s="610"/>
      <c r="WVD66" s="610"/>
      <c r="WVE66" s="610"/>
      <c r="WVF66" s="610"/>
      <c r="WVG66" s="610"/>
      <c r="WVH66" s="610"/>
      <c r="WVI66" s="610"/>
      <c r="WVJ66" s="610"/>
      <c r="WVK66" s="610"/>
      <c r="WVL66" s="610"/>
      <c r="WVM66" s="610"/>
      <c r="WVN66" s="610"/>
      <c r="WVO66" s="610"/>
      <c r="WVP66" s="610"/>
      <c r="WVQ66" s="610"/>
      <c r="WVR66" s="610"/>
      <c r="WVS66" s="610"/>
      <c r="WVT66" s="610"/>
      <c r="WVU66" s="610"/>
      <c r="WVV66" s="610"/>
      <c r="WVW66" s="610"/>
      <c r="WVX66" s="610"/>
      <c r="WVY66" s="610"/>
      <c r="WVZ66" s="610"/>
      <c r="WWA66" s="610"/>
      <c r="WWB66" s="610"/>
      <c r="WWC66" s="610"/>
      <c r="WWD66" s="610"/>
      <c r="WWE66" s="610"/>
      <c r="WWF66" s="610"/>
      <c r="WWG66" s="610"/>
      <c r="WWH66" s="610"/>
      <c r="WWI66" s="610"/>
      <c r="WWJ66" s="610"/>
      <c r="WWK66" s="610"/>
      <c r="WWL66" s="610"/>
      <c r="WWM66" s="610"/>
      <c r="WWN66" s="610"/>
      <c r="WWO66" s="610"/>
      <c r="WWP66" s="610"/>
      <c r="WWQ66" s="610"/>
      <c r="WWR66" s="610"/>
      <c r="WWS66" s="610"/>
      <c r="WWT66" s="610"/>
      <c r="WWU66" s="610"/>
      <c r="WWV66" s="610"/>
      <c r="WWW66" s="610"/>
      <c r="WWX66" s="610"/>
      <c r="WWY66" s="610"/>
      <c r="WWZ66" s="610"/>
      <c r="WXA66" s="610"/>
      <c r="WXB66" s="610"/>
      <c r="WXC66" s="610"/>
      <c r="WXD66" s="610"/>
      <c r="WXE66" s="610"/>
      <c r="WXF66" s="610"/>
      <c r="WXG66" s="610"/>
      <c r="WXH66" s="610"/>
      <c r="WXI66" s="610"/>
      <c r="WXJ66" s="610"/>
      <c r="WXK66" s="610"/>
      <c r="WXL66" s="610"/>
      <c r="WXM66" s="610"/>
      <c r="WXN66" s="610"/>
      <c r="WXO66" s="610"/>
      <c r="WXP66" s="610"/>
      <c r="WXQ66" s="610"/>
      <c r="WXR66" s="610"/>
      <c r="WXS66" s="610"/>
      <c r="WXT66" s="610"/>
      <c r="WXU66" s="610"/>
      <c r="WXV66" s="610"/>
      <c r="WXW66" s="610"/>
      <c r="WXX66" s="610"/>
      <c r="WXY66" s="610"/>
      <c r="WXZ66" s="610"/>
      <c r="WYA66" s="610"/>
      <c r="WYB66" s="610"/>
      <c r="WYC66" s="610"/>
      <c r="WYD66" s="610"/>
      <c r="WYE66" s="610"/>
      <c r="WYF66" s="610"/>
      <c r="WYG66" s="610"/>
      <c r="WYH66" s="610"/>
      <c r="WYI66" s="610"/>
      <c r="WYJ66" s="610"/>
      <c r="WYK66" s="610"/>
      <c r="WYL66" s="610"/>
      <c r="WYM66" s="610"/>
      <c r="WYN66" s="610"/>
      <c r="WYO66" s="610"/>
      <c r="WYP66" s="610"/>
      <c r="WYQ66" s="610"/>
      <c r="WYR66" s="610"/>
      <c r="WYS66" s="610"/>
      <c r="WYT66" s="610"/>
      <c r="WYU66" s="610"/>
      <c r="WYV66" s="610"/>
      <c r="WYW66" s="610"/>
      <c r="WYX66" s="610"/>
      <c r="WYY66" s="610"/>
      <c r="WYZ66" s="610"/>
      <c r="WZA66" s="610"/>
      <c r="WZB66" s="610"/>
      <c r="WZC66" s="610"/>
      <c r="WZD66" s="610"/>
      <c r="WZE66" s="610"/>
      <c r="WZF66" s="610"/>
      <c r="WZG66" s="610"/>
      <c r="WZH66" s="610"/>
      <c r="WZI66" s="610"/>
      <c r="WZJ66" s="610"/>
      <c r="WZK66" s="610"/>
      <c r="WZL66" s="610"/>
      <c r="WZM66" s="610"/>
      <c r="WZN66" s="610"/>
      <c r="WZO66" s="610"/>
      <c r="WZP66" s="610"/>
      <c r="WZQ66" s="610"/>
      <c r="WZR66" s="610"/>
      <c r="WZS66" s="610"/>
      <c r="WZT66" s="610"/>
      <c r="WZU66" s="610"/>
      <c r="WZV66" s="610"/>
      <c r="WZW66" s="610"/>
      <c r="WZX66" s="610"/>
      <c r="WZY66" s="610"/>
      <c r="WZZ66" s="610"/>
      <c r="XAA66" s="610"/>
      <c r="XAB66" s="610"/>
      <c r="XAC66" s="610"/>
      <c r="XAD66" s="610"/>
      <c r="XAE66" s="610"/>
      <c r="XAF66" s="610"/>
      <c r="XAG66" s="610"/>
      <c r="XAH66" s="610"/>
      <c r="XAI66" s="610"/>
      <c r="XAJ66" s="610"/>
      <c r="XAK66" s="610"/>
      <c r="XAL66" s="610"/>
      <c r="XAM66" s="610"/>
      <c r="XAN66" s="610"/>
      <c r="XAO66" s="610"/>
      <c r="XAP66" s="610"/>
      <c r="XAQ66" s="610"/>
      <c r="XAR66" s="610"/>
      <c r="XAS66" s="610"/>
      <c r="XAT66" s="610"/>
      <c r="XAU66" s="610"/>
      <c r="XAV66" s="610"/>
      <c r="XAW66" s="610"/>
      <c r="XAX66" s="610"/>
      <c r="XAY66" s="610"/>
      <c r="XAZ66" s="610"/>
      <c r="XBA66" s="610"/>
      <c r="XBB66" s="610"/>
      <c r="XBC66" s="610"/>
      <c r="XBD66" s="610"/>
      <c r="XBE66" s="610"/>
      <c r="XBF66" s="610"/>
      <c r="XBG66" s="610"/>
      <c r="XBH66" s="610"/>
      <c r="XBI66" s="610"/>
      <c r="XBJ66" s="610"/>
      <c r="XBK66" s="610"/>
      <c r="XBL66" s="610"/>
      <c r="XBM66" s="610"/>
      <c r="XBN66" s="610"/>
      <c r="XBO66" s="610"/>
      <c r="XBP66" s="610"/>
      <c r="XBQ66" s="610"/>
      <c r="XBR66" s="610"/>
      <c r="XBS66" s="610"/>
      <c r="XBT66" s="610"/>
      <c r="XBU66" s="610"/>
      <c r="XBV66" s="610"/>
      <c r="XBW66" s="610"/>
      <c r="XBX66" s="610"/>
      <c r="XBY66" s="610"/>
      <c r="XBZ66" s="610"/>
      <c r="XCA66" s="610"/>
      <c r="XCB66" s="610"/>
      <c r="XCC66" s="610"/>
      <c r="XCD66" s="610"/>
      <c r="XCE66" s="610"/>
      <c r="XCF66" s="610"/>
      <c r="XCG66" s="610"/>
      <c r="XCH66" s="610"/>
      <c r="XCI66" s="610"/>
      <c r="XCJ66" s="610"/>
      <c r="XCK66" s="610"/>
      <c r="XCL66" s="610"/>
      <c r="XCM66" s="610"/>
      <c r="XCN66" s="610"/>
      <c r="XCO66" s="610"/>
      <c r="XCP66" s="610"/>
      <c r="XCQ66" s="610"/>
      <c r="XCR66" s="610"/>
      <c r="XCS66" s="610"/>
      <c r="XCT66" s="610"/>
      <c r="XCU66" s="610"/>
      <c r="XCV66" s="610"/>
      <c r="XCW66" s="610"/>
      <c r="XCX66" s="610"/>
      <c r="XCY66" s="610"/>
      <c r="XCZ66" s="610"/>
      <c r="XDA66" s="610"/>
      <c r="XDB66" s="610"/>
      <c r="XDC66" s="610"/>
      <c r="XDD66" s="610"/>
      <c r="XDE66" s="610"/>
      <c r="XDF66" s="610"/>
      <c r="XDG66" s="610"/>
      <c r="XDH66" s="610"/>
      <c r="XDI66" s="610"/>
      <c r="XDJ66" s="610"/>
      <c r="XDK66" s="610"/>
      <c r="XDL66" s="610"/>
      <c r="XDM66" s="610"/>
      <c r="XDN66" s="610"/>
      <c r="XDO66" s="610"/>
      <c r="XDP66" s="610"/>
      <c r="XDQ66" s="610"/>
      <c r="XDR66" s="610"/>
      <c r="XDS66" s="610"/>
      <c r="XDT66" s="610"/>
      <c r="XDU66" s="610"/>
      <c r="XDV66" s="610"/>
      <c r="XDW66" s="610"/>
      <c r="XDX66" s="610"/>
      <c r="XDY66" s="610"/>
      <c r="XDZ66" s="610"/>
      <c r="XEA66" s="610"/>
      <c r="XEB66" s="610"/>
      <c r="XEC66" s="610"/>
      <c r="XED66" s="610"/>
      <c r="XEE66" s="610"/>
      <c r="XEF66" s="610"/>
      <c r="XEG66" s="610"/>
      <c r="XEH66" s="610"/>
      <c r="XEI66" s="610"/>
      <c r="XEJ66" s="610"/>
      <c r="XEK66" s="610"/>
      <c r="XEL66" s="610"/>
      <c r="XEM66" s="610"/>
      <c r="XEN66" s="610"/>
      <c r="XEO66" s="610"/>
      <c r="XEP66" s="610"/>
      <c r="XEQ66" s="610"/>
      <c r="XER66" s="610"/>
      <c r="XES66" s="610"/>
      <c r="XET66" s="610"/>
      <c r="XEU66" s="610"/>
      <c r="XEV66" s="610"/>
      <c r="XEW66" s="610"/>
      <c r="XEX66" s="610"/>
      <c r="XEY66" s="610"/>
      <c r="XEZ66" s="610"/>
      <c r="XFA66" s="610"/>
      <c r="XFB66" s="610"/>
      <c r="XFC66" s="610"/>
      <c r="XFD66" s="610"/>
    </row>
    <row r="67" spans="1:16384"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16384"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16384" s="2" customFormat="1">
      <c r="A69" s="1369" t="s">
        <v>1183</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16384"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16384">
      <c r="A71" s="1369" t="s">
        <v>2144</v>
      </c>
      <c r="B71" s="589"/>
      <c r="C71" s="590"/>
      <c r="D71" s="589"/>
      <c r="E71" s="580">
        <f>E59-E61-E69</f>
        <v>169367.00000000047</v>
      </c>
      <c r="F71" s="589"/>
      <c r="G71" s="580">
        <f>G59-G61-G69</f>
        <v>196897.49999999953</v>
      </c>
      <c r="H71" s="589"/>
      <c r="I71" s="580">
        <f>I59-I61-I69</f>
        <v>224892.7696999996</v>
      </c>
      <c r="J71" s="589"/>
      <c r="K71" s="580">
        <f>K59-K61-K69</f>
        <v>253356.44183849992</v>
      </c>
      <c r="L71" s="589"/>
      <c r="M71" s="580">
        <f>M59-M61-M69</f>
        <v>282291.95749720209</v>
      </c>
      <c r="N71" s="589"/>
      <c r="O71" s="580">
        <f>O59-O61-O69</f>
        <v>311702.55137112987</v>
      </c>
      <c r="P71" s="589"/>
      <c r="Q71" s="580">
        <f>Q59-Q61-Q69</f>
        <v>341591.23632180231</v>
      </c>
      <c r="R71" s="589"/>
      <c r="S71" s="580">
        <f>S59-S61-S69</f>
        <v>371960.78718331503</v>
      </c>
      <c r="T71" s="589"/>
      <c r="U71" s="580">
        <f>U59-U61-U69</f>
        <v>402813.72379002516</v>
      </c>
      <c r="V71" s="589"/>
      <c r="W71" s="580">
        <f>W59-W61-W69</f>
        <v>434152.29319327627</v>
      </c>
      <c r="X71" s="589"/>
      <c r="Y71" s="580">
        <f>Y59-Y61-Y69</f>
        <v>465978.45103335095</v>
      </c>
      <c r="Z71" s="589"/>
      <c r="AA71" s="580">
        <f>AA59-AA61-AA69</f>
        <v>498293.842031512</v>
      </c>
      <c r="AB71" s="589"/>
      <c r="AC71" s="580">
        <f>AC59-AC61-AC69</f>
        <v>531099.77956563246</v>
      </c>
      <c r="AD71" s="589"/>
      <c r="AE71" s="580">
        <f>AE59-AE61-AE69</f>
        <v>564397.22429146792</v>
      </c>
      <c r="AF71" s="589"/>
      <c r="AG71" s="580">
        <f>AG59-AG61-AG69</f>
        <v>598186.76177019614</v>
      </c>
      <c r="AH71" s="589"/>
      <c r="AI71" s="589"/>
    </row>
    <row r="72" spans="1:16384"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16384"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16384">
      <c r="A74" s="589" t="s">
        <v>1482</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16384">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16384" ht="30" customHeight="1">
      <c r="A76" s="2666" t="s">
        <v>1187</v>
      </c>
      <c r="B76" s="2666"/>
      <c r="C76" s="2666"/>
      <c r="D76" s="2666"/>
      <c r="E76" s="2666"/>
      <c r="F76" s="2666"/>
      <c r="G76" s="2666"/>
      <c r="H76" s="2666"/>
      <c r="I76" s="2666"/>
      <c r="J76" s="2666"/>
      <c r="K76" s="2666"/>
      <c r="L76" s="2666"/>
      <c r="M76" s="2666"/>
      <c r="N76" s="2666"/>
      <c r="O76" s="2666"/>
      <c r="P76" s="2666"/>
      <c r="Q76" s="2666"/>
      <c r="R76" s="2666"/>
      <c r="S76" s="2666"/>
      <c r="T76" s="2666"/>
      <c r="U76" s="2666"/>
      <c r="V76" s="2666"/>
      <c r="W76" s="2666"/>
      <c r="X76" s="2666"/>
      <c r="Y76" s="2666"/>
      <c r="Z76" s="2666"/>
      <c r="AA76" s="2666"/>
      <c r="AB76" s="2666"/>
      <c r="AC76" s="2666"/>
      <c r="AD76" s="2666"/>
      <c r="AE76" s="2666"/>
      <c r="AF76" s="2666"/>
      <c r="AG76" s="2666"/>
      <c r="AH76" s="611"/>
      <c r="AI76" s="611"/>
    </row>
    <row r="77" spans="1:16384"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16384" hidden="1">
      <c r="C78" s="588"/>
    </row>
    <row r="79" spans="1:16384" hidden="1">
      <c r="C79" s="588"/>
    </row>
    <row r="80" spans="1:16384"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topLeftCell="A13" workbookViewId="0">
      <selection activeCell="L9" sqref="L9"/>
    </sheetView>
  </sheetViews>
  <sheetFormatPr defaultColWidth="9.109375" defaultRowHeight="13.8" zeroHeight="1"/>
  <cols>
    <col min="1" max="3" width="15.5546875" style="491" customWidth="1"/>
    <col min="4" max="4" width="3.5546875" style="491" customWidth="1"/>
    <col min="5" max="6" width="15.5546875" style="491" customWidth="1"/>
    <col min="7" max="7" width="3.5546875" style="447" customWidth="1"/>
    <col min="8" max="9" width="15.5546875" style="491" customWidth="1"/>
    <col min="10" max="16383" width="9.109375" style="491"/>
    <col min="16384" max="16384" width="0.44140625" style="491" customWidth="1"/>
  </cols>
  <sheetData>
    <row r="1" spans="1:9">
      <c r="A1" s="2667" t="s">
        <v>1264</v>
      </c>
      <c r="B1" s="2667"/>
      <c r="C1" s="2667"/>
      <c r="D1" s="2667"/>
      <c r="E1" s="2667"/>
      <c r="F1" s="2667"/>
      <c r="G1" s="2667"/>
      <c r="H1" s="2667"/>
      <c r="I1" s="2667"/>
    </row>
    <row r="2" spans="1:9">
      <c r="A2" s="910"/>
      <c r="B2" s="909"/>
      <c r="C2" s="909"/>
      <c r="D2" s="909"/>
      <c r="E2" s="909"/>
      <c r="F2" s="909"/>
      <c r="G2" s="910"/>
      <c r="H2" s="909"/>
      <c r="I2" s="909"/>
    </row>
    <row r="3" spans="1:9" ht="105" customHeight="1">
      <c r="A3" s="911" t="s">
        <v>1258</v>
      </c>
      <c r="B3" s="911" t="s">
        <v>1483</v>
      </c>
      <c r="C3" s="716" t="s">
        <v>1260</v>
      </c>
      <c r="D3" s="909"/>
      <c r="E3" s="716" t="s">
        <v>2460</v>
      </c>
      <c r="F3" s="911" t="s">
        <v>1261</v>
      </c>
      <c r="G3" s="912"/>
      <c r="H3" s="911" t="s">
        <v>1259</v>
      </c>
      <c r="I3" s="911" t="s">
        <v>1262</v>
      </c>
    </row>
    <row r="4" spans="1:9">
      <c r="A4" s="913" t="str">
        <f>Application!$B706</f>
        <v>1 Bedroom</v>
      </c>
      <c r="B4" s="921">
        <f>Application!$G706</f>
        <v>11</v>
      </c>
      <c r="C4" s="913">
        <f>Application!$O706</f>
        <v>704</v>
      </c>
      <c r="D4" s="914"/>
      <c r="E4" s="717"/>
      <c r="F4" s="915">
        <f>$E4*$B4</f>
        <v>0</v>
      </c>
      <c r="G4" s="916"/>
      <c r="H4" s="913">
        <f>IF($E4=0,0,MAX($E4-$C4,0))</f>
        <v>0</v>
      </c>
      <c r="I4" s="915">
        <f>IF($H4=0,0,($H4*$B4))</f>
        <v>0</v>
      </c>
    </row>
    <row r="5" spans="1:9">
      <c r="A5" s="913" t="str">
        <f>Application!$B707</f>
        <v>1 Bedroom</v>
      </c>
      <c r="B5" s="921">
        <f>Application!$G707</f>
        <v>6</v>
      </c>
      <c r="C5" s="913">
        <f>Application!$O707</f>
        <v>948</v>
      </c>
      <c r="D5" s="914"/>
      <c r="E5" s="717"/>
      <c r="F5" s="915">
        <f t="shared" ref="F5:F28" si="0">$E5*$B5</f>
        <v>0</v>
      </c>
      <c r="G5" s="916"/>
      <c r="H5" s="913">
        <f t="shared" ref="H5:H28" si="1">IF($E5=0,0,MAX($E5-$C5,0))</f>
        <v>0</v>
      </c>
      <c r="I5" s="915">
        <f t="shared" ref="I5:I28" si="2">IF($H5=0,0,($H5*$B5))</f>
        <v>0</v>
      </c>
    </row>
    <row r="6" spans="1:9">
      <c r="A6" s="913" t="str">
        <f>Application!$B708</f>
        <v>1 Bedroom</v>
      </c>
      <c r="B6" s="921">
        <f>Application!$G708</f>
        <v>3</v>
      </c>
      <c r="C6" s="913">
        <f>Application!$O708</f>
        <v>1220</v>
      </c>
      <c r="D6" s="914"/>
      <c r="E6" s="717">
        <v>1725</v>
      </c>
      <c r="F6" s="915">
        <f t="shared" si="0"/>
        <v>5175</v>
      </c>
      <c r="G6" s="916"/>
      <c r="H6" s="913">
        <f t="shared" si="1"/>
        <v>505</v>
      </c>
      <c r="I6" s="915">
        <f t="shared" si="2"/>
        <v>1515</v>
      </c>
    </row>
    <row r="7" spans="1:9">
      <c r="A7" s="913" t="str">
        <f>Application!$B709</f>
        <v>1 Bedroom</v>
      </c>
      <c r="B7" s="921">
        <f>Application!$G709</f>
        <v>7</v>
      </c>
      <c r="C7" s="913">
        <f>Application!$O709</f>
        <v>1192</v>
      </c>
      <c r="D7" s="914"/>
      <c r="E7" s="717"/>
      <c r="F7" s="915">
        <f t="shared" si="0"/>
        <v>0</v>
      </c>
      <c r="G7" s="916"/>
      <c r="H7" s="913">
        <f t="shared" si="1"/>
        <v>0</v>
      </c>
      <c r="I7" s="915">
        <f t="shared" si="2"/>
        <v>0</v>
      </c>
    </row>
    <row r="8" spans="1:9">
      <c r="A8" s="913" t="str">
        <f>Application!$B710</f>
        <v>1 Bedroom</v>
      </c>
      <c r="B8" s="921">
        <f>Application!$G710</f>
        <v>19</v>
      </c>
      <c r="C8" s="913">
        <f>Application!$O710</f>
        <v>1924</v>
      </c>
      <c r="D8" s="914"/>
      <c r="E8" s="717"/>
      <c r="F8" s="915">
        <f t="shared" si="0"/>
        <v>0</v>
      </c>
      <c r="G8" s="916"/>
      <c r="H8" s="913">
        <f t="shared" si="1"/>
        <v>0</v>
      </c>
      <c r="I8" s="915">
        <f t="shared" si="2"/>
        <v>0</v>
      </c>
    </row>
    <row r="9" spans="1:9">
      <c r="A9" s="913" t="str">
        <f>Application!$B711</f>
        <v>2 Bedrooms</v>
      </c>
      <c r="B9" s="921">
        <f>Application!$G711</f>
        <v>6</v>
      </c>
      <c r="C9" s="913">
        <f>Application!$O711</f>
        <v>878</v>
      </c>
      <c r="D9" s="914"/>
      <c r="E9" s="717">
        <v>2210</v>
      </c>
      <c r="F9" s="915">
        <f t="shared" si="0"/>
        <v>13260</v>
      </c>
      <c r="G9" s="916"/>
      <c r="H9" s="913">
        <f t="shared" si="1"/>
        <v>1332</v>
      </c>
      <c r="I9" s="915">
        <f t="shared" si="2"/>
        <v>7992</v>
      </c>
    </row>
    <row r="10" spans="1:9">
      <c r="A10" s="913" t="str">
        <f>Application!$B712</f>
        <v>2 Bedrooms</v>
      </c>
      <c r="B10" s="921">
        <f>Application!$G712</f>
        <v>1</v>
      </c>
      <c r="C10" s="913">
        <f>Application!$O712</f>
        <v>1171</v>
      </c>
      <c r="D10" s="914"/>
      <c r="E10" s="717">
        <v>2210</v>
      </c>
      <c r="F10" s="915">
        <f t="shared" si="0"/>
        <v>2210</v>
      </c>
      <c r="G10" s="916"/>
      <c r="H10" s="913">
        <f t="shared" si="1"/>
        <v>1039</v>
      </c>
      <c r="I10" s="915">
        <f t="shared" si="2"/>
        <v>1039</v>
      </c>
    </row>
    <row r="11" spans="1:9">
      <c r="A11" s="913" t="str">
        <f>Application!$B713</f>
        <v>2 Bedrooms</v>
      </c>
      <c r="B11" s="921">
        <f>Application!$G713</f>
        <v>17</v>
      </c>
      <c r="C11" s="913">
        <f>Application!$O713</f>
        <v>2311</v>
      </c>
      <c r="D11" s="914"/>
      <c r="E11" s="717"/>
      <c r="F11" s="915">
        <f t="shared" si="0"/>
        <v>0</v>
      </c>
      <c r="G11" s="916"/>
      <c r="H11" s="913">
        <f t="shared" si="1"/>
        <v>0</v>
      </c>
      <c r="I11" s="915">
        <f t="shared" si="2"/>
        <v>0</v>
      </c>
    </row>
    <row r="12" spans="1:9">
      <c r="A12" s="913" t="str">
        <f>Application!$B714</f>
        <v>3 Bedrooms</v>
      </c>
      <c r="B12" s="921">
        <f>Application!$G714</f>
        <v>7</v>
      </c>
      <c r="C12" s="913">
        <f>Application!$O714</f>
        <v>1015</v>
      </c>
      <c r="D12" s="914"/>
      <c r="E12" s="717">
        <v>3070</v>
      </c>
      <c r="F12" s="915">
        <f t="shared" si="0"/>
        <v>21490</v>
      </c>
      <c r="G12" s="916"/>
      <c r="H12" s="913">
        <f t="shared" si="1"/>
        <v>2055</v>
      </c>
      <c r="I12" s="915">
        <f t="shared" si="2"/>
        <v>14385</v>
      </c>
    </row>
    <row r="13" spans="1:9">
      <c r="A13" s="913" t="str">
        <f>Application!$B715</f>
        <v>3 Bedrooms</v>
      </c>
      <c r="B13" s="921">
        <f>Application!$G715</f>
        <v>3</v>
      </c>
      <c r="C13" s="913">
        <f>Application!$O715</f>
        <v>1353</v>
      </c>
      <c r="D13" s="914"/>
      <c r="E13" s="717">
        <v>3070</v>
      </c>
      <c r="F13" s="915">
        <f t="shared" si="0"/>
        <v>9210</v>
      </c>
      <c r="G13" s="916"/>
      <c r="H13" s="913">
        <f t="shared" si="1"/>
        <v>1717</v>
      </c>
      <c r="I13" s="915">
        <f t="shared" si="2"/>
        <v>5151</v>
      </c>
    </row>
    <row r="14" spans="1:9">
      <c r="A14" s="913" t="str">
        <f>Application!$B716</f>
        <v>3 Bedrooms</v>
      </c>
      <c r="B14" s="921">
        <f>Application!$G716</f>
        <v>4</v>
      </c>
      <c r="C14" s="913">
        <f>Application!$O716</f>
        <v>1691</v>
      </c>
      <c r="D14" s="914"/>
      <c r="E14" s="717">
        <v>3070</v>
      </c>
      <c r="F14" s="915">
        <f t="shared" si="0"/>
        <v>12280</v>
      </c>
      <c r="G14" s="916"/>
      <c r="H14" s="913">
        <f t="shared" si="1"/>
        <v>1379</v>
      </c>
      <c r="I14" s="915">
        <f t="shared" si="2"/>
        <v>5516</v>
      </c>
    </row>
    <row r="15" spans="1:9">
      <c r="A15" s="913" t="str">
        <f>Application!$B717</f>
        <v>3 Bedrooms</v>
      </c>
      <c r="B15" s="921">
        <f>Application!$G717</f>
        <v>1</v>
      </c>
      <c r="C15" s="913">
        <f>Application!$O717</f>
        <v>979</v>
      </c>
      <c r="D15" s="914"/>
      <c r="E15" s="717"/>
      <c r="F15" s="915">
        <f t="shared" si="0"/>
        <v>0</v>
      </c>
      <c r="G15" s="916"/>
      <c r="H15" s="913">
        <f t="shared" si="1"/>
        <v>0</v>
      </c>
      <c r="I15" s="915">
        <f t="shared" si="2"/>
        <v>0</v>
      </c>
    </row>
    <row r="16" spans="1:9">
      <c r="A16" s="913" t="str">
        <f>Application!$B718</f>
        <v>3 Bedrooms</v>
      </c>
      <c r="B16" s="921">
        <f>Application!$G718</f>
        <v>9</v>
      </c>
      <c r="C16" s="913">
        <f>Application!$O718</f>
        <v>2671</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1263</v>
      </c>
      <c r="B30" s="918"/>
      <c r="C30" s="919">
        <f>Application!$T$731*12</f>
        <v>1807968</v>
      </c>
      <c r="D30" s="914"/>
      <c r="E30" s="914"/>
      <c r="F30" s="919">
        <f>SUM(F4:F28)*12</f>
        <v>763500</v>
      </c>
      <c r="G30" s="920"/>
      <c r="H30" s="918"/>
      <c r="I30" s="919">
        <f>SUM(I4:I28)*12</f>
        <v>427176</v>
      </c>
    </row>
    <row r="31" spans="1:9">
      <c r="A31" s="917"/>
      <c r="B31" s="918"/>
      <c r="C31" s="920"/>
      <c r="D31" s="914"/>
      <c r="E31" s="914"/>
      <c r="F31" s="920"/>
      <c r="G31" s="920"/>
      <c r="H31" s="918"/>
      <c r="I31" s="920"/>
    </row>
    <row r="32" spans="1:9">
      <c r="A32" s="909" t="s">
        <v>1265</v>
      </c>
      <c r="B32" s="909"/>
      <c r="C32" s="909"/>
      <c r="D32" s="909"/>
      <c r="E32" s="909"/>
      <c r="F32" s="909"/>
      <c r="G32" s="910"/>
      <c r="H32" s="909"/>
      <c r="I32" s="909"/>
    </row>
    <row r="33" spans="1:9">
      <c r="A33" s="909" t="s">
        <v>1267</v>
      </c>
      <c r="B33" s="909"/>
      <c r="C33" s="909"/>
      <c r="D33" s="909"/>
      <c r="E33" s="909"/>
      <c r="F33" s="909"/>
      <c r="G33" s="910"/>
      <c r="H33" s="909"/>
      <c r="I33" s="909"/>
    </row>
    <row r="34" spans="1:9">
      <c r="A34" s="909" t="s">
        <v>1484</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09375" defaultRowHeight="13.2"/>
  <cols>
    <col min="1" max="16384" width="9.1093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3.2" zeroHeight="1"/>
  <cols>
    <col min="1" max="1" width="161.5546875" customWidth="1"/>
    <col min="2" max="16384" width="8.88671875" hidden="1"/>
  </cols>
  <sheetData>
    <row r="1" spans="1:1" s="466" customFormat="1" ht="45" customHeight="1">
      <c r="A1" s="750" t="s">
        <v>1328</v>
      </c>
    </row>
    <row r="2" spans="1:1" ht="15.6">
      <c r="A2" s="748"/>
    </row>
    <row r="3" spans="1:1" ht="15.6">
      <c r="A3" s="749" t="s">
        <v>1323</v>
      </c>
    </row>
    <row r="4" spans="1:1" ht="15.6">
      <c r="A4" s="749" t="s">
        <v>1324</v>
      </c>
    </row>
    <row r="5" spans="1:1" ht="15.6">
      <c r="A5" s="749" t="s">
        <v>1325</v>
      </c>
    </row>
    <row r="6" spans="1:1" ht="15.6">
      <c r="A6" s="749" t="s">
        <v>1326</v>
      </c>
    </row>
    <row r="7" spans="1:1" ht="15.6">
      <c r="A7" s="749" t="s">
        <v>1327</v>
      </c>
    </row>
    <row r="8" spans="1:1" ht="15.6">
      <c r="A8" s="871" t="s">
        <v>1453</v>
      </c>
    </row>
    <row r="9" spans="1:1" ht="15.6">
      <c r="A9" s="749"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topLeftCell="A52" workbookViewId="0">
      <selection sqref="A1:AN2"/>
    </sheetView>
  </sheetViews>
  <sheetFormatPr defaultColWidth="0" defaultRowHeight="0" customHeight="1" zeroHeight="1"/>
  <cols>
    <col min="1" max="1" width="1.44140625" style="1217" customWidth="1"/>
    <col min="2" max="2" width="0.88671875" style="1217" customWidth="1"/>
    <col min="3" max="18" width="2.44140625" style="1217" customWidth="1"/>
    <col min="19" max="19" width="4" style="1217" customWidth="1"/>
    <col min="20" max="39" width="2.44140625" style="1217" customWidth="1"/>
    <col min="40" max="40" width="1.44140625" style="1217" customWidth="1"/>
    <col min="41" max="16384" width="2.44140625" style="2" hidden="1"/>
  </cols>
  <sheetData>
    <row r="1" spans="1:40" ht="12.75" customHeight="1">
      <c r="A1" s="2265" t="s">
        <v>1188</v>
      </c>
      <c r="B1" s="2266"/>
      <c r="C1" s="2266"/>
      <c r="D1" s="2266"/>
      <c r="E1" s="2266"/>
      <c r="F1" s="2266"/>
      <c r="G1" s="2266"/>
      <c r="H1" s="2266"/>
      <c r="I1" s="2266"/>
      <c r="J1" s="2266"/>
      <c r="K1" s="2266"/>
      <c r="L1" s="2266"/>
      <c r="M1" s="2266"/>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c r="AL1" s="2266"/>
      <c r="AM1" s="2266"/>
      <c r="AN1" s="2266"/>
    </row>
    <row r="2" spans="1:40" ht="13.8" thickBot="1">
      <c r="A2" s="2267"/>
      <c r="B2" s="2267"/>
      <c r="C2" s="2267"/>
      <c r="D2" s="2267"/>
      <c r="E2" s="2267"/>
      <c r="F2" s="2267"/>
      <c r="G2" s="2267"/>
      <c r="H2" s="2267"/>
      <c r="I2" s="2267"/>
      <c r="J2" s="2267"/>
      <c r="K2" s="2267"/>
      <c r="L2" s="2267"/>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7"/>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715</v>
      </c>
      <c r="C5" s="6" t="s">
        <v>228</v>
      </c>
      <c r="F5" s="6"/>
    </row>
    <row r="6" spans="1:40" ht="13.2">
      <c r="B6" s="1076"/>
      <c r="AA6" s="2"/>
    </row>
    <row r="7" spans="1:40" ht="13.65" customHeight="1">
      <c r="B7" s="9"/>
      <c r="C7" s="10"/>
      <c r="D7" s="10"/>
      <c r="E7" s="10"/>
      <c r="F7" s="10"/>
      <c r="G7" s="10"/>
      <c r="H7" s="10"/>
      <c r="I7" s="10"/>
      <c r="J7" s="10"/>
      <c r="K7" s="10"/>
      <c r="L7" s="10"/>
      <c r="M7" s="10"/>
      <c r="N7" s="10"/>
      <c r="O7" s="10"/>
      <c r="P7" s="10"/>
      <c r="Q7" s="10"/>
      <c r="R7" s="10"/>
      <c r="S7" s="10"/>
      <c r="T7" s="2248" t="s">
        <v>1758</v>
      </c>
      <c r="U7" s="2248"/>
      <c r="V7" s="2248"/>
      <c r="W7" s="2248"/>
      <c r="X7" s="2248"/>
      <c r="Y7" s="2248" t="s">
        <v>1913</v>
      </c>
      <c r="Z7" s="2248"/>
      <c r="AA7" s="2248"/>
      <c r="AB7" s="2248"/>
      <c r="AC7" s="2248"/>
      <c r="AD7" s="2248" t="s">
        <v>1480</v>
      </c>
      <c r="AE7" s="2248"/>
      <c r="AF7" s="2248"/>
      <c r="AG7" s="2248"/>
      <c r="AH7" s="2248"/>
      <c r="AI7" s="2248" t="s">
        <v>1914</v>
      </c>
      <c r="AJ7" s="2248"/>
      <c r="AK7" s="2248"/>
      <c r="AL7" s="2248"/>
      <c r="AM7" s="2248"/>
    </row>
    <row r="8" spans="1:40" ht="12.75" customHeight="1">
      <c r="B8" s="337"/>
      <c r="C8" s="1"/>
      <c r="D8" s="1"/>
      <c r="E8" s="1"/>
      <c r="F8" s="1"/>
      <c r="G8" s="1"/>
      <c r="H8" s="1"/>
      <c r="I8" s="1"/>
      <c r="J8" s="1"/>
      <c r="K8" s="1"/>
      <c r="L8" s="1"/>
      <c r="M8" s="1"/>
      <c r="N8" s="1"/>
      <c r="O8" s="1"/>
      <c r="P8" s="1"/>
      <c r="Q8" s="1"/>
      <c r="R8" s="1"/>
      <c r="S8" s="1"/>
      <c r="T8" s="2248"/>
      <c r="U8" s="2248"/>
      <c r="V8" s="2248"/>
      <c r="W8" s="2248"/>
      <c r="X8" s="2248"/>
      <c r="Y8" s="2248"/>
      <c r="Z8" s="2248"/>
      <c r="AA8" s="2248"/>
      <c r="AB8" s="2248"/>
      <c r="AC8" s="2248"/>
      <c r="AD8" s="2248"/>
      <c r="AE8" s="2248"/>
      <c r="AF8" s="2248"/>
      <c r="AG8" s="2248"/>
      <c r="AH8" s="2248"/>
      <c r="AI8" s="2248"/>
      <c r="AJ8" s="2248"/>
      <c r="AK8" s="2248"/>
      <c r="AL8" s="2248"/>
      <c r="AM8" s="2248"/>
    </row>
    <row r="9" spans="1:40" ht="13.2">
      <c r="B9" s="337"/>
      <c r="C9" s="1"/>
      <c r="D9" s="1"/>
      <c r="E9" s="1"/>
      <c r="F9" s="1"/>
      <c r="G9" s="1"/>
      <c r="H9" s="1"/>
      <c r="I9" s="1"/>
      <c r="J9" s="1"/>
      <c r="K9" s="1"/>
      <c r="L9" s="1"/>
      <c r="M9" s="1"/>
      <c r="N9" s="1"/>
      <c r="O9" s="1"/>
      <c r="P9" s="1"/>
      <c r="Q9" s="1"/>
      <c r="R9" s="1"/>
      <c r="S9" s="1"/>
      <c r="T9" s="2248"/>
      <c r="U9" s="2248"/>
      <c r="V9" s="2248"/>
      <c r="W9" s="2248"/>
      <c r="X9" s="2248"/>
      <c r="Y9" s="2248"/>
      <c r="Z9" s="2248"/>
      <c r="AA9" s="2248"/>
      <c r="AB9" s="2248"/>
      <c r="AC9" s="2248"/>
      <c r="AD9" s="2248"/>
      <c r="AE9" s="2248"/>
      <c r="AF9" s="2248"/>
      <c r="AG9" s="2248"/>
      <c r="AH9" s="2248"/>
      <c r="AI9" s="2248"/>
      <c r="AJ9" s="2248"/>
      <c r="AK9" s="2248"/>
      <c r="AL9" s="2248"/>
      <c r="AM9" s="2248"/>
    </row>
    <row r="10" spans="1:40" ht="41.4" customHeight="1">
      <c r="B10" s="277"/>
      <c r="C10" s="278"/>
      <c r="D10" s="278"/>
      <c r="E10" s="278"/>
      <c r="F10" s="278"/>
      <c r="G10" s="278"/>
      <c r="H10" s="278"/>
      <c r="I10" s="278"/>
      <c r="J10" s="278"/>
      <c r="K10" s="278"/>
      <c r="L10" s="278"/>
      <c r="M10" s="278"/>
      <c r="N10" s="278"/>
      <c r="O10" s="278"/>
      <c r="P10" s="278"/>
      <c r="Q10" s="278"/>
      <c r="R10" s="278"/>
      <c r="S10" s="278"/>
      <c r="T10" s="2248"/>
      <c r="U10" s="2248"/>
      <c r="V10" s="2248"/>
      <c r="W10" s="2248"/>
      <c r="X10" s="2248"/>
      <c r="Y10" s="2248"/>
      <c r="Z10" s="2248"/>
      <c r="AA10" s="2248"/>
      <c r="AB10" s="2248"/>
      <c r="AC10" s="2248"/>
      <c r="AD10" s="2248"/>
      <c r="AE10" s="2248"/>
      <c r="AF10" s="2248"/>
      <c r="AG10" s="2248"/>
      <c r="AH10" s="2248"/>
      <c r="AI10" s="2248"/>
      <c r="AJ10" s="2248"/>
      <c r="AK10" s="2248"/>
      <c r="AL10" s="2248"/>
      <c r="AM10" s="2248"/>
    </row>
    <row r="11" spans="1:40" ht="13.2">
      <c r="B11" s="2220" t="s">
        <v>563</v>
      </c>
      <c r="C11" s="2221"/>
      <c r="D11" s="2221"/>
      <c r="E11" s="2221"/>
      <c r="F11" s="2221"/>
      <c r="G11" s="2221"/>
      <c r="H11" s="2221"/>
      <c r="I11" s="2221"/>
      <c r="J11" s="2221"/>
      <c r="K11" s="2221"/>
      <c r="L11" s="2221"/>
      <c r="M11" s="2221"/>
      <c r="N11" s="2221"/>
      <c r="O11" s="2221"/>
      <c r="P11" s="2221"/>
      <c r="Q11" s="2221"/>
      <c r="R11" s="2221"/>
      <c r="S11" s="2222"/>
      <c r="T11" s="2259">
        <f>IF('Sources and Basis Breakdown'!F105=0,'Sources and Basis Breakdown'!E105,'Sources and Basis Breakdown'!F105)</f>
        <v>39608873</v>
      </c>
      <c r="U11" s="2249"/>
      <c r="V11" s="2249"/>
      <c r="W11" s="2249"/>
      <c r="X11" s="2249"/>
      <c r="Y11" s="2268">
        <f>IF('Sources and Basis Breakdown'!G105+'Sources and Basis Breakdown'!F105='Sources and Basis Breakdown'!E105,'Sources and Basis Breakdown'!G105,0)</f>
        <v>0</v>
      </c>
      <c r="Z11" s="2249"/>
      <c r="AA11" s="2249"/>
      <c r="AB11" s="2249"/>
      <c r="AC11" s="2249"/>
      <c r="AD11" s="2249">
        <f>IF('Sources and Basis Breakdown'!I105=0,'Sources and Basis Breakdown'!H105,'Sources and Basis Breakdown'!I105)</f>
        <v>0</v>
      </c>
      <c r="AE11" s="2249"/>
      <c r="AF11" s="2249"/>
      <c r="AG11" s="2249"/>
      <c r="AH11" s="2249"/>
      <c r="AI11" s="2249">
        <f>IF('Sources and Basis Breakdown'!I105+'Sources and Basis Breakdown'!J105='Sources and Basis Breakdown'!H105,'Sources and Basis Breakdown'!J105,0)</f>
        <v>0</v>
      </c>
      <c r="AJ11" s="2249"/>
      <c r="AK11" s="2249"/>
      <c r="AL11" s="2249"/>
      <c r="AM11" s="2249"/>
    </row>
    <row r="12" spans="1:40" ht="13.2">
      <c r="B12" s="2252" t="s">
        <v>493</v>
      </c>
      <c r="C12" s="2253"/>
      <c r="D12" s="2253"/>
      <c r="E12" s="2253"/>
      <c r="F12" s="2253"/>
      <c r="G12" s="2253"/>
      <c r="H12" s="2253"/>
      <c r="I12" s="2253"/>
      <c r="J12" s="2253"/>
      <c r="K12" s="2253"/>
      <c r="L12" s="2253"/>
      <c r="M12" s="2253"/>
      <c r="N12" s="2253"/>
      <c r="O12" s="2253"/>
      <c r="P12" s="2253"/>
      <c r="Q12" s="2253"/>
      <c r="R12" s="2253"/>
      <c r="S12" s="2254"/>
      <c r="T12" s="2262"/>
      <c r="U12" s="2263"/>
      <c r="V12" s="2263"/>
      <c r="W12" s="2263"/>
      <c r="X12" s="2264"/>
      <c r="Y12" s="2262"/>
      <c r="Z12" s="2263"/>
      <c r="AA12" s="2263"/>
      <c r="AB12" s="2263"/>
      <c r="AC12" s="2264"/>
      <c r="AD12" s="2262"/>
      <c r="AE12" s="2263"/>
      <c r="AF12" s="2263"/>
      <c r="AG12" s="2263"/>
      <c r="AH12" s="2264"/>
      <c r="AI12" s="2262"/>
      <c r="AJ12" s="2263"/>
      <c r="AK12" s="2263"/>
      <c r="AL12" s="2263"/>
      <c r="AM12" s="2264"/>
    </row>
    <row r="13" spans="1:40" ht="13.2">
      <c r="B13" s="11"/>
      <c r="C13" s="2255" t="s">
        <v>1875</v>
      </c>
      <c r="D13" s="2256"/>
      <c r="E13" s="2256"/>
      <c r="F13" s="2256"/>
      <c r="G13" s="2256"/>
      <c r="H13" s="2256"/>
      <c r="I13" s="2256"/>
      <c r="J13" s="2256"/>
      <c r="K13" s="2256"/>
      <c r="L13" s="2256"/>
      <c r="M13" s="2256"/>
      <c r="N13" s="2256"/>
      <c r="O13" s="2256"/>
      <c r="P13" s="2256"/>
      <c r="Q13" s="2256"/>
      <c r="R13" s="2256"/>
      <c r="S13" s="2257"/>
      <c r="T13" s="2260">
        <f>'Basis &amp; Credits'!T13</f>
        <v>0</v>
      </c>
      <c r="U13" s="2261"/>
      <c r="V13" s="2261"/>
      <c r="W13" s="2261"/>
      <c r="X13" s="2261"/>
      <c r="Y13" s="2260">
        <f>'Basis &amp; Credits'!Y13</f>
        <v>0</v>
      </c>
      <c r="Z13" s="2261"/>
      <c r="AA13" s="2261"/>
      <c r="AB13" s="2261"/>
      <c r="AC13" s="2261"/>
      <c r="AD13" s="2261">
        <f>'Basis &amp; Credits'!AD13</f>
        <v>0</v>
      </c>
      <c r="AE13" s="2261"/>
      <c r="AF13" s="2261"/>
      <c r="AG13" s="2261"/>
      <c r="AH13" s="2261"/>
      <c r="AI13" s="2261">
        <f>'Basis &amp; Credits'!AI13</f>
        <v>0</v>
      </c>
      <c r="AJ13" s="2261"/>
      <c r="AK13" s="2261"/>
      <c r="AL13" s="2261"/>
      <c r="AM13" s="2261"/>
    </row>
    <row r="14" spans="1:40" ht="13.2">
      <c r="B14" s="11"/>
      <c r="C14" s="2256" t="s">
        <v>833</v>
      </c>
      <c r="D14" s="2256"/>
      <c r="E14" s="2256"/>
      <c r="F14" s="2256"/>
      <c r="G14" s="2256"/>
      <c r="H14" s="2256"/>
      <c r="I14" s="2256"/>
      <c r="J14" s="2256"/>
      <c r="K14" s="2256"/>
      <c r="L14" s="2256"/>
      <c r="M14" s="2256"/>
      <c r="N14" s="2256"/>
      <c r="O14" s="2256"/>
      <c r="P14" s="2256"/>
      <c r="Q14" s="2256"/>
      <c r="R14" s="2256"/>
      <c r="S14" s="2257"/>
      <c r="T14" s="1721">
        <f>'Basis &amp; Credits'!T14</f>
        <v>0</v>
      </c>
      <c r="U14" s="1655"/>
      <c r="V14" s="1655"/>
      <c r="W14" s="1655"/>
      <c r="X14" s="1655"/>
      <c r="Y14" s="1721">
        <f>'Basis &amp; Credits'!Y14</f>
        <v>0</v>
      </c>
      <c r="Z14" s="1655"/>
      <c r="AA14" s="1655"/>
      <c r="AB14" s="1655"/>
      <c r="AC14" s="1655"/>
      <c r="AD14" s="1655">
        <f>'Basis &amp; Credits'!AD14</f>
        <v>0</v>
      </c>
      <c r="AE14" s="1655"/>
      <c r="AF14" s="1655"/>
      <c r="AG14" s="1655"/>
      <c r="AH14" s="1655"/>
      <c r="AI14" s="1655">
        <f>'Basis &amp; Credits'!AI14</f>
        <v>0</v>
      </c>
      <c r="AJ14" s="1655"/>
      <c r="AK14" s="1655"/>
      <c r="AL14" s="1655"/>
      <c r="AM14" s="1655"/>
    </row>
    <row r="15" spans="1:40" ht="13.2">
      <c r="B15" s="11"/>
      <c r="C15" s="2256" t="s">
        <v>834</v>
      </c>
      <c r="D15" s="2256"/>
      <c r="E15" s="2256"/>
      <c r="F15" s="2256"/>
      <c r="G15" s="2256"/>
      <c r="H15" s="2256"/>
      <c r="I15" s="2256"/>
      <c r="J15" s="2256"/>
      <c r="K15" s="2256"/>
      <c r="L15" s="2256"/>
      <c r="M15" s="2256"/>
      <c r="N15" s="2256"/>
      <c r="O15" s="2256"/>
      <c r="P15" s="2256"/>
      <c r="Q15" s="2256"/>
      <c r="R15" s="2256"/>
      <c r="S15" s="2257"/>
      <c r="T15" s="1721">
        <f>'Basis &amp; Credits'!T15</f>
        <v>0</v>
      </c>
      <c r="U15" s="1655"/>
      <c r="V15" s="1655"/>
      <c r="W15" s="1655"/>
      <c r="X15" s="1655"/>
      <c r="Y15" s="1721">
        <f>'Basis &amp; Credits'!Y15</f>
        <v>0</v>
      </c>
      <c r="Z15" s="1655"/>
      <c r="AA15" s="1655"/>
      <c r="AB15" s="1655"/>
      <c r="AC15" s="1655"/>
      <c r="AD15" s="1655">
        <f>'Basis &amp; Credits'!AD15</f>
        <v>0</v>
      </c>
      <c r="AE15" s="1655"/>
      <c r="AF15" s="1655"/>
      <c r="AG15" s="1655"/>
      <c r="AH15" s="1655"/>
      <c r="AI15" s="1655">
        <f>'Basis &amp; Credits'!AI15</f>
        <v>0</v>
      </c>
      <c r="AJ15" s="1655"/>
      <c r="AK15" s="1655"/>
      <c r="AL15" s="1655"/>
      <c r="AM15" s="1655"/>
    </row>
    <row r="16" spans="1:40" ht="13.2">
      <c r="B16" s="11"/>
      <c r="C16" s="2255" t="s">
        <v>1096</v>
      </c>
      <c r="D16" s="2255"/>
      <c r="E16" s="2255"/>
      <c r="F16" s="2255"/>
      <c r="G16" s="2255"/>
      <c r="H16" s="2255"/>
      <c r="I16" s="2255"/>
      <c r="J16" s="2255"/>
      <c r="K16" s="2255"/>
      <c r="L16" s="2255"/>
      <c r="M16" s="2255"/>
      <c r="N16" s="2255"/>
      <c r="O16" s="2255"/>
      <c r="P16" s="2255"/>
      <c r="Q16" s="2255"/>
      <c r="R16" s="2255"/>
      <c r="S16" s="2258"/>
      <c r="T16" s="1721">
        <f>'Basis &amp; Credits'!T16</f>
        <v>0</v>
      </c>
      <c r="U16" s="1655"/>
      <c r="V16" s="1655"/>
      <c r="W16" s="1655"/>
      <c r="X16" s="1655"/>
      <c r="Y16" s="1721">
        <f>'Basis &amp; Credits'!Y16</f>
        <v>0</v>
      </c>
      <c r="Z16" s="1655"/>
      <c r="AA16" s="1655"/>
      <c r="AB16" s="1655"/>
      <c r="AC16" s="1655"/>
      <c r="AD16" s="1655">
        <f>'Basis &amp; Credits'!AD16</f>
        <v>0</v>
      </c>
      <c r="AE16" s="1655"/>
      <c r="AF16" s="1655"/>
      <c r="AG16" s="1655"/>
      <c r="AH16" s="1655"/>
      <c r="AI16" s="1655">
        <f>'Basis &amp; Credits'!AI16</f>
        <v>0</v>
      </c>
      <c r="AJ16" s="1655"/>
      <c r="AK16" s="1655"/>
      <c r="AL16" s="1655"/>
      <c r="AM16" s="1655"/>
    </row>
    <row r="17" spans="1:39" ht="13.2">
      <c r="B17" s="11"/>
      <c r="C17" s="2256" t="s">
        <v>835</v>
      </c>
      <c r="D17" s="2256"/>
      <c r="E17" s="2256"/>
      <c r="F17" s="2256"/>
      <c r="G17" s="2256"/>
      <c r="H17" s="2256"/>
      <c r="I17" s="2256"/>
      <c r="J17" s="2256"/>
      <c r="K17" s="2256"/>
      <c r="L17" s="2256"/>
      <c r="M17" s="2256"/>
      <c r="N17" s="2256"/>
      <c r="O17" s="2256"/>
      <c r="P17" s="2256"/>
      <c r="Q17" s="2256"/>
      <c r="R17" s="2256"/>
      <c r="S17" s="2257"/>
      <c r="T17" s="1721">
        <f>'Basis &amp; Credits'!T17</f>
        <v>0</v>
      </c>
      <c r="U17" s="1655"/>
      <c r="V17" s="1655"/>
      <c r="W17" s="1655"/>
      <c r="X17" s="1655"/>
      <c r="Y17" s="1721">
        <f>'Basis &amp; Credits'!Y17</f>
        <v>0</v>
      </c>
      <c r="Z17" s="1655"/>
      <c r="AA17" s="1655"/>
      <c r="AB17" s="1655"/>
      <c r="AC17" s="1655"/>
      <c r="AD17" s="1655">
        <f>'Basis &amp; Credits'!AD17</f>
        <v>0</v>
      </c>
      <c r="AE17" s="1655"/>
      <c r="AF17" s="1655"/>
      <c r="AG17" s="1655"/>
      <c r="AH17" s="1655"/>
      <c r="AI17" s="1655">
        <f>'Basis &amp; Credits'!AI17</f>
        <v>0</v>
      </c>
      <c r="AJ17" s="1655"/>
      <c r="AK17" s="1655"/>
      <c r="AL17" s="1655"/>
      <c r="AM17" s="1655"/>
    </row>
    <row r="18" spans="1:39" ht="13.2">
      <c r="B18" s="903"/>
      <c r="C18" s="2255" t="s">
        <v>1485</v>
      </c>
      <c r="D18" s="2256"/>
      <c r="E18" s="2256"/>
      <c r="F18" s="2256"/>
      <c r="G18" s="2256"/>
      <c r="H18" s="2256"/>
      <c r="I18" s="2256"/>
      <c r="J18" s="2256"/>
      <c r="K18" s="2256"/>
      <c r="L18" s="2256"/>
      <c r="M18" s="2256"/>
      <c r="N18" s="2256"/>
      <c r="O18" s="2256"/>
      <c r="P18" s="2256"/>
      <c r="Q18" s="2256"/>
      <c r="R18" s="2256"/>
      <c r="S18" s="2257"/>
      <c r="T18" s="1719">
        <f>'Basis &amp; Credits'!T18</f>
        <v>0</v>
      </c>
      <c r="U18" s="1720"/>
      <c r="V18" s="1720"/>
      <c r="W18" s="1720"/>
      <c r="X18" s="1721"/>
      <c r="Y18" s="1721">
        <f>'Basis &amp; Credits'!Y18</f>
        <v>0</v>
      </c>
      <c r="Z18" s="1655"/>
      <c r="AA18" s="1655"/>
      <c r="AB18" s="1655"/>
      <c r="AC18" s="1655"/>
      <c r="AD18" s="1655">
        <f>'Basis &amp; Credits'!AD18</f>
        <v>0</v>
      </c>
      <c r="AE18" s="1655"/>
      <c r="AF18" s="1655"/>
      <c r="AG18" s="1655"/>
      <c r="AH18" s="1655"/>
      <c r="AI18" s="1655">
        <f>'Basis &amp; Credits'!AI18</f>
        <v>0</v>
      </c>
      <c r="AJ18" s="1655"/>
      <c r="AK18" s="1655"/>
      <c r="AL18" s="1655"/>
      <c r="AM18" s="1655"/>
    </row>
    <row r="19" spans="1:39" ht="13.2">
      <c r="B19" s="745"/>
      <c r="C19" s="1844" t="str">
        <f>'Basis &amp; Credits'!C19:S19</f>
        <v>Subtract (specify other ineligible amounts):</v>
      </c>
      <c r="D19" s="1844"/>
      <c r="E19" s="1844"/>
      <c r="F19" s="1844"/>
      <c r="G19" s="1844"/>
      <c r="H19" s="1844"/>
      <c r="I19" s="1844"/>
      <c r="J19" s="1844"/>
      <c r="K19" s="1844"/>
      <c r="L19" s="1844"/>
      <c r="M19" s="1844"/>
      <c r="N19" s="1844"/>
      <c r="O19" s="1844"/>
      <c r="P19" s="1844"/>
      <c r="Q19" s="1844"/>
      <c r="R19" s="1844"/>
      <c r="S19" s="1845"/>
      <c r="T19" s="1721">
        <f>'Basis &amp; Credits'!T19</f>
        <v>0</v>
      </c>
      <c r="U19" s="1655"/>
      <c r="V19" s="1655"/>
      <c r="W19" s="1655"/>
      <c r="X19" s="1655"/>
      <c r="Y19" s="1721">
        <f>'Basis &amp; Credits'!Y19</f>
        <v>0</v>
      </c>
      <c r="Z19" s="1655"/>
      <c r="AA19" s="1655"/>
      <c r="AB19" s="1655"/>
      <c r="AC19" s="1655"/>
      <c r="AD19" s="1655">
        <f>'Basis &amp; Credits'!AD19</f>
        <v>0</v>
      </c>
      <c r="AE19" s="1655"/>
      <c r="AF19" s="1655"/>
      <c r="AG19" s="1655"/>
      <c r="AH19" s="1655"/>
      <c r="AI19" s="1655">
        <f>'Basis &amp; Credits'!AI19</f>
        <v>0</v>
      </c>
      <c r="AJ19" s="1655"/>
      <c r="AK19" s="1655"/>
      <c r="AL19" s="1655"/>
      <c r="AM19" s="1655"/>
    </row>
    <row r="20" spans="1:39" ht="13.2">
      <c r="B20" s="2220" t="s">
        <v>836</v>
      </c>
      <c r="C20" s="2221"/>
      <c r="D20" s="2221"/>
      <c r="E20" s="2221"/>
      <c r="F20" s="2221"/>
      <c r="G20" s="2221"/>
      <c r="H20" s="2221"/>
      <c r="I20" s="2221"/>
      <c r="J20" s="2221"/>
      <c r="K20" s="2221"/>
      <c r="L20" s="2221"/>
      <c r="M20" s="2221"/>
      <c r="N20" s="2221"/>
      <c r="O20" s="2221"/>
      <c r="P20" s="2221"/>
      <c r="Q20" s="2221"/>
      <c r="R20" s="2221"/>
      <c r="S20" s="2222"/>
      <c r="T20" s="2236">
        <f>SUM(T13:X19)</f>
        <v>0</v>
      </c>
      <c r="U20" s="2240"/>
      <c r="V20" s="2240"/>
      <c r="W20" s="2240"/>
      <c r="X20" s="2240"/>
      <c r="Y20" s="2236">
        <f>SUM(Y13:AC19)</f>
        <v>0</v>
      </c>
      <c r="Z20" s="2240"/>
      <c r="AA20" s="2240"/>
      <c r="AB20" s="2240"/>
      <c r="AC20" s="2240"/>
      <c r="AD20" s="2240">
        <f>SUM(AD13:AH19)</f>
        <v>0</v>
      </c>
      <c r="AE20" s="2240"/>
      <c r="AF20" s="2240"/>
      <c r="AG20" s="2240"/>
      <c r="AH20" s="2240"/>
      <c r="AI20" s="2240">
        <f>SUM(AI13:AM19)</f>
        <v>0</v>
      </c>
      <c r="AJ20" s="2240"/>
      <c r="AK20" s="2240"/>
      <c r="AL20" s="2240"/>
      <c r="AM20" s="2240"/>
    </row>
    <row r="21" spans="1:39" ht="13.2">
      <c r="B21" s="2220" t="s">
        <v>1874</v>
      </c>
      <c r="C21" s="2221"/>
      <c r="D21" s="2221"/>
      <c r="E21" s="2221"/>
      <c r="F21" s="2221"/>
      <c r="G21" s="2221"/>
      <c r="H21" s="2221"/>
      <c r="I21" s="2221"/>
      <c r="J21" s="2221"/>
      <c r="K21" s="2221"/>
      <c r="L21" s="2221"/>
      <c r="M21" s="2221"/>
      <c r="N21" s="2221"/>
      <c r="O21" s="2221"/>
      <c r="P21" s="2221"/>
      <c r="Q21" s="2221"/>
      <c r="R21" s="2221"/>
      <c r="S21" s="2222"/>
      <c r="T21" s="1721">
        <f>'Basis &amp; Credits'!E21</f>
        <v>0</v>
      </c>
      <c r="U21" s="1655"/>
      <c r="V21" s="1655"/>
      <c r="W21" s="1655"/>
      <c r="X21" s="1655"/>
      <c r="Y21" s="1721">
        <f>'Basis &amp; Credits'!J21</f>
        <v>0</v>
      </c>
      <c r="Z21" s="1655"/>
      <c r="AA21" s="1655"/>
      <c r="AB21" s="1655"/>
      <c r="AC21" s="1655"/>
      <c r="AD21" s="1655">
        <f>'Basis &amp; Credits'!O21</f>
        <v>0</v>
      </c>
      <c r="AE21" s="1655"/>
      <c r="AF21" s="1655"/>
      <c r="AG21" s="1655"/>
      <c r="AH21" s="1655"/>
      <c r="AI21" s="1655">
        <f>'Basis &amp; Credits'!T21</f>
        <v>13443707</v>
      </c>
      <c r="AJ21" s="1655"/>
      <c r="AK21" s="1655"/>
      <c r="AL21" s="1655"/>
      <c r="AM21" s="1655"/>
    </row>
    <row r="22" spans="1:39" ht="13.2">
      <c r="B22" s="2220" t="s">
        <v>837</v>
      </c>
      <c r="C22" s="2221"/>
      <c r="D22" s="2221"/>
      <c r="E22" s="2221"/>
      <c r="F22" s="2221"/>
      <c r="G22" s="2221"/>
      <c r="H22" s="2221"/>
      <c r="I22" s="2221"/>
      <c r="J22" s="2221"/>
      <c r="K22" s="2221"/>
      <c r="L22" s="2221"/>
      <c r="M22" s="2221"/>
      <c r="N22" s="2221"/>
      <c r="O22" s="2221"/>
      <c r="P22" s="2221"/>
      <c r="Q22" s="2221"/>
      <c r="R22" s="2221"/>
      <c r="S22" s="2222"/>
      <c r="T22" s="2237">
        <f>(T20+T21)*-1</f>
        <v>0</v>
      </c>
      <c r="U22" s="2238"/>
      <c r="V22" s="2238"/>
      <c r="W22" s="2238"/>
      <c r="X22" s="2238"/>
      <c r="Y22" s="2237">
        <f>(Y20+Y21)*-1</f>
        <v>0</v>
      </c>
      <c r="Z22" s="2238"/>
      <c r="AA22" s="2238"/>
      <c r="AB22" s="2238"/>
      <c r="AC22" s="2238"/>
      <c r="AD22" s="2237">
        <f>(AD20+AD21)*-1</f>
        <v>0</v>
      </c>
      <c r="AE22" s="2238"/>
      <c r="AF22" s="2238"/>
      <c r="AG22" s="2238"/>
      <c r="AH22" s="2238"/>
      <c r="AI22" s="2237">
        <f>(AI20+AI21)*-1</f>
        <v>-13443707</v>
      </c>
      <c r="AJ22" s="2238"/>
      <c r="AK22" s="2238"/>
      <c r="AL22" s="2238"/>
      <c r="AM22" s="2238"/>
    </row>
    <row r="23" spans="1:39" ht="13.2">
      <c r="A23" s="2"/>
      <c r="B23" s="2231" t="s">
        <v>838</v>
      </c>
      <c r="C23" s="2232"/>
      <c r="D23" s="2232"/>
      <c r="E23" s="2232"/>
      <c r="F23" s="2232"/>
      <c r="G23" s="2232"/>
      <c r="H23" s="2232"/>
      <c r="I23" s="2232"/>
      <c r="J23" s="2232"/>
      <c r="K23" s="2232"/>
      <c r="L23" s="2232"/>
      <c r="M23" s="2232"/>
      <c r="N23" s="2232"/>
      <c r="O23" s="2232"/>
      <c r="P23" s="2232"/>
      <c r="Q23" s="2232"/>
      <c r="R23" s="2232"/>
      <c r="S23" s="2233"/>
      <c r="T23" s="2236">
        <f>T11+T22</f>
        <v>39608873</v>
      </c>
      <c r="U23" s="2240"/>
      <c r="V23" s="2240"/>
      <c r="W23" s="2240"/>
      <c r="X23" s="2240"/>
      <c r="Y23" s="2236">
        <f>Y11+Y22</f>
        <v>0</v>
      </c>
      <c r="Z23" s="2240"/>
      <c r="AA23" s="2240"/>
      <c r="AB23" s="2240"/>
      <c r="AC23" s="2240"/>
      <c r="AD23" s="2236">
        <f>AD11+AD22</f>
        <v>0</v>
      </c>
      <c r="AE23" s="2240"/>
      <c r="AF23" s="2240"/>
      <c r="AG23" s="2240"/>
      <c r="AH23" s="2240"/>
      <c r="AI23" s="2236">
        <f>AI11+AI22</f>
        <v>-13443707</v>
      </c>
      <c r="AJ23" s="2240"/>
      <c r="AK23" s="2240"/>
      <c r="AL23" s="2240"/>
      <c r="AM23" s="2240"/>
    </row>
    <row r="24" spans="1:39" ht="13.2">
      <c r="B24" s="2220" t="s">
        <v>1317</v>
      </c>
      <c r="C24" s="2221"/>
      <c r="D24" s="2221"/>
      <c r="E24" s="2221"/>
      <c r="F24" s="2221"/>
      <c r="G24" s="2221"/>
      <c r="H24" s="2221"/>
      <c r="I24" s="2221"/>
      <c r="J24" s="2221"/>
      <c r="K24" s="2221"/>
      <c r="L24" s="2221"/>
      <c r="M24" s="2221"/>
      <c r="N24" s="2221"/>
      <c r="O24" s="2221"/>
      <c r="P24" s="2221"/>
      <c r="Q24" s="2221"/>
      <c r="R24" s="2221"/>
      <c r="S24" s="2222"/>
      <c r="T24" s="2234">
        <f>Application!AD993</f>
        <v>0</v>
      </c>
      <c r="U24" s="2235"/>
      <c r="V24" s="2235"/>
      <c r="W24" s="2235"/>
      <c r="X24" s="2235"/>
      <c r="Y24" s="2235"/>
      <c r="Z24" s="2235"/>
      <c r="AA24" s="2235"/>
      <c r="AB24" s="2235"/>
      <c r="AC24" s="2235"/>
      <c r="AD24" s="2235"/>
      <c r="AE24" s="2235"/>
      <c r="AF24" s="2235"/>
      <c r="AG24" s="2235"/>
      <c r="AH24" s="2235"/>
      <c r="AI24" s="2235"/>
      <c r="AJ24" s="2235"/>
      <c r="AK24" s="2235"/>
      <c r="AL24" s="2235"/>
      <c r="AM24" s="2236"/>
    </row>
    <row r="25" spans="1:39" ht="13.2">
      <c r="B25" s="2223" t="s">
        <v>1912</v>
      </c>
      <c r="C25" s="2224"/>
      <c r="D25" s="2224"/>
      <c r="E25" s="2224"/>
      <c r="F25" s="2224"/>
      <c r="G25" s="2224"/>
      <c r="H25" s="2224"/>
      <c r="I25" s="2224"/>
      <c r="J25" s="2224"/>
      <c r="K25" s="2224"/>
      <c r="L25" s="2224"/>
      <c r="M25" s="2224"/>
      <c r="N25" s="2224"/>
      <c r="O25" s="2224"/>
      <c r="P25" s="2224"/>
      <c r="Q25" s="2224"/>
      <c r="R25" s="2224"/>
      <c r="S25" s="2225"/>
      <c r="T25" s="2243">
        <v>1</v>
      </c>
      <c r="U25" s="2244"/>
      <c r="V25" s="2244"/>
      <c r="W25" s="2244"/>
      <c r="X25" s="2245"/>
      <c r="Y25" s="2243">
        <v>1</v>
      </c>
      <c r="Z25" s="2244"/>
      <c r="AA25" s="2244"/>
      <c r="AB25" s="2244"/>
      <c r="AC25" s="2245"/>
      <c r="AD25" s="2243">
        <v>1</v>
      </c>
      <c r="AE25" s="2244"/>
      <c r="AF25" s="2244"/>
      <c r="AG25" s="2244"/>
      <c r="AH25" s="2245"/>
      <c r="AI25" s="2243">
        <v>1</v>
      </c>
      <c r="AJ25" s="2244"/>
      <c r="AK25" s="2244"/>
      <c r="AL25" s="2244"/>
      <c r="AM25" s="2245"/>
    </row>
    <row r="26" spans="1:39" ht="13.2">
      <c r="B26" s="2220" t="s">
        <v>839</v>
      </c>
      <c r="C26" s="2221"/>
      <c r="D26" s="2221"/>
      <c r="E26" s="2221"/>
      <c r="F26" s="2221"/>
      <c r="G26" s="2221"/>
      <c r="H26" s="2221"/>
      <c r="I26" s="2221"/>
      <c r="J26" s="2221"/>
      <c r="K26" s="2221"/>
      <c r="L26" s="2221"/>
      <c r="M26" s="2221"/>
      <c r="N26" s="2221"/>
      <c r="O26" s="2221"/>
      <c r="P26" s="2221"/>
      <c r="Q26" s="2221"/>
      <c r="R26" s="2221"/>
      <c r="S26" s="2222"/>
      <c r="T26" s="2241">
        <f>T23*T25</f>
        <v>39608873</v>
      </c>
      <c r="U26" s="2242"/>
      <c r="V26" s="2242"/>
      <c r="W26" s="2242"/>
      <c r="X26" s="2242"/>
      <c r="Y26" s="2241">
        <f>Y23*Y25</f>
        <v>0</v>
      </c>
      <c r="Z26" s="2242"/>
      <c r="AA26" s="2242"/>
      <c r="AB26" s="2242"/>
      <c r="AC26" s="2242"/>
      <c r="AD26" s="2241">
        <f>AD23*AD25</f>
        <v>0</v>
      </c>
      <c r="AE26" s="2242"/>
      <c r="AF26" s="2242"/>
      <c r="AG26" s="2242"/>
      <c r="AH26" s="2242"/>
      <c r="AI26" s="2241">
        <f>AI23*AI25</f>
        <v>-13443707</v>
      </c>
      <c r="AJ26" s="2242"/>
      <c r="AK26" s="2242"/>
      <c r="AL26" s="2242"/>
      <c r="AM26" s="2242"/>
    </row>
    <row r="27" spans="1:39" ht="13.2">
      <c r="A27" s="7"/>
      <c r="B27" s="2226" t="s">
        <v>957</v>
      </c>
      <c r="C27" s="2227"/>
      <c r="D27" s="2227"/>
      <c r="E27" s="2227"/>
      <c r="F27" s="2227"/>
      <c r="G27" s="2227"/>
      <c r="H27" s="2227"/>
      <c r="I27" s="2227"/>
      <c r="J27" s="2227"/>
      <c r="K27" s="2227"/>
      <c r="L27" s="2227"/>
      <c r="M27" s="2227"/>
      <c r="N27" s="2227"/>
      <c r="O27" s="2227"/>
      <c r="P27" s="2227"/>
      <c r="Q27" s="2227"/>
      <c r="R27" s="2227"/>
      <c r="S27" s="2228"/>
      <c r="T27" s="2229">
        <f>Application!AG438</f>
        <v>1</v>
      </c>
      <c r="U27" s="2230"/>
      <c r="V27" s="2230"/>
      <c r="W27" s="2230"/>
      <c r="X27" s="2230"/>
      <c r="Y27" s="2229">
        <f>Application!AG438</f>
        <v>1</v>
      </c>
      <c r="Z27" s="2230"/>
      <c r="AA27" s="2230"/>
      <c r="AB27" s="2230"/>
      <c r="AC27" s="2230"/>
      <c r="AD27" s="2229">
        <f>Application!AG438</f>
        <v>1</v>
      </c>
      <c r="AE27" s="2230"/>
      <c r="AF27" s="2230"/>
      <c r="AG27" s="2230"/>
      <c r="AH27" s="2230"/>
      <c r="AI27" s="2229">
        <f>Application!AG438</f>
        <v>1</v>
      </c>
      <c r="AJ27" s="2230"/>
      <c r="AK27" s="2230"/>
      <c r="AL27" s="2230"/>
      <c r="AM27" s="2230"/>
    </row>
    <row r="28" spans="1:39" ht="12.75" customHeight="1">
      <c r="A28" s="6"/>
      <c r="B28" s="2220" t="s">
        <v>917</v>
      </c>
      <c r="C28" s="2221"/>
      <c r="D28" s="2221"/>
      <c r="E28" s="2221"/>
      <c r="F28" s="2221"/>
      <c r="G28" s="2221"/>
      <c r="H28" s="2221"/>
      <c r="I28" s="2221"/>
      <c r="J28" s="2221"/>
      <c r="K28" s="2221"/>
      <c r="L28" s="2221"/>
      <c r="M28" s="2221"/>
      <c r="N28" s="2221"/>
      <c r="O28" s="2221"/>
      <c r="P28" s="2221"/>
      <c r="Q28" s="2221"/>
      <c r="R28" s="2221"/>
      <c r="S28" s="2222"/>
      <c r="T28" s="1788">
        <f>IF(ISERROR((T26*T27)),0,(T26*T27))</f>
        <v>39608873</v>
      </c>
      <c r="U28" s="2239"/>
      <c r="V28" s="2239"/>
      <c r="W28" s="2239"/>
      <c r="X28" s="2239"/>
      <c r="Y28" s="1788">
        <f>IF(ISERROR((Y26*Y27)),0,(Y26*Y27))</f>
        <v>0</v>
      </c>
      <c r="Z28" s="2239"/>
      <c r="AA28" s="2239"/>
      <c r="AB28" s="2239"/>
      <c r="AC28" s="2239"/>
      <c r="AD28" s="1788">
        <f>IF(ISERROR((AD26*AD27)),0,(AD26*AD27))</f>
        <v>0</v>
      </c>
      <c r="AE28" s="2239"/>
      <c r="AF28" s="2239"/>
      <c r="AG28" s="2239"/>
      <c r="AH28" s="2239"/>
      <c r="AI28" s="1788">
        <f>IF(ISERROR((AI26*AI27)),0,(AI26*AI27))</f>
        <v>-13443707</v>
      </c>
      <c r="AJ28" s="2239"/>
      <c r="AK28" s="2239"/>
      <c r="AL28" s="2239"/>
      <c r="AM28" s="2239"/>
    </row>
    <row r="29" spans="1:39" ht="13.2">
      <c r="B29" s="2220" t="s">
        <v>685</v>
      </c>
      <c r="C29" s="2221"/>
      <c r="D29" s="2221"/>
      <c r="E29" s="2221"/>
      <c r="F29" s="2221"/>
      <c r="G29" s="2221"/>
      <c r="H29" s="2221"/>
      <c r="I29" s="2221"/>
      <c r="J29" s="2221"/>
      <c r="K29" s="2221"/>
      <c r="L29" s="2221"/>
      <c r="M29" s="2221"/>
      <c r="N29" s="2221"/>
      <c r="O29" s="2221"/>
      <c r="P29" s="2221"/>
      <c r="Q29" s="2221"/>
      <c r="R29" s="2221"/>
      <c r="S29" s="2222"/>
      <c r="T29" s="2234">
        <f>T28+Y28+AD28+AI28</f>
        <v>26165166</v>
      </c>
      <c r="U29" s="2235"/>
      <c r="V29" s="2235"/>
      <c r="W29" s="2235"/>
      <c r="X29" s="2235"/>
      <c r="Y29" s="2235"/>
      <c r="Z29" s="2235"/>
      <c r="AA29" s="2235"/>
      <c r="AB29" s="2235"/>
      <c r="AC29" s="2235"/>
      <c r="AD29" s="2235"/>
      <c r="AE29" s="2235"/>
      <c r="AF29" s="2235"/>
      <c r="AG29" s="2235"/>
      <c r="AH29" s="2235"/>
      <c r="AI29" s="2235"/>
      <c r="AJ29" s="2235"/>
      <c r="AK29" s="2235"/>
      <c r="AL29" s="2235"/>
      <c r="AM29" s="2236"/>
    </row>
    <row r="30" spans="1:39" ht="12.75" customHeight="1">
      <c r="B30" s="2669"/>
      <c r="C30" s="2669"/>
      <c r="D30" s="2669"/>
      <c r="E30" s="2669"/>
      <c r="F30" s="2669"/>
      <c r="G30" s="2669"/>
      <c r="H30" s="2669"/>
      <c r="I30" s="2669"/>
      <c r="J30" s="2669"/>
      <c r="K30" s="2669"/>
      <c r="L30" s="2669"/>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48" t="s">
        <v>1757</v>
      </c>
      <c r="Z35" s="2248"/>
      <c r="AA35" s="2248"/>
      <c r="AB35" s="2248"/>
      <c r="AC35" s="2248"/>
      <c r="AD35" s="2292" t="s">
        <v>46</v>
      </c>
      <c r="AE35" s="2292"/>
      <c r="AF35" s="2292"/>
      <c r="AG35" s="2292"/>
      <c r="AH35" s="229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8"/>
      <c r="Z36" s="2248"/>
      <c r="AA36" s="2248"/>
      <c r="AB36" s="2248"/>
      <c r="AC36" s="2248"/>
      <c r="AD36" s="2292"/>
      <c r="AE36" s="2292"/>
      <c r="AF36" s="2292"/>
      <c r="AG36" s="2292"/>
      <c r="AH36" s="2292"/>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8"/>
      <c r="Z37" s="2248"/>
      <c r="AA37" s="2248"/>
      <c r="AB37" s="2248"/>
      <c r="AC37" s="2248"/>
      <c r="AD37" s="2292"/>
      <c r="AE37" s="2292"/>
      <c r="AF37" s="2292"/>
      <c r="AG37" s="2292"/>
      <c r="AH37" s="2292"/>
    </row>
    <row r="38" spans="1:40" ht="12.75" customHeight="1">
      <c r="A38" s="6"/>
      <c r="B38" s="2220" t="s">
        <v>917</v>
      </c>
      <c r="C38" s="2221"/>
      <c r="D38" s="2221"/>
      <c r="E38" s="2221"/>
      <c r="F38" s="2221"/>
      <c r="G38" s="2221"/>
      <c r="H38" s="2221"/>
      <c r="I38" s="2221"/>
      <c r="J38" s="2221"/>
      <c r="K38" s="2221"/>
      <c r="L38" s="2221"/>
      <c r="M38" s="2221"/>
      <c r="N38" s="2221"/>
      <c r="O38" s="2221"/>
      <c r="P38" s="2221"/>
      <c r="Q38" s="2221"/>
      <c r="R38" s="2221"/>
      <c r="S38" s="2221"/>
      <c r="T38" s="2221"/>
      <c r="U38" s="2221"/>
      <c r="V38" s="2221"/>
      <c r="W38" s="2221"/>
      <c r="X38" s="2222"/>
      <c r="Y38" s="2240">
        <f>IF(T24&gt;=(T23+Y23+AD23+AI23),T28+Y28,0)</f>
        <v>0</v>
      </c>
      <c r="Z38" s="2240"/>
      <c r="AA38" s="2240"/>
      <c r="AB38" s="2240"/>
      <c r="AC38" s="2240"/>
      <c r="AD38" s="2240">
        <f>IF(T24&gt;=(T23+Y23+AD23+AI23),AD28+AI28,0)</f>
        <v>0</v>
      </c>
      <c r="AE38" s="2240"/>
      <c r="AF38" s="2240"/>
      <c r="AG38" s="2240"/>
      <c r="AH38" s="2240"/>
    </row>
    <row r="39" spans="1:40" ht="13.2">
      <c r="B39" s="2220" t="s">
        <v>829</v>
      </c>
      <c r="C39" s="2221"/>
      <c r="D39" s="2221"/>
      <c r="E39" s="2221"/>
      <c r="F39" s="2221"/>
      <c r="G39" s="2221"/>
      <c r="H39" s="2221"/>
      <c r="I39" s="2221"/>
      <c r="J39" s="2221"/>
      <c r="K39" s="2221"/>
      <c r="L39" s="2221"/>
      <c r="M39" s="2221"/>
      <c r="N39" s="2221"/>
      <c r="O39" s="2221"/>
      <c r="P39" s="2221"/>
      <c r="Q39" s="2221"/>
      <c r="R39" s="2221"/>
      <c r="S39" s="2221"/>
      <c r="T39" s="2221"/>
      <c r="U39" s="2221"/>
      <c r="V39" s="2221"/>
      <c r="W39" s="2221"/>
      <c r="X39" s="2222"/>
      <c r="Y39" s="2668">
        <v>0.09</v>
      </c>
      <c r="Z39" s="2668"/>
      <c r="AA39" s="2668"/>
      <c r="AB39" s="2668"/>
      <c r="AC39" s="2668"/>
      <c r="AD39" s="2668">
        <f>'Basis &amp; Credits'!AD39:AH39</f>
        <v>0.04</v>
      </c>
      <c r="AE39" s="2668"/>
      <c r="AF39" s="2668"/>
      <c r="AG39" s="2668"/>
      <c r="AH39" s="2668"/>
    </row>
    <row r="40" spans="1:40" ht="12.75" customHeight="1">
      <c r="A40" s="6"/>
      <c r="B40" s="2220" t="s">
        <v>26</v>
      </c>
      <c r="C40" s="2221"/>
      <c r="D40" s="2221"/>
      <c r="E40" s="2221"/>
      <c r="F40" s="2221"/>
      <c r="G40" s="2221"/>
      <c r="H40" s="2221"/>
      <c r="I40" s="2221"/>
      <c r="J40" s="2221"/>
      <c r="K40" s="2221"/>
      <c r="L40" s="2221"/>
      <c r="M40" s="2221"/>
      <c r="N40" s="2221"/>
      <c r="O40" s="2221"/>
      <c r="P40" s="2221"/>
      <c r="Q40" s="2221"/>
      <c r="R40" s="2221"/>
      <c r="S40" s="2221"/>
      <c r="T40" s="2221"/>
      <c r="U40" s="2221"/>
      <c r="V40" s="2221"/>
      <c r="W40" s="2221"/>
      <c r="X40" s="2222"/>
      <c r="Y40" s="2240">
        <f>ROUND(Y38*Y39,0)</f>
        <v>0</v>
      </c>
      <c r="Z40" s="2240"/>
      <c r="AA40" s="2240"/>
      <c r="AB40" s="2240"/>
      <c r="AC40" s="2240"/>
      <c r="AD40" s="2236">
        <f>ROUND(AD38*AD39,0)</f>
        <v>0</v>
      </c>
      <c r="AE40" s="2240"/>
      <c r="AF40" s="2240"/>
      <c r="AG40" s="2240"/>
      <c r="AH40" s="2240"/>
    </row>
    <row r="41" spans="1:40" ht="13.2">
      <c r="B41" s="2220" t="s">
        <v>679</v>
      </c>
      <c r="C41" s="2221"/>
      <c r="D41" s="2221"/>
      <c r="E41" s="2221"/>
      <c r="F41" s="2221"/>
      <c r="G41" s="2221"/>
      <c r="H41" s="2221"/>
      <c r="I41" s="2221"/>
      <c r="J41" s="2221"/>
      <c r="K41" s="2221"/>
      <c r="L41" s="2221"/>
      <c r="M41" s="2221"/>
      <c r="N41" s="2221"/>
      <c r="O41" s="2221"/>
      <c r="P41" s="2221"/>
      <c r="Q41" s="2221"/>
      <c r="R41" s="2221"/>
      <c r="S41" s="2221"/>
      <c r="T41" s="2221"/>
      <c r="U41" s="2221"/>
      <c r="V41" s="2221"/>
      <c r="W41" s="2221"/>
      <c r="X41" s="2222"/>
      <c r="Y41" s="2298">
        <f>IF((Y40+AD40)&gt;2500000,2500000,Y40+AD40)</f>
        <v>0</v>
      </c>
      <c r="Z41" s="2299"/>
      <c r="AA41" s="2299"/>
      <c r="AB41" s="2299"/>
      <c r="AC41" s="2299"/>
      <c r="AD41" s="2299"/>
      <c r="AE41" s="2299"/>
      <c r="AF41" s="2299"/>
      <c r="AG41" s="2299"/>
      <c r="AH41" s="2300"/>
    </row>
    <row r="42" spans="1:40" ht="12.75" customHeight="1">
      <c r="A42" s="6"/>
      <c r="B42" s="2282" t="s">
        <v>1257</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23"/>
      <c r="AJ42" s="923"/>
      <c r="AK42" s="923"/>
      <c r="AL42" s="923"/>
      <c r="AM42" s="923"/>
      <c r="AN42" s="923"/>
    </row>
    <row r="43" spans="1:40"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2">
      <c r="A45" s="6" t="s">
        <v>130</v>
      </c>
      <c r="C45" s="6" t="s">
        <v>280</v>
      </c>
    </row>
    <row r="46" spans="1:40" ht="13.2">
      <c r="D46" s="6" t="s">
        <v>281</v>
      </c>
      <c r="AB46" s="2286">
        <f>'Sources and Uses Budget'!B104-'Sources and Uses Budget'!$B$15</f>
        <v>50907291</v>
      </c>
      <c r="AC46" s="2287"/>
      <c r="AD46" s="2287"/>
      <c r="AE46" s="2287"/>
      <c r="AF46" s="2288"/>
    </row>
    <row r="47" spans="1:40" ht="12.75" customHeight="1">
      <c r="D47" s="6" t="s">
        <v>911</v>
      </c>
      <c r="AB47" s="2286">
        <f>Application!AG644-MIN('Sources and Uses Budget'!B15,Application!AG385)</f>
        <v>0</v>
      </c>
      <c r="AC47" s="2287"/>
      <c r="AD47" s="2287"/>
      <c r="AE47" s="2287"/>
      <c r="AF47" s="2288"/>
    </row>
    <row r="48" spans="1:40" ht="13.2">
      <c r="D48" s="6" t="s">
        <v>419</v>
      </c>
      <c r="AB48" s="2286">
        <f>AB46-AB47</f>
        <v>50907291</v>
      </c>
      <c r="AC48" s="2287"/>
      <c r="AD48" s="2287"/>
      <c r="AE48" s="2287"/>
      <c r="AF48" s="2288"/>
    </row>
    <row r="49" spans="1:40" ht="13.2">
      <c r="D49" s="6" t="s">
        <v>950</v>
      </c>
      <c r="X49" s="2"/>
      <c r="Y49" s="2"/>
      <c r="Z49" s="2"/>
      <c r="AA49" s="409"/>
      <c r="AB49" s="2276"/>
      <c r="AC49" s="2277"/>
      <c r="AD49" s="2277"/>
      <c r="AE49" s="2277"/>
      <c r="AF49" s="2278"/>
    </row>
    <row r="50" spans="1:40" s="497" customFormat="1" ht="15" customHeight="1">
      <c r="A50" s="2"/>
      <c r="B50" s="2"/>
      <c r="C50" s="2"/>
      <c r="D50" s="272"/>
      <c r="E50" s="2289" t="s">
        <v>1473</v>
      </c>
      <c r="F50" s="2289"/>
      <c r="G50" s="2289"/>
      <c r="H50" s="2289"/>
      <c r="I50" s="2289"/>
      <c r="J50" s="2289"/>
      <c r="K50" s="2289"/>
      <c r="L50" s="2289"/>
      <c r="M50" s="2289"/>
      <c r="N50" s="2289"/>
      <c r="O50" s="2289"/>
      <c r="P50" s="2289"/>
      <c r="Q50" s="2289"/>
      <c r="R50" s="2289"/>
      <c r="S50" s="2289"/>
      <c r="T50" s="2289"/>
      <c r="U50" s="2289"/>
      <c r="V50" s="2289"/>
      <c r="W50" s="2289"/>
      <c r="X50" s="2289"/>
      <c r="Y50" s="2289"/>
      <c r="Z50" s="2289"/>
      <c r="AA50" s="755"/>
      <c r="AB50" s="755"/>
      <c r="AC50" s="755"/>
      <c r="AD50" s="755"/>
      <c r="AE50" s="755"/>
      <c r="AF50" s="755"/>
      <c r="AG50" s="2"/>
      <c r="AH50" s="2"/>
      <c r="AI50" s="2"/>
      <c r="AJ50" s="2"/>
      <c r="AK50" s="2"/>
      <c r="AL50" s="2"/>
      <c r="AM50" s="2"/>
      <c r="AN50" s="2"/>
    </row>
    <row r="51" spans="1:40" s="497" customFormat="1" ht="12" customHeight="1">
      <c r="A51" s="2"/>
      <c r="B51" s="2"/>
      <c r="C51" s="2"/>
      <c r="D51" s="272"/>
      <c r="E51" s="2289"/>
      <c r="F51" s="2289"/>
      <c r="G51" s="2289"/>
      <c r="H51" s="2289"/>
      <c r="I51" s="2289"/>
      <c r="J51" s="2289"/>
      <c r="K51" s="2289"/>
      <c r="L51" s="2289"/>
      <c r="M51" s="2289"/>
      <c r="N51" s="2289"/>
      <c r="O51" s="2289"/>
      <c r="P51" s="2289"/>
      <c r="Q51" s="2289"/>
      <c r="R51" s="2289"/>
      <c r="S51" s="2289"/>
      <c r="T51" s="2289"/>
      <c r="U51" s="2289"/>
      <c r="V51" s="2289"/>
      <c r="W51" s="2289"/>
      <c r="X51" s="2289"/>
      <c r="Y51" s="2289"/>
      <c r="Z51" s="228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6">
        <f>ROUND(IF(ISERROR((AB48/AB49)),0,(AB48/AB49)),0)</f>
        <v>0</v>
      </c>
      <c r="AC53" s="2287"/>
      <c r="AD53" s="2287"/>
      <c r="AE53" s="2287"/>
      <c r="AF53" s="2288"/>
    </row>
    <row r="54" spans="1:40" ht="12.75" customHeight="1">
      <c r="D54" s="6" t="s">
        <v>618</v>
      </c>
      <c r="AB54" s="2286">
        <f>(AB53/10)</f>
        <v>0</v>
      </c>
      <c r="AC54" s="2287"/>
      <c r="AD54" s="2287"/>
      <c r="AE54" s="2287"/>
      <c r="AF54" s="2288"/>
    </row>
    <row r="55" spans="1:40" ht="13.2">
      <c r="D55" s="6" t="s">
        <v>378</v>
      </c>
      <c r="AB55" s="2283">
        <f>(IF((Y41&lt;AB54),Y41,AB54))</f>
        <v>0</v>
      </c>
      <c r="AC55" s="2284"/>
      <c r="AD55" s="2284"/>
      <c r="AE55" s="2284"/>
      <c r="AF55" s="2285"/>
    </row>
    <row r="56" spans="1:40" ht="13.2">
      <c r="D56" s="6" t="s">
        <v>118</v>
      </c>
      <c r="AB56" s="2286">
        <f>ROUND((10*AB55*AB49),0)</f>
        <v>0</v>
      </c>
      <c r="AC56" s="2287"/>
      <c r="AD56" s="2287"/>
      <c r="AE56" s="2287"/>
      <c r="AF56" s="228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9">
        <f>AB48-AB56</f>
        <v>50907291</v>
      </c>
      <c r="AC58" s="2269"/>
      <c r="AD58" s="2269"/>
      <c r="AE58" s="2269"/>
      <c r="AF58" s="226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93" t="s">
        <v>1915</v>
      </c>
      <c r="B60" s="2293"/>
      <c r="C60" s="2293"/>
      <c r="D60" s="2293"/>
      <c r="E60" s="2293"/>
      <c r="F60" s="2293"/>
      <c r="G60" s="2293"/>
      <c r="H60" s="2293"/>
      <c r="I60" s="2293"/>
      <c r="J60" s="2293"/>
      <c r="K60" s="2293"/>
      <c r="L60" s="2293"/>
      <c r="M60" s="2293"/>
      <c r="N60" s="2293"/>
      <c r="O60" s="2293"/>
      <c r="P60" s="2293"/>
      <c r="Q60" s="2293"/>
      <c r="R60" s="2293"/>
      <c r="S60" s="2293"/>
      <c r="T60" s="2293"/>
      <c r="U60" s="2293"/>
      <c r="V60" s="2293"/>
      <c r="W60" s="2293"/>
      <c r="X60" s="2293"/>
      <c r="Y60" s="2293"/>
      <c r="Z60" s="2293"/>
      <c r="AA60" s="2293"/>
      <c r="AB60" s="2293"/>
      <c r="AC60" s="2293"/>
      <c r="AD60" s="2293"/>
      <c r="AE60" s="2293"/>
      <c r="AF60" s="2293"/>
      <c r="AG60" s="2293"/>
      <c r="AH60" s="2293"/>
      <c r="AI60" s="2293"/>
      <c r="AJ60" s="2293"/>
      <c r="AK60" s="2293"/>
      <c r="AL60" s="2293"/>
      <c r="AM60" s="2293"/>
      <c r="AN60" s="2293"/>
    </row>
    <row r="61" spans="1:40" ht="13.65" customHeight="1" thickTop="1">
      <c r="A61" s="2295"/>
      <c r="B61" s="2295"/>
      <c r="C61" s="2295"/>
      <c r="D61" s="2295"/>
      <c r="E61" s="2295"/>
      <c r="F61" s="2295"/>
      <c r="G61" s="2295"/>
      <c r="H61" s="2295"/>
      <c r="I61" s="2295"/>
      <c r="J61" s="2295"/>
      <c r="K61" s="2295"/>
      <c r="L61" s="2295"/>
      <c r="M61" s="2295"/>
      <c r="N61" s="2295"/>
      <c r="O61" s="2295"/>
      <c r="P61" s="2295"/>
      <c r="Q61" s="2295"/>
      <c r="R61" s="2295"/>
      <c r="S61" s="2295"/>
      <c r="T61" s="2295"/>
      <c r="U61" s="2295"/>
      <c r="V61" s="2295"/>
      <c r="W61" s="2295"/>
      <c r="X61" s="2295"/>
      <c r="Y61" s="2295"/>
      <c r="Z61" s="2295"/>
      <c r="AA61" s="2295"/>
      <c r="AB61" s="2295"/>
      <c r="AC61" s="2295"/>
      <c r="AD61" s="2295"/>
      <c r="AE61" s="2295"/>
      <c r="AF61" s="2295"/>
      <c r="AG61" s="2295"/>
      <c r="AH61" s="2295"/>
      <c r="AI61" s="2295"/>
      <c r="AJ61" s="2295"/>
      <c r="AK61" s="2295"/>
      <c r="AL61" s="2295"/>
      <c r="AM61" s="2295"/>
      <c r="AN61" s="2295"/>
    </row>
    <row r="62" spans="1:40" ht="13.2">
      <c r="A62" s="358" t="s">
        <v>133</v>
      </c>
      <c r="B62" s="1"/>
      <c r="C62" s="358" t="s">
        <v>564</v>
      </c>
      <c r="D62" s="1"/>
      <c r="E62" s="1"/>
      <c r="F62" s="1"/>
      <c r="G62" s="1"/>
      <c r="H62" s="1"/>
      <c r="I62" s="1"/>
      <c r="J62" s="1"/>
      <c r="K62" s="1"/>
      <c r="L62" s="1"/>
      <c r="M62" s="1"/>
      <c r="N62" s="1"/>
      <c r="O62" s="1"/>
      <c r="P62" s="1"/>
      <c r="Q62" s="1"/>
      <c r="R62" s="1"/>
      <c r="S62" s="1"/>
      <c r="T62" s="1"/>
      <c r="U62" s="1"/>
      <c r="V62" s="1"/>
      <c r="W62" s="1"/>
      <c r="X62" s="1"/>
      <c r="Y62" s="2296" t="s">
        <v>330</v>
      </c>
      <c r="Z62" s="2296"/>
      <c r="AA62" s="2296"/>
      <c r="AB62" s="2296"/>
      <c r="AC62" s="2296"/>
      <c r="AD62" s="2296" t="s">
        <v>46</v>
      </c>
      <c r="AE62" s="2296"/>
      <c r="AF62" s="2296"/>
      <c r="AG62" s="2296"/>
      <c r="AH62" s="2296"/>
      <c r="AI62" s="1"/>
      <c r="AJ62" s="1"/>
      <c r="AK62" s="1"/>
      <c r="AL62" s="1"/>
      <c r="AM62" s="1"/>
      <c r="AN62" s="1"/>
    </row>
    <row r="63" spans="1:40" ht="13.2">
      <c r="C63" s="330"/>
      <c r="D63" s="1215" t="s">
        <v>1342</v>
      </c>
      <c r="E63" s="776"/>
      <c r="F63" s="776"/>
      <c r="G63" s="776"/>
      <c r="H63" s="776"/>
      <c r="I63" s="776"/>
      <c r="J63" s="776"/>
      <c r="K63" s="776"/>
      <c r="L63" s="22"/>
      <c r="M63" s="22"/>
      <c r="N63" s="22"/>
      <c r="O63" s="22"/>
      <c r="P63" s="22"/>
      <c r="Q63" s="22"/>
      <c r="R63" s="22"/>
      <c r="S63" s="22"/>
      <c r="T63" s="22"/>
      <c r="U63" s="22"/>
      <c r="V63" s="22"/>
      <c r="W63" s="22"/>
      <c r="X63" s="22"/>
      <c r="Y63" s="1722">
        <f>Y28</f>
        <v>0</v>
      </c>
      <c r="Z63" s="2279"/>
      <c r="AA63" s="2279"/>
      <c r="AB63" s="2279"/>
      <c r="AC63" s="2279"/>
      <c r="AD63" s="1722">
        <f>AI28</f>
        <v>-13443707</v>
      </c>
      <c r="AE63" s="2279"/>
      <c r="AF63" s="2279"/>
      <c r="AG63" s="2279"/>
      <c r="AH63" s="2279"/>
    </row>
    <row r="64" spans="1:40" ht="15" customHeight="1">
      <c r="C64" s="6"/>
      <c r="E64" s="2294" t="s">
        <v>1393</v>
      </c>
      <c r="F64" s="2294"/>
      <c r="G64" s="2294"/>
      <c r="H64" s="2294"/>
      <c r="I64" s="2294"/>
      <c r="J64" s="2294"/>
      <c r="K64" s="2294"/>
      <c r="L64" s="2294"/>
      <c r="M64" s="2294"/>
      <c r="N64" s="2294"/>
      <c r="O64" s="2294"/>
      <c r="P64" s="2294"/>
      <c r="Q64" s="2294"/>
      <c r="R64" s="2294"/>
      <c r="S64" s="2294"/>
      <c r="T64" s="2294"/>
      <c r="U64" s="2294"/>
      <c r="V64" s="2294"/>
      <c r="W64" s="2294"/>
      <c r="X64" s="2294"/>
      <c r="Y64" s="2294"/>
      <c r="Z64" s="2294"/>
      <c r="AA64" s="2294"/>
      <c r="AB64" s="2294"/>
      <c r="AC64" s="2294"/>
      <c r="AD64" s="2294"/>
      <c r="AE64" s="2294"/>
      <c r="AF64" s="2294"/>
      <c r="AG64" s="2294"/>
      <c r="AH64" s="2294"/>
    </row>
    <row r="65" spans="1:40" ht="24.45" customHeight="1">
      <c r="C65" s="6"/>
      <c r="E65" s="2294"/>
      <c r="F65" s="2294"/>
      <c r="G65" s="2294"/>
      <c r="H65" s="2294"/>
      <c r="I65" s="2294"/>
      <c r="J65" s="2294"/>
      <c r="K65" s="2294"/>
      <c r="L65" s="2294"/>
      <c r="M65" s="2294"/>
      <c r="N65" s="2294"/>
      <c r="O65" s="2294"/>
      <c r="P65" s="2294"/>
      <c r="Q65" s="2294"/>
      <c r="R65" s="2294"/>
      <c r="S65" s="2294"/>
      <c r="T65" s="2294"/>
      <c r="U65" s="2294"/>
      <c r="V65" s="2294"/>
      <c r="W65" s="2294"/>
      <c r="X65" s="2294"/>
      <c r="Y65" s="2294"/>
      <c r="Z65" s="2294"/>
      <c r="AA65" s="2294"/>
      <c r="AB65" s="2294"/>
      <c r="AC65" s="2294"/>
      <c r="AD65" s="2294"/>
      <c r="AE65" s="2294"/>
      <c r="AF65" s="2294"/>
      <c r="AG65" s="2294"/>
      <c r="AH65" s="2294"/>
    </row>
    <row r="66" spans="1:40" ht="13.2">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75">
        <v>0.3</v>
      </c>
      <c r="Z66" s="2275"/>
      <c r="AA66" s="2275"/>
      <c r="AB66" s="2275"/>
      <c r="AC66" s="2275"/>
      <c r="AD66" s="2275">
        <v>0.13</v>
      </c>
      <c r="AE66" s="2275"/>
      <c r="AF66" s="2275"/>
      <c r="AG66" s="2275"/>
      <c r="AH66" s="2275"/>
    </row>
    <row r="67" spans="1:40" ht="13.2">
      <c r="C67" s="6"/>
      <c r="D67" s="6" t="s">
        <v>1024</v>
      </c>
      <c r="Y67" s="1722">
        <f>ROUND(Y63*Y66,0)</f>
        <v>0</v>
      </c>
      <c r="Z67" s="2279"/>
      <c r="AA67" s="2279"/>
      <c r="AB67" s="2279"/>
      <c r="AC67" s="2279"/>
      <c r="AD67" s="1722" t="str">
        <f>IF(OR(Application!D211="At-Risk",Application!D211="At-Risk/Located in Rural Census Tract",Application!D214="At-Risk"),ROUND(AD63*AD66,0),"$0")</f>
        <v>$0</v>
      </c>
      <c r="AE67" s="2280"/>
      <c r="AF67" s="2280"/>
      <c r="AG67" s="2280"/>
      <c r="AH67" s="2280"/>
    </row>
    <row r="68" spans="1:40" ht="13.2">
      <c r="C68" s="6"/>
      <c r="E68" s="6"/>
      <c r="AB68" s="5"/>
      <c r="AC68" s="5"/>
      <c r="AD68" s="5"/>
      <c r="AE68" s="5"/>
      <c r="AF68" s="5"/>
    </row>
    <row r="69" spans="1:40" ht="13.2">
      <c r="A69" s="6" t="s">
        <v>134</v>
      </c>
      <c r="C69" s="6" t="s">
        <v>282</v>
      </c>
    </row>
    <row r="70" spans="1:40" ht="13.2">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75" customHeight="1">
      <c r="A71" s="330"/>
      <c r="B71" s="2"/>
      <c r="C71" s="330"/>
      <c r="D71" s="330"/>
      <c r="E71" s="2281" t="s">
        <v>1910</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777"/>
      <c r="AB71" s="777"/>
      <c r="AC71" s="777"/>
      <c r="AG71" s="2"/>
      <c r="AH71" s="2"/>
      <c r="AI71" s="2"/>
      <c r="AJ71" s="2"/>
      <c r="AK71" s="2"/>
      <c r="AL71" s="2"/>
      <c r="AM71" s="2"/>
      <c r="AN71" s="2"/>
    </row>
    <row r="72" spans="1:40" ht="12.75"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777"/>
      <c r="AB72" s="777"/>
      <c r="AC72" s="777"/>
      <c r="AG72" s="2"/>
      <c r="AH72" s="2"/>
      <c r="AI72" s="2"/>
      <c r="AJ72" s="2"/>
      <c r="AK72" s="2"/>
      <c r="AL72" s="2"/>
      <c r="AM72" s="2"/>
      <c r="AN72" s="2"/>
    </row>
    <row r="73" spans="1:40" ht="12"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74">
        <f>ROUND(IF(ISERROR((AB58/AB70)),0,(AB58/AB70)),0)</f>
        <v>0</v>
      </c>
      <c r="AC75" s="2274"/>
      <c r="AD75" s="2274"/>
      <c r="AE75" s="2274"/>
      <c r="AF75" s="2274"/>
    </row>
    <row r="76" spans="1:40" ht="12.75" customHeight="1">
      <c r="C76" s="6"/>
      <c r="D76" s="6" t="s">
        <v>116</v>
      </c>
      <c r="AB76" s="2271">
        <f>IF((Y67+AD67&lt;AB75),Y67+AD67,AB75)</f>
        <v>0</v>
      </c>
      <c r="AC76" s="2272"/>
      <c r="AD76" s="2272"/>
      <c r="AE76" s="2272"/>
      <c r="AF76" s="2273"/>
    </row>
    <row r="77" spans="1:40" ht="12.75" customHeight="1">
      <c r="C77" s="6"/>
      <c r="D77" s="6" t="s">
        <v>1025</v>
      </c>
      <c r="AB77" s="2270">
        <f>AB76*AB70</f>
        <v>0</v>
      </c>
      <c r="AC77" s="2270"/>
      <c r="AD77" s="2270"/>
      <c r="AE77" s="2270"/>
      <c r="AF77" s="2270"/>
    </row>
    <row r="78" spans="1:40" ht="12.75" customHeight="1">
      <c r="C78" s="6"/>
      <c r="D78" s="6"/>
      <c r="AB78" s="908"/>
      <c r="AC78" s="908"/>
      <c r="AD78" s="908"/>
      <c r="AE78" s="908"/>
      <c r="AF78" s="908"/>
    </row>
    <row r="79" spans="1:40" ht="12.75" customHeight="1">
      <c r="A79" s="1"/>
      <c r="B79" s="1"/>
      <c r="C79" s="1"/>
      <c r="D79" s="6" t="s">
        <v>117</v>
      </c>
      <c r="AB79" s="2269">
        <f>AB48-(AB56+AB77)</f>
        <v>50907291</v>
      </c>
      <c r="AC79" s="2269"/>
      <c r="AD79" s="2269"/>
      <c r="AE79" s="2269"/>
      <c r="AF79" s="226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sqref="A1:AN2"/>
    </sheetView>
  </sheetViews>
  <sheetFormatPr defaultColWidth="0" defaultRowHeight="0" customHeight="1" zeroHeight="1"/>
  <cols>
    <col min="1" max="1" width="1.44140625" style="1217" customWidth="1"/>
    <col min="2" max="2" width="0.88671875" style="1217" customWidth="1"/>
    <col min="3" max="18" width="2.44140625" style="1217" customWidth="1"/>
    <col min="19" max="19" width="4" style="1217" customWidth="1"/>
    <col min="20" max="39" width="2.44140625" style="1217" customWidth="1"/>
    <col min="40" max="40" width="1.44140625" style="1217" customWidth="1"/>
    <col min="41" max="16384" width="2.44140625" style="2" hidden="1"/>
  </cols>
  <sheetData>
    <row r="1" spans="1:40" ht="12.75" customHeight="1">
      <c r="A1" s="2265" t="s">
        <v>1474</v>
      </c>
      <c r="B1" s="2266"/>
      <c r="C1" s="2266"/>
      <c r="D1" s="2266"/>
      <c r="E1" s="2266"/>
      <c r="F1" s="2266"/>
      <c r="G1" s="2266"/>
      <c r="H1" s="2266"/>
      <c r="I1" s="2266"/>
      <c r="J1" s="2266"/>
      <c r="K1" s="2266"/>
      <c r="L1" s="2266"/>
      <c r="M1" s="2266"/>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c r="AL1" s="2266"/>
      <c r="AM1" s="2266"/>
      <c r="AN1" s="2266"/>
    </row>
    <row r="2" spans="1:40" ht="13.8" thickBot="1">
      <c r="A2" s="2267"/>
      <c r="B2" s="2267"/>
      <c r="C2" s="2267"/>
      <c r="D2" s="2267"/>
      <c r="E2" s="2267"/>
      <c r="F2" s="2267"/>
      <c r="G2" s="2267"/>
      <c r="H2" s="2267"/>
      <c r="I2" s="2267"/>
      <c r="J2" s="2267"/>
      <c r="K2" s="2267"/>
      <c r="L2" s="2267"/>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7"/>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715</v>
      </c>
      <c r="C5" s="6" t="s">
        <v>228</v>
      </c>
      <c r="F5" s="6"/>
    </row>
    <row r="6" spans="1:40" ht="13.2">
      <c r="B6" s="1076"/>
      <c r="AA6" s="2"/>
    </row>
    <row r="7" spans="1:40" ht="13.65" customHeight="1">
      <c r="B7" s="9"/>
      <c r="C7" s="10"/>
      <c r="D7" s="10"/>
      <c r="E7" s="10"/>
      <c r="F7" s="10"/>
      <c r="G7" s="10"/>
      <c r="H7" s="10"/>
      <c r="I7" s="10"/>
      <c r="J7" s="10"/>
      <c r="K7" s="10"/>
      <c r="L7" s="10"/>
      <c r="M7" s="10"/>
      <c r="N7" s="10"/>
      <c r="O7" s="10"/>
      <c r="P7" s="10"/>
      <c r="Q7" s="10"/>
      <c r="R7" s="10"/>
      <c r="S7" s="10"/>
      <c r="T7" s="2248" t="s">
        <v>1758</v>
      </c>
      <c r="U7" s="2248"/>
      <c r="V7" s="2248"/>
      <c r="W7" s="2248"/>
      <c r="X7" s="2248"/>
      <c r="Y7" s="2248" t="s">
        <v>1913</v>
      </c>
      <c r="Z7" s="2248"/>
      <c r="AA7" s="2248"/>
      <c r="AB7" s="2248"/>
      <c r="AC7" s="2248"/>
      <c r="AD7" s="2248" t="s">
        <v>1480</v>
      </c>
      <c r="AE7" s="2248"/>
      <c r="AF7" s="2248"/>
      <c r="AG7" s="2248"/>
      <c r="AH7" s="2248"/>
      <c r="AI7" s="2248" t="s">
        <v>1914</v>
      </c>
      <c r="AJ7" s="2248"/>
      <c r="AK7" s="2248"/>
      <c r="AL7" s="2248"/>
      <c r="AM7" s="2248"/>
    </row>
    <row r="8" spans="1:40" ht="12.75" customHeight="1">
      <c r="B8" s="337"/>
      <c r="C8" s="1"/>
      <c r="D8" s="1"/>
      <c r="E8" s="1"/>
      <c r="F8" s="1"/>
      <c r="G8" s="1"/>
      <c r="H8" s="1"/>
      <c r="I8" s="1"/>
      <c r="J8" s="1"/>
      <c r="K8" s="1"/>
      <c r="L8" s="1"/>
      <c r="M8" s="1"/>
      <c r="N8" s="1"/>
      <c r="O8" s="1"/>
      <c r="P8" s="1"/>
      <c r="Q8" s="1"/>
      <c r="R8" s="1"/>
      <c r="S8" s="1"/>
      <c r="T8" s="2248"/>
      <c r="U8" s="2248"/>
      <c r="V8" s="2248"/>
      <c r="W8" s="2248"/>
      <c r="X8" s="2248"/>
      <c r="Y8" s="2248"/>
      <c r="Z8" s="2248"/>
      <c r="AA8" s="2248"/>
      <c r="AB8" s="2248"/>
      <c r="AC8" s="2248"/>
      <c r="AD8" s="2248"/>
      <c r="AE8" s="2248"/>
      <c r="AF8" s="2248"/>
      <c r="AG8" s="2248"/>
      <c r="AH8" s="2248"/>
      <c r="AI8" s="2248"/>
      <c r="AJ8" s="2248"/>
      <c r="AK8" s="2248"/>
      <c r="AL8" s="2248"/>
      <c r="AM8" s="2248"/>
    </row>
    <row r="9" spans="1:40" ht="13.2">
      <c r="B9" s="337"/>
      <c r="C9" s="1"/>
      <c r="D9" s="1"/>
      <c r="E9" s="1"/>
      <c r="F9" s="1"/>
      <c r="G9" s="1"/>
      <c r="H9" s="1"/>
      <c r="I9" s="1"/>
      <c r="J9" s="1"/>
      <c r="K9" s="1"/>
      <c r="L9" s="1"/>
      <c r="M9" s="1"/>
      <c r="N9" s="1"/>
      <c r="O9" s="1"/>
      <c r="P9" s="1"/>
      <c r="Q9" s="1"/>
      <c r="R9" s="1"/>
      <c r="S9" s="1"/>
      <c r="T9" s="2248"/>
      <c r="U9" s="2248"/>
      <c r="V9" s="2248"/>
      <c r="W9" s="2248"/>
      <c r="X9" s="2248"/>
      <c r="Y9" s="2248"/>
      <c r="Z9" s="2248"/>
      <c r="AA9" s="2248"/>
      <c r="AB9" s="2248"/>
      <c r="AC9" s="2248"/>
      <c r="AD9" s="2248"/>
      <c r="AE9" s="2248"/>
      <c r="AF9" s="2248"/>
      <c r="AG9" s="2248"/>
      <c r="AH9" s="2248"/>
      <c r="AI9" s="2248"/>
      <c r="AJ9" s="2248"/>
      <c r="AK9" s="2248"/>
      <c r="AL9" s="2248"/>
      <c r="AM9" s="2248"/>
    </row>
    <row r="10" spans="1:40" ht="41.4" customHeight="1">
      <c r="B10" s="277"/>
      <c r="C10" s="278"/>
      <c r="D10" s="278"/>
      <c r="E10" s="278"/>
      <c r="F10" s="278"/>
      <c r="G10" s="278"/>
      <c r="H10" s="278"/>
      <c r="I10" s="278"/>
      <c r="J10" s="278"/>
      <c r="K10" s="278"/>
      <c r="L10" s="278"/>
      <c r="M10" s="278"/>
      <c r="N10" s="278"/>
      <c r="O10" s="278"/>
      <c r="P10" s="278"/>
      <c r="Q10" s="278"/>
      <c r="R10" s="278"/>
      <c r="S10" s="278"/>
      <c r="T10" s="2248"/>
      <c r="U10" s="2248"/>
      <c r="V10" s="2248"/>
      <c r="W10" s="2248"/>
      <c r="X10" s="2248"/>
      <c r="Y10" s="2248"/>
      <c r="Z10" s="2248"/>
      <c r="AA10" s="2248"/>
      <c r="AB10" s="2248"/>
      <c r="AC10" s="2248"/>
      <c r="AD10" s="2248"/>
      <c r="AE10" s="2248"/>
      <c r="AF10" s="2248"/>
      <c r="AG10" s="2248"/>
      <c r="AH10" s="2248"/>
      <c r="AI10" s="2248"/>
      <c r="AJ10" s="2248"/>
      <c r="AK10" s="2248"/>
      <c r="AL10" s="2248"/>
      <c r="AM10" s="2248"/>
    </row>
    <row r="11" spans="1:40" ht="13.2">
      <c r="B11" s="2220" t="s">
        <v>563</v>
      </c>
      <c r="C11" s="2221"/>
      <c r="D11" s="2221"/>
      <c r="E11" s="2221"/>
      <c r="F11" s="2221"/>
      <c r="G11" s="2221"/>
      <c r="H11" s="2221"/>
      <c r="I11" s="2221"/>
      <c r="J11" s="2221"/>
      <c r="K11" s="2221"/>
      <c r="L11" s="2221"/>
      <c r="M11" s="2221"/>
      <c r="N11" s="2221"/>
      <c r="O11" s="2221"/>
      <c r="P11" s="2221"/>
      <c r="Q11" s="2221"/>
      <c r="R11" s="2221"/>
      <c r="S11" s="2222"/>
      <c r="T11" s="2259">
        <f>IF('Sources and Basis Breakdown'!F105=0,'Sources and Basis Breakdown'!E105,'Sources and Basis Breakdown'!F105)</f>
        <v>39608873</v>
      </c>
      <c r="U11" s="2249"/>
      <c r="V11" s="2249"/>
      <c r="W11" s="2249"/>
      <c r="X11" s="2249"/>
      <c r="Y11" s="2268">
        <f>IF('Sources and Basis Breakdown'!G105+'Sources and Basis Breakdown'!F105='Sources and Basis Breakdown'!E105,'Sources and Basis Breakdown'!G105,0)</f>
        <v>0</v>
      </c>
      <c r="Z11" s="2249"/>
      <c r="AA11" s="2249"/>
      <c r="AB11" s="2249"/>
      <c r="AC11" s="2249"/>
      <c r="AD11" s="2249">
        <f>IF('Sources and Basis Breakdown'!I105=0,'Sources and Basis Breakdown'!H105,'Sources and Basis Breakdown'!I105)</f>
        <v>0</v>
      </c>
      <c r="AE11" s="2249"/>
      <c r="AF11" s="2249"/>
      <c r="AG11" s="2249"/>
      <c r="AH11" s="2249"/>
      <c r="AI11" s="2249">
        <f>IF('Sources and Basis Breakdown'!I105+'Sources and Basis Breakdown'!J105='Sources and Basis Breakdown'!H105,'Sources and Basis Breakdown'!J105,0)</f>
        <v>0</v>
      </c>
      <c r="AJ11" s="2249"/>
      <c r="AK11" s="2249"/>
      <c r="AL11" s="2249"/>
      <c r="AM11" s="2249"/>
    </row>
    <row r="12" spans="1:40" ht="13.2">
      <c r="B12" s="2252" t="s">
        <v>493</v>
      </c>
      <c r="C12" s="2253"/>
      <c r="D12" s="2253"/>
      <c r="E12" s="2253"/>
      <c r="F12" s="2253"/>
      <c r="G12" s="2253"/>
      <c r="H12" s="2253"/>
      <c r="I12" s="2253"/>
      <c r="J12" s="2253"/>
      <c r="K12" s="2253"/>
      <c r="L12" s="2253"/>
      <c r="M12" s="2253"/>
      <c r="N12" s="2253"/>
      <c r="O12" s="2253"/>
      <c r="P12" s="2253"/>
      <c r="Q12" s="2253"/>
      <c r="R12" s="2253"/>
      <c r="S12" s="2254"/>
      <c r="T12" s="2262"/>
      <c r="U12" s="2263"/>
      <c r="V12" s="2263"/>
      <c r="W12" s="2263"/>
      <c r="X12" s="2264"/>
      <c r="Y12" s="2262"/>
      <c r="Z12" s="2263"/>
      <c r="AA12" s="2263"/>
      <c r="AB12" s="2263"/>
      <c r="AC12" s="2264"/>
      <c r="AD12" s="2262"/>
      <c r="AE12" s="2263"/>
      <c r="AF12" s="2263"/>
      <c r="AG12" s="2263"/>
      <c r="AH12" s="2264"/>
      <c r="AI12" s="2262"/>
      <c r="AJ12" s="2263"/>
      <c r="AK12" s="2263"/>
      <c r="AL12" s="2263"/>
      <c r="AM12" s="2264"/>
    </row>
    <row r="13" spans="1:40" ht="13.2">
      <c r="B13" s="11"/>
      <c r="C13" s="2255" t="s">
        <v>1875</v>
      </c>
      <c r="D13" s="2256"/>
      <c r="E13" s="2256"/>
      <c r="F13" s="2256"/>
      <c r="G13" s="2256"/>
      <c r="H13" s="2256"/>
      <c r="I13" s="2256"/>
      <c r="J13" s="2256"/>
      <c r="K13" s="2256"/>
      <c r="L13" s="2256"/>
      <c r="M13" s="2256"/>
      <c r="N13" s="2256"/>
      <c r="O13" s="2256"/>
      <c r="P13" s="2256"/>
      <c r="Q13" s="2256"/>
      <c r="R13" s="2256"/>
      <c r="S13" s="2257"/>
      <c r="T13" s="2260">
        <f>'Basis &amp; Credits'!T13</f>
        <v>0</v>
      </c>
      <c r="U13" s="2261"/>
      <c r="V13" s="2261"/>
      <c r="W13" s="2261"/>
      <c r="X13" s="2261"/>
      <c r="Y13" s="2260">
        <f>'Basis &amp; Credits'!Y13</f>
        <v>0</v>
      </c>
      <c r="Z13" s="2261"/>
      <c r="AA13" s="2261"/>
      <c r="AB13" s="2261"/>
      <c r="AC13" s="2261"/>
      <c r="AD13" s="2261">
        <f>'Basis &amp; Credits'!AD13</f>
        <v>0</v>
      </c>
      <c r="AE13" s="2261"/>
      <c r="AF13" s="2261"/>
      <c r="AG13" s="2261"/>
      <c r="AH13" s="2261"/>
      <c r="AI13" s="2261">
        <f>'Basis &amp; Credits'!AI13</f>
        <v>0</v>
      </c>
      <c r="AJ13" s="2261"/>
      <c r="AK13" s="2261"/>
      <c r="AL13" s="2261"/>
      <c r="AM13" s="2261"/>
    </row>
    <row r="14" spans="1:40" ht="13.2">
      <c r="B14" s="11"/>
      <c r="C14" s="2256" t="s">
        <v>833</v>
      </c>
      <c r="D14" s="2256"/>
      <c r="E14" s="2256"/>
      <c r="F14" s="2256"/>
      <c r="G14" s="2256"/>
      <c r="H14" s="2256"/>
      <c r="I14" s="2256"/>
      <c r="J14" s="2256"/>
      <c r="K14" s="2256"/>
      <c r="L14" s="2256"/>
      <c r="M14" s="2256"/>
      <c r="N14" s="2256"/>
      <c r="O14" s="2256"/>
      <c r="P14" s="2256"/>
      <c r="Q14" s="2256"/>
      <c r="R14" s="2256"/>
      <c r="S14" s="2257"/>
      <c r="T14" s="1721">
        <f>'Basis &amp; Credits'!T14</f>
        <v>0</v>
      </c>
      <c r="U14" s="1655"/>
      <c r="V14" s="1655"/>
      <c r="W14" s="1655"/>
      <c r="X14" s="1655"/>
      <c r="Y14" s="1721">
        <f>'Basis &amp; Credits'!Y14</f>
        <v>0</v>
      </c>
      <c r="Z14" s="1655"/>
      <c r="AA14" s="1655"/>
      <c r="AB14" s="1655"/>
      <c r="AC14" s="1655"/>
      <c r="AD14" s="1655">
        <f>'Basis &amp; Credits'!AD14</f>
        <v>0</v>
      </c>
      <c r="AE14" s="1655"/>
      <c r="AF14" s="1655"/>
      <c r="AG14" s="1655"/>
      <c r="AH14" s="1655"/>
      <c r="AI14" s="1655">
        <f>'Basis &amp; Credits'!AI14</f>
        <v>0</v>
      </c>
      <c r="AJ14" s="1655"/>
      <c r="AK14" s="1655"/>
      <c r="AL14" s="1655"/>
      <c r="AM14" s="1655"/>
    </row>
    <row r="15" spans="1:40" ht="13.2">
      <c r="B15" s="11"/>
      <c r="C15" s="2256" t="s">
        <v>834</v>
      </c>
      <c r="D15" s="2256"/>
      <c r="E15" s="2256"/>
      <c r="F15" s="2256"/>
      <c r="G15" s="2256"/>
      <c r="H15" s="2256"/>
      <c r="I15" s="2256"/>
      <c r="J15" s="2256"/>
      <c r="K15" s="2256"/>
      <c r="L15" s="2256"/>
      <c r="M15" s="2256"/>
      <c r="N15" s="2256"/>
      <c r="O15" s="2256"/>
      <c r="P15" s="2256"/>
      <c r="Q15" s="2256"/>
      <c r="R15" s="2256"/>
      <c r="S15" s="2257"/>
      <c r="T15" s="1721">
        <f>'Basis &amp; Credits'!T15</f>
        <v>0</v>
      </c>
      <c r="U15" s="1655"/>
      <c r="V15" s="1655"/>
      <c r="W15" s="1655"/>
      <c r="X15" s="1655"/>
      <c r="Y15" s="1721">
        <f>'Basis &amp; Credits'!Y15</f>
        <v>0</v>
      </c>
      <c r="Z15" s="1655"/>
      <c r="AA15" s="1655"/>
      <c r="AB15" s="1655"/>
      <c r="AC15" s="1655"/>
      <c r="AD15" s="1655">
        <f>'Basis &amp; Credits'!AD15</f>
        <v>0</v>
      </c>
      <c r="AE15" s="1655"/>
      <c r="AF15" s="1655"/>
      <c r="AG15" s="1655"/>
      <c r="AH15" s="1655"/>
      <c r="AI15" s="1655">
        <f>'Basis &amp; Credits'!AI15</f>
        <v>0</v>
      </c>
      <c r="AJ15" s="1655"/>
      <c r="AK15" s="1655"/>
      <c r="AL15" s="1655"/>
      <c r="AM15" s="1655"/>
    </row>
    <row r="16" spans="1:40" ht="13.2">
      <c r="B16" s="11"/>
      <c r="C16" s="2255" t="s">
        <v>1096</v>
      </c>
      <c r="D16" s="2255"/>
      <c r="E16" s="2255"/>
      <c r="F16" s="2255"/>
      <c r="G16" s="2255"/>
      <c r="H16" s="2255"/>
      <c r="I16" s="2255"/>
      <c r="J16" s="2255"/>
      <c r="K16" s="2255"/>
      <c r="L16" s="2255"/>
      <c r="M16" s="2255"/>
      <c r="N16" s="2255"/>
      <c r="O16" s="2255"/>
      <c r="P16" s="2255"/>
      <c r="Q16" s="2255"/>
      <c r="R16" s="2255"/>
      <c r="S16" s="2258"/>
      <c r="T16" s="1721">
        <f>'Basis &amp; Credits'!T16</f>
        <v>0</v>
      </c>
      <c r="U16" s="1655"/>
      <c r="V16" s="1655"/>
      <c r="W16" s="1655"/>
      <c r="X16" s="1655"/>
      <c r="Y16" s="1721">
        <f>'Basis &amp; Credits'!Y16</f>
        <v>0</v>
      </c>
      <c r="Z16" s="1655"/>
      <c r="AA16" s="1655"/>
      <c r="AB16" s="1655"/>
      <c r="AC16" s="1655"/>
      <c r="AD16" s="1655">
        <f>'Basis &amp; Credits'!AD16</f>
        <v>0</v>
      </c>
      <c r="AE16" s="1655"/>
      <c r="AF16" s="1655"/>
      <c r="AG16" s="1655"/>
      <c r="AH16" s="1655"/>
      <c r="AI16" s="1655">
        <f>'Basis &amp; Credits'!AI16</f>
        <v>0</v>
      </c>
      <c r="AJ16" s="1655"/>
      <c r="AK16" s="1655"/>
      <c r="AL16" s="1655"/>
      <c r="AM16" s="1655"/>
    </row>
    <row r="17" spans="1:39" ht="13.2">
      <c r="B17" s="11"/>
      <c r="C17" s="2256" t="s">
        <v>835</v>
      </c>
      <c r="D17" s="2256"/>
      <c r="E17" s="2256"/>
      <c r="F17" s="2256"/>
      <c r="G17" s="2256"/>
      <c r="H17" s="2256"/>
      <c r="I17" s="2256"/>
      <c r="J17" s="2256"/>
      <c r="K17" s="2256"/>
      <c r="L17" s="2256"/>
      <c r="M17" s="2256"/>
      <c r="N17" s="2256"/>
      <c r="O17" s="2256"/>
      <c r="P17" s="2256"/>
      <c r="Q17" s="2256"/>
      <c r="R17" s="2256"/>
      <c r="S17" s="2257"/>
      <c r="T17" s="1721">
        <f>'Basis &amp; Credits'!T17</f>
        <v>0</v>
      </c>
      <c r="U17" s="1655"/>
      <c r="V17" s="1655"/>
      <c r="W17" s="1655"/>
      <c r="X17" s="1655"/>
      <c r="Y17" s="1721">
        <f>'Basis &amp; Credits'!Y17</f>
        <v>0</v>
      </c>
      <c r="Z17" s="1655"/>
      <c r="AA17" s="1655"/>
      <c r="AB17" s="1655"/>
      <c r="AC17" s="1655"/>
      <c r="AD17" s="1655">
        <f>'Basis &amp; Credits'!AD17</f>
        <v>0</v>
      </c>
      <c r="AE17" s="1655"/>
      <c r="AF17" s="1655"/>
      <c r="AG17" s="1655"/>
      <c r="AH17" s="1655"/>
      <c r="AI17" s="1655">
        <f>'Basis &amp; Credits'!AI17</f>
        <v>0</v>
      </c>
      <c r="AJ17" s="1655"/>
      <c r="AK17" s="1655"/>
      <c r="AL17" s="1655"/>
      <c r="AM17" s="1655"/>
    </row>
    <row r="18" spans="1:39" ht="13.2">
      <c r="B18" s="903"/>
      <c r="C18" s="2255" t="s">
        <v>1485</v>
      </c>
      <c r="D18" s="2256"/>
      <c r="E18" s="2256"/>
      <c r="F18" s="2256"/>
      <c r="G18" s="2256"/>
      <c r="H18" s="2256"/>
      <c r="I18" s="2256"/>
      <c r="J18" s="2256"/>
      <c r="K18" s="2256"/>
      <c r="L18" s="2256"/>
      <c r="M18" s="2256"/>
      <c r="N18" s="2256"/>
      <c r="O18" s="2256"/>
      <c r="P18" s="2256"/>
      <c r="Q18" s="2256"/>
      <c r="R18" s="2256"/>
      <c r="S18" s="2257"/>
      <c r="T18" s="1719">
        <f>'Basis &amp; Credits'!T18</f>
        <v>0</v>
      </c>
      <c r="U18" s="1720"/>
      <c r="V18" s="1720"/>
      <c r="W18" s="1720"/>
      <c r="X18" s="1721"/>
      <c r="Y18" s="1721">
        <f>'Basis &amp; Credits'!Y18</f>
        <v>0</v>
      </c>
      <c r="Z18" s="1655"/>
      <c r="AA18" s="1655"/>
      <c r="AB18" s="1655"/>
      <c r="AC18" s="1655"/>
      <c r="AD18" s="1655">
        <f>'Basis &amp; Credits'!AD18</f>
        <v>0</v>
      </c>
      <c r="AE18" s="1655"/>
      <c r="AF18" s="1655"/>
      <c r="AG18" s="1655"/>
      <c r="AH18" s="1655"/>
      <c r="AI18" s="1655">
        <f>'Basis &amp; Credits'!AI18</f>
        <v>0</v>
      </c>
      <c r="AJ18" s="1655"/>
      <c r="AK18" s="1655"/>
      <c r="AL18" s="1655"/>
      <c r="AM18" s="1655"/>
    </row>
    <row r="19" spans="1:39" ht="13.2">
      <c r="B19" s="745"/>
      <c r="C19" s="1844" t="str">
        <f>'Basis &amp; Credits'!C19:S19</f>
        <v>Subtract (specify other ineligible amounts):</v>
      </c>
      <c r="D19" s="1844"/>
      <c r="E19" s="1844"/>
      <c r="F19" s="1844"/>
      <c r="G19" s="1844"/>
      <c r="H19" s="1844"/>
      <c r="I19" s="1844"/>
      <c r="J19" s="1844"/>
      <c r="K19" s="1844"/>
      <c r="L19" s="1844"/>
      <c r="M19" s="1844"/>
      <c r="N19" s="1844"/>
      <c r="O19" s="1844"/>
      <c r="P19" s="1844"/>
      <c r="Q19" s="1844"/>
      <c r="R19" s="1844"/>
      <c r="S19" s="1845"/>
      <c r="T19" s="1721">
        <f>'Basis &amp; Credits'!T19</f>
        <v>0</v>
      </c>
      <c r="U19" s="1655"/>
      <c r="V19" s="1655"/>
      <c r="W19" s="1655"/>
      <c r="X19" s="1655"/>
      <c r="Y19" s="1721">
        <f>'Basis &amp; Credits'!Y19</f>
        <v>0</v>
      </c>
      <c r="Z19" s="1655"/>
      <c r="AA19" s="1655"/>
      <c r="AB19" s="1655"/>
      <c r="AC19" s="1655"/>
      <c r="AD19" s="1655">
        <f>'Basis &amp; Credits'!AD19</f>
        <v>0</v>
      </c>
      <c r="AE19" s="1655"/>
      <c r="AF19" s="1655"/>
      <c r="AG19" s="1655"/>
      <c r="AH19" s="1655"/>
      <c r="AI19" s="1655">
        <f>'Basis &amp; Credits'!AI19</f>
        <v>0</v>
      </c>
      <c r="AJ19" s="1655"/>
      <c r="AK19" s="1655"/>
      <c r="AL19" s="1655"/>
      <c r="AM19" s="1655"/>
    </row>
    <row r="20" spans="1:39" ht="13.2">
      <c r="B20" s="2220" t="s">
        <v>836</v>
      </c>
      <c r="C20" s="2221"/>
      <c r="D20" s="2221"/>
      <c r="E20" s="2221"/>
      <c r="F20" s="2221"/>
      <c r="G20" s="2221"/>
      <c r="H20" s="2221"/>
      <c r="I20" s="2221"/>
      <c r="J20" s="2221"/>
      <c r="K20" s="2221"/>
      <c r="L20" s="2221"/>
      <c r="M20" s="2221"/>
      <c r="N20" s="2221"/>
      <c r="O20" s="2221"/>
      <c r="P20" s="2221"/>
      <c r="Q20" s="2221"/>
      <c r="R20" s="2221"/>
      <c r="S20" s="2222"/>
      <c r="T20" s="2236">
        <f>SUM(T13:X19)</f>
        <v>0</v>
      </c>
      <c r="U20" s="2240"/>
      <c r="V20" s="2240"/>
      <c r="W20" s="2240"/>
      <c r="X20" s="2240"/>
      <c r="Y20" s="2236">
        <f>SUM(Y13:AC19)</f>
        <v>0</v>
      </c>
      <c r="Z20" s="2240"/>
      <c r="AA20" s="2240"/>
      <c r="AB20" s="2240"/>
      <c r="AC20" s="2240"/>
      <c r="AD20" s="2240">
        <f>SUM(AD13:AH19)</f>
        <v>0</v>
      </c>
      <c r="AE20" s="2240"/>
      <c r="AF20" s="2240"/>
      <c r="AG20" s="2240"/>
      <c r="AH20" s="2240"/>
      <c r="AI20" s="2240">
        <f>SUM(AI13:AM19)</f>
        <v>0</v>
      </c>
      <c r="AJ20" s="2240"/>
      <c r="AK20" s="2240"/>
      <c r="AL20" s="2240"/>
      <c r="AM20" s="2240"/>
    </row>
    <row r="21" spans="1:39" ht="13.2">
      <c r="B21" s="2220" t="s">
        <v>1874</v>
      </c>
      <c r="C21" s="2221"/>
      <c r="D21" s="2221"/>
      <c r="E21" s="2221"/>
      <c r="F21" s="2221"/>
      <c r="G21" s="2221"/>
      <c r="H21" s="2221"/>
      <c r="I21" s="2221"/>
      <c r="J21" s="2221"/>
      <c r="K21" s="2221"/>
      <c r="L21" s="2221"/>
      <c r="M21" s="2221"/>
      <c r="N21" s="2221"/>
      <c r="O21" s="2221"/>
      <c r="P21" s="2221"/>
      <c r="Q21" s="2221"/>
      <c r="R21" s="2221"/>
      <c r="S21" s="2222"/>
      <c r="T21" s="1721">
        <f>'Basis &amp; Credits'!T21</f>
        <v>13443707</v>
      </c>
      <c r="U21" s="1655"/>
      <c r="V21" s="1655"/>
      <c r="W21" s="1655"/>
      <c r="X21" s="1655"/>
      <c r="Y21" s="1721">
        <f>'Basis &amp; Credits'!Y21</f>
        <v>0</v>
      </c>
      <c r="Z21" s="1655"/>
      <c r="AA21" s="1655"/>
      <c r="AB21" s="1655"/>
      <c r="AC21" s="1655"/>
      <c r="AD21" s="1655">
        <f>'Basis &amp; Credits'!AD21</f>
        <v>0</v>
      </c>
      <c r="AE21" s="1655"/>
      <c r="AF21" s="1655"/>
      <c r="AG21" s="1655"/>
      <c r="AH21" s="1655"/>
      <c r="AI21" s="1655">
        <f>'Basis &amp; Credits'!AI21</f>
        <v>0</v>
      </c>
      <c r="AJ21" s="1655"/>
      <c r="AK21" s="1655"/>
      <c r="AL21" s="1655"/>
      <c r="AM21" s="1655"/>
    </row>
    <row r="22" spans="1:39" ht="13.2">
      <c r="B22" s="2220" t="s">
        <v>837</v>
      </c>
      <c r="C22" s="2221"/>
      <c r="D22" s="2221"/>
      <c r="E22" s="2221"/>
      <c r="F22" s="2221"/>
      <c r="G22" s="2221"/>
      <c r="H22" s="2221"/>
      <c r="I22" s="2221"/>
      <c r="J22" s="2221"/>
      <c r="K22" s="2221"/>
      <c r="L22" s="2221"/>
      <c r="M22" s="2221"/>
      <c r="N22" s="2221"/>
      <c r="O22" s="2221"/>
      <c r="P22" s="2221"/>
      <c r="Q22" s="2221"/>
      <c r="R22" s="2221"/>
      <c r="S22" s="2222"/>
      <c r="T22" s="2237">
        <f>(T20+T21)*-1</f>
        <v>-13443707</v>
      </c>
      <c r="U22" s="2238"/>
      <c r="V22" s="2238"/>
      <c r="W22" s="2238"/>
      <c r="X22" s="2238"/>
      <c r="Y22" s="2237">
        <f>(Y20+Y21)*-1</f>
        <v>0</v>
      </c>
      <c r="Z22" s="2238"/>
      <c r="AA22" s="2238"/>
      <c r="AB22" s="2238"/>
      <c r="AC22" s="2238"/>
      <c r="AD22" s="2237">
        <f>(AD20+AD21)*-1</f>
        <v>0</v>
      </c>
      <c r="AE22" s="2238"/>
      <c r="AF22" s="2238"/>
      <c r="AG22" s="2238"/>
      <c r="AH22" s="2238"/>
      <c r="AI22" s="2237">
        <f>(AI20+AI21)*-1</f>
        <v>0</v>
      </c>
      <c r="AJ22" s="2238"/>
      <c r="AK22" s="2238"/>
      <c r="AL22" s="2238"/>
      <c r="AM22" s="2238"/>
    </row>
    <row r="23" spans="1:39" ht="13.2">
      <c r="A23" s="2"/>
      <c r="B23" s="2231" t="s">
        <v>838</v>
      </c>
      <c r="C23" s="2232"/>
      <c r="D23" s="2232"/>
      <c r="E23" s="2232"/>
      <c r="F23" s="2232"/>
      <c r="G23" s="2232"/>
      <c r="H23" s="2232"/>
      <c r="I23" s="2232"/>
      <c r="J23" s="2232"/>
      <c r="K23" s="2232"/>
      <c r="L23" s="2232"/>
      <c r="M23" s="2232"/>
      <c r="N23" s="2232"/>
      <c r="O23" s="2232"/>
      <c r="P23" s="2232"/>
      <c r="Q23" s="2232"/>
      <c r="R23" s="2232"/>
      <c r="S23" s="2233"/>
      <c r="T23" s="2236">
        <f>T11+T22</f>
        <v>26165166</v>
      </c>
      <c r="U23" s="2240"/>
      <c r="V23" s="2240"/>
      <c r="W23" s="2240"/>
      <c r="X23" s="2240"/>
      <c r="Y23" s="2236">
        <f>Y11+Y22</f>
        <v>0</v>
      </c>
      <c r="Z23" s="2240"/>
      <c r="AA23" s="2240"/>
      <c r="AB23" s="2240"/>
      <c r="AC23" s="2240"/>
      <c r="AD23" s="2236">
        <f>AD11+AD22</f>
        <v>0</v>
      </c>
      <c r="AE23" s="2240"/>
      <c r="AF23" s="2240"/>
      <c r="AG23" s="2240"/>
      <c r="AH23" s="2240"/>
      <c r="AI23" s="2236">
        <f>AI11+AI22</f>
        <v>0</v>
      </c>
      <c r="AJ23" s="2240"/>
      <c r="AK23" s="2240"/>
      <c r="AL23" s="2240"/>
      <c r="AM23" s="2240"/>
    </row>
    <row r="24" spans="1:39" ht="13.2">
      <c r="B24" s="2220" t="s">
        <v>1317</v>
      </c>
      <c r="C24" s="2221"/>
      <c r="D24" s="2221"/>
      <c r="E24" s="2221"/>
      <c r="F24" s="2221"/>
      <c r="G24" s="2221"/>
      <c r="H24" s="2221"/>
      <c r="I24" s="2221"/>
      <c r="J24" s="2221"/>
      <c r="K24" s="2221"/>
      <c r="L24" s="2221"/>
      <c r="M24" s="2221"/>
      <c r="N24" s="2221"/>
      <c r="O24" s="2221"/>
      <c r="P24" s="2221"/>
      <c r="Q24" s="2221"/>
      <c r="R24" s="2221"/>
      <c r="S24" s="2222"/>
      <c r="T24" s="2234">
        <f>Application!AD993</f>
        <v>0</v>
      </c>
      <c r="U24" s="2235"/>
      <c r="V24" s="2235"/>
      <c r="W24" s="2235"/>
      <c r="X24" s="2235"/>
      <c r="Y24" s="2235"/>
      <c r="Z24" s="2235"/>
      <c r="AA24" s="2235"/>
      <c r="AB24" s="2235"/>
      <c r="AC24" s="2235"/>
      <c r="AD24" s="2235"/>
      <c r="AE24" s="2235"/>
      <c r="AF24" s="2235"/>
      <c r="AG24" s="2235"/>
      <c r="AH24" s="2235"/>
      <c r="AI24" s="2235"/>
      <c r="AJ24" s="2235"/>
      <c r="AK24" s="2235"/>
      <c r="AL24" s="2235"/>
      <c r="AM24" s="2236"/>
    </row>
    <row r="25" spans="1:39" ht="13.2">
      <c r="B25" s="2223" t="s">
        <v>1912</v>
      </c>
      <c r="C25" s="2224"/>
      <c r="D25" s="2224"/>
      <c r="E25" s="2224"/>
      <c r="F25" s="2224"/>
      <c r="G25" s="2224"/>
      <c r="H25" s="2224"/>
      <c r="I25" s="2224"/>
      <c r="J25" s="2224"/>
      <c r="K25" s="2224"/>
      <c r="L25" s="2224"/>
      <c r="M25" s="2224"/>
      <c r="N25" s="2224"/>
      <c r="O25" s="2224"/>
      <c r="P25" s="2224"/>
      <c r="Q25" s="2224"/>
      <c r="R25" s="2224"/>
      <c r="S25" s="2225"/>
      <c r="T25" s="2243">
        <v>1</v>
      </c>
      <c r="U25" s="2244"/>
      <c r="V25" s="2244"/>
      <c r="W25" s="2244"/>
      <c r="X25" s="2244"/>
      <c r="Y25" s="2243">
        <v>1</v>
      </c>
      <c r="Z25" s="2244"/>
      <c r="AA25" s="2244"/>
      <c r="AB25" s="2244"/>
      <c r="AC25" s="2245"/>
      <c r="AD25" s="2243">
        <v>1</v>
      </c>
      <c r="AE25" s="2244"/>
      <c r="AF25" s="2244"/>
      <c r="AG25" s="2244"/>
      <c r="AH25" s="2245"/>
      <c r="AI25" s="2243">
        <v>1</v>
      </c>
      <c r="AJ25" s="2244"/>
      <c r="AK25" s="2244"/>
      <c r="AL25" s="2244"/>
      <c r="AM25" s="2245"/>
    </row>
    <row r="26" spans="1:39" ht="13.2">
      <c r="B26" s="2220" t="s">
        <v>839</v>
      </c>
      <c r="C26" s="2221"/>
      <c r="D26" s="2221"/>
      <c r="E26" s="2221"/>
      <c r="F26" s="2221"/>
      <c r="G26" s="2221"/>
      <c r="H26" s="2221"/>
      <c r="I26" s="2221"/>
      <c r="J26" s="2221"/>
      <c r="K26" s="2221"/>
      <c r="L26" s="2221"/>
      <c r="M26" s="2221"/>
      <c r="N26" s="2221"/>
      <c r="O26" s="2221"/>
      <c r="P26" s="2221"/>
      <c r="Q26" s="2221"/>
      <c r="R26" s="2221"/>
      <c r="S26" s="2222"/>
      <c r="T26" s="2241">
        <f>T23*T25</f>
        <v>26165166</v>
      </c>
      <c r="U26" s="2242"/>
      <c r="V26" s="2242"/>
      <c r="W26" s="2242"/>
      <c r="X26" s="2242"/>
      <c r="Y26" s="2241">
        <f>Y23*Y25</f>
        <v>0</v>
      </c>
      <c r="Z26" s="2242"/>
      <c r="AA26" s="2242"/>
      <c r="AB26" s="2242"/>
      <c r="AC26" s="2242"/>
      <c r="AD26" s="2241">
        <f>AD23*AD25</f>
        <v>0</v>
      </c>
      <c r="AE26" s="2242"/>
      <c r="AF26" s="2242"/>
      <c r="AG26" s="2242"/>
      <c r="AH26" s="2242"/>
      <c r="AI26" s="2241">
        <f>AI23*AI25</f>
        <v>0</v>
      </c>
      <c r="AJ26" s="2242"/>
      <c r="AK26" s="2242"/>
      <c r="AL26" s="2242"/>
      <c r="AM26" s="2242"/>
    </row>
    <row r="27" spans="1:39" ht="13.2">
      <c r="A27" s="7"/>
      <c r="B27" s="2226" t="s">
        <v>957</v>
      </c>
      <c r="C27" s="2227"/>
      <c r="D27" s="2227"/>
      <c r="E27" s="2227"/>
      <c r="F27" s="2227"/>
      <c r="G27" s="2227"/>
      <c r="H27" s="2227"/>
      <c r="I27" s="2227"/>
      <c r="J27" s="2227"/>
      <c r="K27" s="2227"/>
      <c r="L27" s="2227"/>
      <c r="M27" s="2227"/>
      <c r="N27" s="2227"/>
      <c r="O27" s="2227"/>
      <c r="P27" s="2227"/>
      <c r="Q27" s="2227"/>
      <c r="R27" s="2227"/>
      <c r="S27" s="2228"/>
      <c r="T27" s="2229">
        <f>Application!AG438</f>
        <v>1</v>
      </c>
      <c r="U27" s="2230"/>
      <c r="V27" s="2230"/>
      <c r="W27" s="2230"/>
      <c r="X27" s="2230"/>
      <c r="Y27" s="2229">
        <f>Application!AG438</f>
        <v>1</v>
      </c>
      <c r="Z27" s="2230"/>
      <c r="AA27" s="2230"/>
      <c r="AB27" s="2230"/>
      <c r="AC27" s="2230"/>
      <c r="AD27" s="2229">
        <f>Application!AG438</f>
        <v>1</v>
      </c>
      <c r="AE27" s="2230"/>
      <c r="AF27" s="2230"/>
      <c r="AG27" s="2230"/>
      <c r="AH27" s="2230"/>
      <c r="AI27" s="2229">
        <f>Application!AG438</f>
        <v>1</v>
      </c>
      <c r="AJ27" s="2230"/>
      <c r="AK27" s="2230"/>
      <c r="AL27" s="2230"/>
      <c r="AM27" s="2230"/>
    </row>
    <row r="28" spans="1:39" ht="12.75" customHeight="1">
      <c r="A28" s="6"/>
      <c r="B28" s="2220" t="s">
        <v>917</v>
      </c>
      <c r="C28" s="2221"/>
      <c r="D28" s="2221"/>
      <c r="E28" s="2221"/>
      <c r="F28" s="2221"/>
      <c r="G28" s="2221"/>
      <c r="H28" s="2221"/>
      <c r="I28" s="2221"/>
      <c r="J28" s="2221"/>
      <c r="K28" s="2221"/>
      <c r="L28" s="2221"/>
      <c r="M28" s="2221"/>
      <c r="N28" s="2221"/>
      <c r="O28" s="2221"/>
      <c r="P28" s="2221"/>
      <c r="Q28" s="2221"/>
      <c r="R28" s="2221"/>
      <c r="S28" s="2222"/>
      <c r="T28" s="1788">
        <f>IF(ISERROR((T26*T27)),0,(T26*T27))</f>
        <v>26165166</v>
      </c>
      <c r="U28" s="2239"/>
      <c r="V28" s="2239"/>
      <c r="W28" s="2239"/>
      <c r="X28" s="2239"/>
      <c r="Y28" s="1788">
        <f>IF(ISERROR((Y26*Y27)),0,(Y26*Y27))</f>
        <v>0</v>
      </c>
      <c r="Z28" s="2239"/>
      <c r="AA28" s="2239"/>
      <c r="AB28" s="2239"/>
      <c r="AC28" s="2239"/>
      <c r="AD28" s="1788">
        <f>IF(ISERROR((AD26*AD27)),0,(AD26*AD27))</f>
        <v>0</v>
      </c>
      <c r="AE28" s="2239"/>
      <c r="AF28" s="2239"/>
      <c r="AG28" s="2239"/>
      <c r="AH28" s="2239"/>
      <c r="AI28" s="1788">
        <f>IF(ISERROR((AI26*AI27)),0,(AI26*AI27))</f>
        <v>0</v>
      </c>
      <c r="AJ28" s="2239"/>
      <c r="AK28" s="2239"/>
      <c r="AL28" s="2239"/>
      <c r="AM28" s="2239"/>
    </row>
    <row r="29" spans="1:39" ht="13.2">
      <c r="B29" s="2220" t="s">
        <v>685</v>
      </c>
      <c r="C29" s="2221"/>
      <c r="D29" s="2221"/>
      <c r="E29" s="2221"/>
      <c r="F29" s="2221"/>
      <c r="G29" s="2221"/>
      <c r="H29" s="2221"/>
      <c r="I29" s="2221"/>
      <c r="J29" s="2221"/>
      <c r="K29" s="2221"/>
      <c r="L29" s="2221"/>
      <c r="M29" s="2221"/>
      <c r="N29" s="2221"/>
      <c r="O29" s="2221"/>
      <c r="P29" s="2221"/>
      <c r="Q29" s="2221"/>
      <c r="R29" s="2221"/>
      <c r="S29" s="2222"/>
      <c r="T29" s="2234">
        <f>T28+Y28+AD28+AI28</f>
        <v>26165166</v>
      </c>
      <c r="U29" s="2235"/>
      <c r="V29" s="2235"/>
      <c r="W29" s="2235"/>
      <c r="X29" s="2235"/>
      <c r="Y29" s="2235"/>
      <c r="Z29" s="2235"/>
      <c r="AA29" s="2235"/>
      <c r="AB29" s="2235"/>
      <c r="AC29" s="2235"/>
      <c r="AD29" s="2235"/>
      <c r="AE29" s="2235"/>
      <c r="AF29" s="2235"/>
      <c r="AG29" s="2235"/>
      <c r="AH29" s="2235"/>
      <c r="AI29" s="2235"/>
      <c r="AJ29" s="2235"/>
      <c r="AK29" s="2235"/>
      <c r="AL29" s="2235"/>
      <c r="AM29" s="2236"/>
    </row>
    <row r="30" spans="1:39" ht="12.75" customHeight="1">
      <c r="B30" s="2669"/>
      <c r="C30" s="2669"/>
      <c r="D30" s="2669"/>
      <c r="E30" s="2669"/>
      <c r="F30" s="2669"/>
      <c r="G30" s="2669"/>
      <c r="H30" s="2669"/>
      <c r="I30" s="2669"/>
      <c r="J30" s="2669"/>
      <c r="K30" s="2669"/>
      <c r="L30" s="2669"/>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48" t="s">
        <v>1757</v>
      </c>
      <c r="Z35" s="2248"/>
      <c r="AA35" s="2248"/>
      <c r="AB35" s="2248"/>
      <c r="AC35" s="2248"/>
      <c r="AD35" s="2292" t="s">
        <v>46</v>
      </c>
      <c r="AE35" s="2292"/>
      <c r="AF35" s="2292"/>
      <c r="AG35" s="2292"/>
      <c r="AH35" s="229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8"/>
      <c r="Z36" s="2248"/>
      <c r="AA36" s="2248"/>
      <c r="AB36" s="2248"/>
      <c r="AC36" s="2248"/>
      <c r="AD36" s="2292"/>
      <c r="AE36" s="2292"/>
      <c r="AF36" s="2292"/>
      <c r="AG36" s="2292"/>
      <c r="AH36" s="2292"/>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8"/>
      <c r="Z37" s="2248"/>
      <c r="AA37" s="2248"/>
      <c r="AB37" s="2248"/>
      <c r="AC37" s="2248"/>
      <c r="AD37" s="2292"/>
      <c r="AE37" s="2292"/>
      <c r="AF37" s="2292"/>
      <c r="AG37" s="2292"/>
      <c r="AH37" s="2292"/>
    </row>
    <row r="38" spans="1:40" ht="12.75" customHeight="1">
      <c r="A38" s="6"/>
      <c r="B38" s="2220" t="s">
        <v>917</v>
      </c>
      <c r="C38" s="2221"/>
      <c r="D38" s="2221"/>
      <c r="E38" s="2221"/>
      <c r="F38" s="2221"/>
      <c r="G38" s="2221"/>
      <c r="H38" s="2221"/>
      <c r="I38" s="2221"/>
      <c r="J38" s="2221"/>
      <c r="K38" s="2221"/>
      <c r="L38" s="2221"/>
      <c r="M38" s="2221"/>
      <c r="N38" s="2221"/>
      <c r="O38" s="2221"/>
      <c r="P38" s="2221"/>
      <c r="Q38" s="2221"/>
      <c r="R38" s="2221"/>
      <c r="S38" s="2221"/>
      <c r="T38" s="2221"/>
      <c r="U38" s="2221"/>
      <c r="V38" s="2221"/>
      <c r="W38" s="2221"/>
      <c r="X38" s="2222"/>
      <c r="Y38" s="2240">
        <f>IF(T24&gt;=(T23+Y23+AD23+AI23),T28+Y28,0)</f>
        <v>0</v>
      </c>
      <c r="Z38" s="2240"/>
      <c r="AA38" s="2240"/>
      <c r="AB38" s="2240"/>
      <c r="AC38" s="2240"/>
      <c r="AD38" s="2240">
        <f>IF(T24&gt;=(T23+Y23+AD23+AI23),AD28+AI28,0)</f>
        <v>0</v>
      </c>
      <c r="AE38" s="2240"/>
      <c r="AF38" s="2240"/>
      <c r="AG38" s="2240"/>
      <c r="AH38" s="2240"/>
    </row>
    <row r="39" spans="1:40" ht="13.2">
      <c r="B39" s="2220" t="s">
        <v>829</v>
      </c>
      <c r="C39" s="2221"/>
      <c r="D39" s="2221"/>
      <c r="E39" s="2221"/>
      <c r="F39" s="2221"/>
      <c r="G39" s="2221"/>
      <c r="H39" s="2221"/>
      <c r="I39" s="2221"/>
      <c r="J39" s="2221"/>
      <c r="K39" s="2221"/>
      <c r="L39" s="2221"/>
      <c r="M39" s="2221"/>
      <c r="N39" s="2221"/>
      <c r="O39" s="2221"/>
      <c r="P39" s="2221"/>
      <c r="Q39" s="2221"/>
      <c r="R39" s="2221"/>
      <c r="S39" s="2221"/>
      <c r="T39" s="2221"/>
      <c r="U39" s="2221"/>
      <c r="V39" s="2221"/>
      <c r="W39" s="2221"/>
      <c r="X39" s="2222"/>
      <c r="Y39" s="2668">
        <v>0.09</v>
      </c>
      <c r="Z39" s="2668"/>
      <c r="AA39" s="2668"/>
      <c r="AB39" s="2668"/>
      <c r="AC39" s="2668"/>
      <c r="AD39" s="2668">
        <f>'Basis &amp; Credits'!AD39:AH39</f>
        <v>0.04</v>
      </c>
      <c r="AE39" s="2668"/>
      <c r="AF39" s="2668"/>
      <c r="AG39" s="2668"/>
      <c r="AH39" s="2668"/>
    </row>
    <row r="40" spans="1:40" ht="12.75" customHeight="1">
      <c r="A40" s="6"/>
      <c r="B40" s="2220" t="s">
        <v>26</v>
      </c>
      <c r="C40" s="2221"/>
      <c r="D40" s="2221"/>
      <c r="E40" s="2221"/>
      <c r="F40" s="2221"/>
      <c r="G40" s="2221"/>
      <c r="H40" s="2221"/>
      <c r="I40" s="2221"/>
      <c r="J40" s="2221"/>
      <c r="K40" s="2221"/>
      <c r="L40" s="2221"/>
      <c r="M40" s="2221"/>
      <c r="N40" s="2221"/>
      <c r="O40" s="2221"/>
      <c r="P40" s="2221"/>
      <c r="Q40" s="2221"/>
      <c r="R40" s="2221"/>
      <c r="S40" s="2221"/>
      <c r="T40" s="2221"/>
      <c r="U40" s="2221"/>
      <c r="V40" s="2221"/>
      <c r="W40" s="2221"/>
      <c r="X40" s="2222"/>
      <c r="Y40" s="2240">
        <f>ROUND(Y38*Y39,0)</f>
        <v>0</v>
      </c>
      <c r="Z40" s="2240"/>
      <c r="AA40" s="2240"/>
      <c r="AB40" s="2240"/>
      <c r="AC40" s="2240"/>
      <c r="AD40" s="2236">
        <f>ROUND(AD38*AD39,0)</f>
        <v>0</v>
      </c>
      <c r="AE40" s="2240"/>
      <c r="AF40" s="2240"/>
      <c r="AG40" s="2240"/>
      <c r="AH40" s="2240"/>
    </row>
    <row r="41" spans="1:40" ht="13.2">
      <c r="B41" s="2220" t="s">
        <v>679</v>
      </c>
      <c r="C41" s="2221"/>
      <c r="D41" s="2221"/>
      <c r="E41" s="2221"/>
      <c r="F41" s="2221"/>
      <c r="G41" s="2221"/>
      <c r="H41" s="2221"/>
      <c r="I41" s="2221"/>
      <c r="J41" s="2221"/>
      <c r="K41" s="2221"/>
      <c r="L41" s="2221"/>
      <c r="M41" s="2221"/>
      <c r="N41" s="2221"/>
      <c r="O41" s="2221"/>
      <c r="P41" s="2221"/>
      <c r="Q41" s="2221"/>
      <c r="R41" s="2221"/>
      <c r="S41" s="2221"/>
      <c r="T41" s="2221"/>
      <c r="U41" s="2221"/>
      <c r="V41" s="2221"/>
      <c r="W41" s="2221"/>
      <c r="X41" s="2222"/>
      <c r="Y41" s="2298">
        <f>IF((Y40+AD40)&gt;2500000,2500000,Y40+AD40)</f>
        <v>0</v>
      </c>
      <c r="Z41" s="2299"/>
      <c r="AA41" s="2299"/>
      <c r="AB41" s="2299"/>
      <c r="AC41" s="2299"/>
      <c r="AD41" s="2299"/>
      <c r="AE41" s="2299"/>
      <c r="AF41" s="2299"/>
      <c r="AG41" s="2299"/>
      <c r="AH41" s="2300"/>
    </row>
    <row r="42" spans="1:40" ht="12.75" customHeight="1">
      <c r="A42" s="6"/>
      <c r="B42" s="2282" t="s">
        <v>1257</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23"/>
      <c r="AJ42" s="923"/>
      <c r="AK42" s="923"/>
      <c r="AL42" s="923"/>
      <c r="AM42" s="923"/>
      <c r="AN42" s="923"/>
    </row>
    <row r="43" spans="1:40"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2">
      <c r="A45" s="6" t="s">
        <v>130</v>
      </c>
      <c r="C45" s="6" t="s">
        <v>280</v>
      </c>
    </row>
    <row r="46" spans="1:40" ht="13.2">
      <c r="D46" s="6" t="s">
        <v>281</v>
      </c>
      <c r="AB46" s="2286">
        <f>'Sources and Uses Budget'!B104-'Sources and Uses Budget'!$B$15</f>
        <v>50907291</v>
      </c>
      <c r="AC46" s="2287"/>
      <c r="AD46" s="2287"/>
      <c r="AE46" s="2287"/>
      <c r="AF46" s="2288"/>
    </row>
    <row r="47" spans="1:40" ht="12.75" customHeight="1">
      <c r="D47" s="6" t="s">
        <v>911</v>
      </c>
      <c r="AB47" s="2286">
        <f>Application!AG644-MIN('Sources and Uses Budget'!B15,Application!AG385)</f>
        <v>0</v>
      </c>
      <c r="AC47" s="2287"/>
      <c r="AD47" s="2287"/>
      <c r="AE47" s="2287"/>
      <c r="AF47" s="2288"/>
    </row>
    <row r="48" spans="1:40" ht="13.2">
      <c r="D48" s="6" t="s">
        <v>419</v>
      </c>
      <c r="AB48" s="2286">
        <f>AB46-AB47</f>
        <v>50907291</v>
      </c>
      <c r="AC48" s="2287"/>
      <c r="AD48" s="2287"/>
      <c r="AE48" s="2287"/>
      <c r="AF48" s="2288"/>
    </row>
    <row r="49" spans="1:40" ht="13.2">
      <c r="D49" s="6" t="s">
        <v>950</v>
      </c>
      <c r="X49" s="2"/>
      <c r="Y49" s="2"/>
      <c r="Z49" s="2"/>
      <c r="AA49" s="409"/>
      <c r="AB49" s="2276"/>
      <c r="AC49" s="2277"/>
      <c r="AD49" s="2277"/>
      <c r="AE49" s="2277"/>
      <c r="AF49" s="2278"/>
    </row>
    <row r="50" spans="1:40" s="497" customFormat="1" ht="15" customHeight="1">
      <c r="A50" s="2"/>
      <c r="B50" s="2"/>
      <c r="C50" s="2"/>
      <c r="D50" s="272"/>
      <c r="E50" s="2289" t="s">
        <v>1473</v>
      </c>
      <c r="F50" s="2289"/>
      <c r="G50" s="2289"/>
      <c r="H50" s="2289"/>
      <c r="I50" s="2289"/>
      <c r="J50" s="2289"/>
      <c r="K50" s="2289"/>
      <c r="L50" s="2289"/>
      <c r="M50" s="2289"/>
      <c r="N50" s="2289"/>
      <c r="O50" s="2289"/>
      <c r="P50" s="2289"/>
      <c r="Q50" s="2289"/>
      <c r="R50" s="2289"/>
      <c r="S50" s="2289"/>
      <c r="T50" s="2289"/>
      <c r="U50" s="2289"/>
      <c r="V50" s="2289"/>
      <c r="W50" s="2289"/>
      <c r="X50" s="2289"/>
      <c r="Y50" s="2289"/>
      <c r="Z50" s="2289"/>
      <c r="AA50" s="755"/>
      <c r="AB50" s="755"/>
      <c r="AC50" s="755"/>
      <c r="AD50" s="755"/>
      <c r="AE50" s="755"/>
      <c r="AF50" s="755"/>
      <c r="AG50" s="2"/>
      <c r="AH50" s="2"/>
      <c r="AI50" s="2"/>
      <c r="AJ50" s="2"/>
      <c r="AK50" s="2"/>
      <c r="AL50" s="2"/>
      <c r="AM50" s="2"/>
      <c r="AN50" s="2"/>
    </row>
    <row r="51" spans="1:40" s="497" customFormat="1" ht="12" customHeight="1">
      <c r="A51" s="2"/>
      <c r="B51" s="2"/>
      <c r="C51" s="2"/>
      <c r="D51" s="272"/>
      <c r="E51" s="2289"/>
      <c r="F51" s="2289"/>
      <c r="G51" s="2289"/>
      <c r="H51" s="2289"/>
      <c r="I51" s="2289"/>
      <c r="J51" s="2289"/>
      <c r="K51" s="2289"/>
      <c r="L51" s="2289"/>
      <c r="M51" s="2289"/>
      <c r="N51" s="2289"/>
      <c r="O51" s="2289"/>
      <c r="P51" s="2289"/>
      <c r="Q51" s="2289"/>
      <c r="R51" s="2289"/>
      <c r="S51" s="2289"/>
      <c r="T51" s="2289"/>
      <c r="U51" s="2289"/>
      <c r="V51" s="2289"/>
      <c r="W51" s="2289"/>
      <c r="X51" s="2289"/>
      <c r="Y51" s="2289"/>
      <c r="Z51" s="228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6">
        <f>ROUND(IF(ISERROR((AB48/AB49)),0,(AB48/AB49)),0)</f>
        <v>0</v>
      </c>
      <c r="AC53" s="2287"/>
      <c r="AD53" s="2287"/>
      <c r="AE53" s="2287"/>
      <c r="AF53" s="2288"/>
    </row>
    <row r="54" spans="1:40" ht="12.75" customHeight="1">
      <c r="D54" s="6" t="s">
        <v>618</v>
      </c>
      <c r="AB54" s="2286">
        <f>(AB53/10)</f>
        <v>0</v>
      </c>
      <c r="AC54" s="2287"/>
      <c r="AD54" s="2287"/>
      <c r="AE54" s="2287"/>
      <c r="AF54" s="2288"/>
    </row>
    <row r="55" spans="1:40" ht="13.2">
      <c r="D55" s="6" t="s">
        <v>378</v>
      </c>
      <c r="AB55" s="2283">
        <f>(IF((Y41&lt;AB54),Y41,AB54))</f>
        <v>0</v>
      </c>
      <c r="AC55" s="2284"/>
      <c r="AD55" s="2284"/>
      <c r="AE55" s="2284"/>
      <c r="AF55" s="2285"/>
    </row>
    <row r="56" spans="1:40" ht="13.2">
      <c r="D56" s="6" t="s">
        <v>118</v>
      </c>
      <c r="AB56" s="2286">
        <f>ROUND((10*AB55*AB49),0)</f>
        <v>0</v>
      </c>
      <c r="AC56" s="2287"/>
      <c r="AD56" s="2287"/>
      <c r="AE56" s="2287"/>
      <c r="AF56" s="228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9">
        <f>AB48-AB56</f>
        <v>50907291</v>
      </c>
      <c r="AC58" s="2269"/>
      <c r="AD58" s="2269"/>
      <c r="AE58" s="2269"/>
      <c r="AF58" s="226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93" t="s">
        <v>1915</v>
      </c>
      <c r="B60" s="2293"/>
      <c r="C60" s="2293"/>
      <c r="D60" s="2293"/>
      <c r="E60" s="2293"/>
      <c r="F60" s="2293"/>
      <c r="G60" s="2293"/>
      <c r="H60" s="2293"/>
      <c r="I60" s="2293"/>
      <c r="J60" s="2293"/>
      <c r="K60" s="2293"/>
      <c r="L60" s="2293"/>
      <c r="M60" s="2293"/>
      <c r="N60" s="2293"/>
      <c r="O60" s="2293"/>
      <c r="P60" s="2293"/>
      <c r="Q60" s="2293"/>
      <c r="R60" s="2293"/>
      <c r="S60" s="2293"/>
      <c r="T60" s="2293"/>
      <c r="U60" s="2293"/>
      <c r="V60" s="2293"/>
      <c r="W60" s="2293"/>
      <c r="X60" s="2293"/>
      <c r="Y60" s="2293"/>
      <c r="Z60" s="2293"/>
      <c r="AA60" s="2293"/>
      <c r="AB60" s="2293"/>
      <c r="AC60" s="2293"/>
      <c r="AD60" s="2293"/>
      <c r="AE60" s="2293"/>
      <c r="AF60" s="2293"/>
      <c r="AG60" s="2293"/>
      <c r="AH60" s="2293"/>
      <c r="AI60" s="2293"/>
      <c r="AJ60" s="2293"/>
      <c r="AK60" s="2293"/>
      <c r="AL60" s="2293"/>
      <c r="AM60" s="2293"/>
      <c r="AN60" s="2293"/>
    </row>
    <row r="61" spans="1:40" ht="13.65" customHeight="1" thickTop="1">
      <c r="A61" s="2295"/>
      <c r="B61" s="2295"/>
      <c r="C61" s="2295"/>
      <c r="D61" s="2295"/>
      <c r="E61" s="2295"/>
      <c r="F61" s="2295"/>
      <c r="G61" s="2295"/>
      <c r="H61" s="2295"/>
      <c r="I61" s="2295"/>
      <c r="J61" s="2295"/>
      <c r="K61" s="2295"/>
      <c r="L61" s="2295"/>
      <c r="M61" s="2295"/>
      <c r="N61" s="2295"/>
      <c r="O61" s="2295"/>
      <c r="P61" s="2295"/>
      <c r="Q61" s="2295"/>
      <c r="R61" s="2295"/>
      <c r="S61" s="2295"/>
      <c r="T61" s="2295"/>
      <c r="U61" s="2295"/>
      <c r="V61" s="2295"/>
      <c r="W61" s="2295"/>
      <c r="X61" s="2295"/>
      <c r="Y61" s="2295"/>
      <c r="Z61" s="2295"/>
      <c r="AA61" s="2295"/>
      <c r="AB61" s="2295"/>
      <c r="AC61" s="2295"/>
      <c r="AD61" s="2295"/>
      <c r="AE61" s="2295"/>
      <c r="AF61" s="2295"/>
      <c r="AG61" s="2295"/>
      <c r="AH61" s="2295"/>
      <c r="AI61" s="2295"/>
      <c r="AJ61" s="2295"/>
      <c r="AK61" s="2295"/>
      <c r="AL61" s="2295"/>
      <c r="AM61" s="2295"/>
      <c r="AN61" s="2295"/>
    </row>
    <row r="62" spans="1:40" ht="13.2">
      <c r="A62" s="358" t="s">
        <v>133</v>
      </c>
      <c r="B62" s="1"/>
      <c r="C62" s="358" t="s">
        <v>564</v>
      </c>
      <c r="D62" s="1"/>
      <c r="E62" s="1"/>
      <c r="F62" s="1"/>
      <c r="G62" s="1"/>
      <c r="H62" s="1"/>
      <c r="I62" s="1"/>
      <c r="J62" s="1"/>
      <c r="K62" s="1"/>
      <c r="L62" s="1"/>
      <c r="M62" s="1"/>
      <c r="N62" s="1"/>
      <c r="O62" s="1"/>
      <c r="P62" s="1"/>
      <c r="Q62" s="1"/>
      <c r="R62" s="1"/>
      <c r="S62" s="1"/>
      <c r="T62" s="1"/>
      <c r="U62" s="1"/>
      <c r="V62" s="1"/>
      <c r="W62" s="1"/>
      <c r="X62" s="1"/>
      <c r="Y62" s="2296" t="s">
        <v>330</v>
      </c>
      <c r="Z62" s="2296"/>
      <c r="AA62" s="2296"/>
      <c r="AB62" s="2296"/>
      <c r="AC62" s="2296"/>
      <c r="AD62" s="2296" t="s">
        <v>46</v>
      </c>
      <c r="AE62" s="2296"/>
      <c r="AF62" s="2296"/>
      <c r="AG62" s="2296"/>
      <c r="AH62" s="2296"/>
      <c r="AI62" s="1"/>
      <c r="AJ62" s="1"/>
      <c r="AK62" s="1"/>
      <c r="AL62" s="1"/>
      <c r="AM62" s="1"/>
      <c r="AN62" s="1"/>
    </row>
    <row r="63" spans="1:40" ht="13.2">
      <c r="C63" s="330"/>
      <c r="D63" s="1215" t="s">
        <v>1342</v>
      </c>
      <c r="E63" s="776"/>
      <c r="F63" s="776"/>
      <c r="G63" s="776"/>
      <c r="H63" s="776"/>
      <c r="I63" s="776"/>
      <c r="J63" s="776"/>
      <c r="K63" s="776"/>
      <c r="L63" s="22"/>
      <c r="M63" s="22"/>
      <c r="N63" s="22"/>
      <c r="O63" s="22"/>
      <c r="P63" s="22"/>
      <c r="Q63" s="22"/>
      <c r="R63" s="22"/>
      <c r="S63" s="22"/>
      <c r="T63" s="22"/>
      <c r="U63" s="22"/>
      <c r="V63" s="22"/>
      <c r="W63" s="22"/>
      <c r="X63" s="22"/>
      <c r="Y63" s="1722">
        <f>Y28</f>
        <v>0</v>
      </c>
      <c r="Z63" s="2279"/>
      <c r="AA63" s="2279"/>
      <c r="AB63" s="2279"/>
      <c r="AC63" s="2279"/>
      <c r="AD63" s="1722">
        <f>AI28</f>
        <v>0</v>
      </c>
      <c r="AE63" s="2279"/>
      <c r="AF63" s="2279"/>
      <c r="AG63" s="2279"/>
      <c r="AH63" s="2279"/>
    </row>
    <row r="64" spans="1:40" ht="15" customHeight="1">
      <c r="C64" s="6"/>
      <c r="E64" s="2294" t="s">
        <v>1393</v>
      </c>
      <c r="F64" s="2294"/>
      <c r="G64" s="2294"/>
      <c r="H64" s="2294"/>
      <c r="I64" s="2294"/>
      <c r="J64" s="2294"/>
      <c r="K64" s="2294"/>
      <c r="L64" s="2294"/>
      <c r="M64" s="2294"/>
      <c r="N64" s="2294"/>
      <c r="O64" s="2294"/>
      <c r="P64" s="2294"/>
      <c r="Q64" s="2294"/>
      <c r="R64" s="2294"/>
      <c r="S64" s="2294"/>
      <c r="T64" s="2294"/>
      <c r="U64" s="2294"/>
      <c r="V64" s="2294"/>
      <c r="W64" s="2294"/>
      <c r="X64" s="2294"/>
      <c r="Y64" s="2294"/>
      <c r="Z64" s="2294"/>
      <c r="AA64" s="2294"/>
      <c r="AB64" s="2294"/>
      <c r="AC64" s="2294"/>
      <c r="AD64" s="2294"/>
      <c r="AE64" s="2294"/>
      <c r="AF64" s="2294"/>
      <c r="AG64" s="2294"/>
      <c r="AH64" s="2294"/>
    </row>
    <row r="65" spans="1:40" ht="24.45" customHeight="1">
      <c r="C65" s="6"/>
      <c r="E65" s="2294"/>
      <c r="F65" s="2294"/>
      <c r="G65" s="2294"/>
      <c r="H65" s="2294"/>
      <c r="I65" s="2294"/>
      <c r="J65" s="2294"/>
      <c r="K65" s="2294"/>
      <c r="L65" s="2294"/>
      <c r="M65" s="2294"/>
      <c r="N65" s="2294"/>
      <c r="O65" s="2294"/>
      <c r="P65" s="2294"/>
      <c r="Q65" s="2294"/>
      <c r="R65" s="2294"/>
      <c r="S65" s="2294"/>
      <c r="T65" s="2294"/>
      <c r="U65" s="2294"/>
      <c r="V65" s="2294"/>
      <c r="W65" s="2294"/>
      <c r="X65" s="2294"/>
      <c r="Y65" s="2294"/>
      <c r="Z65" s="2294"/>
      <c r="AA65" s="2294"/>
      <c r="AB65" s="2294"/>
      <c r="AC65" s="2294"/>
      <c r="AD65" s="2294"/>
      <c r="AE65" s="2294"/>
      <c r="AF65" s="2294"/>
      <c r="AG65" s="2294"/>
      <c r="AH65" s="2294"/>
    </row>
    <row r="66" spans="1:40" ht="13.2">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75">
        <v>0.3</v>
      </c>
      <c r="Z66" s="2275"/>
      <c r="AA66" s="2275"/>
      <c r="AB66" s="2275"/>
      <c r="AC66" s="2275"/>
      <c r="AD66" s="2275">
        <v>0.13</v>
      </c>
      <c r="AE66" s="2275"/>
      <c r="AF66" s="2275"/>
      <c r="AG66" s="2275"/>
      <c r="AH66" s="2275"/>
    </row>
    <row r="67" spans="1:40" ht="13.2">
      <c r="C67" s="6"/>
      <c r="D67" s="6" t="s">
        <v>1024</v>
      </c>
      <c r="Y67" s="1722">
        <f>ROUND(Y63*Y66,0)</f>
        <v>0</v>
      </c>
      <c r="Z67" s="2279"/>
      <c r="AA67" s="2279"/>
      <c r="AB67" s="2279"/>
      <c r="AC67" s="2279"/>
      <c r="AD67" s="1722" t="str">
        <f>IF(OR(Application!D211="At-Risk",Application!D211="At-Risk/Located in Rural Census Tract",Application!D214="At-Risk"),ROUND(AD63*AD66,0),"$0")</f>
        <v>$0</v>
      </c>
      <c r="AE67" s="2280"/>
      <c r="AF67" s="2280"/>
      <c r="AG67" s="2280"/>
      <c r="AH67" s="2280"/>
    </row>
    <row r="68" spans="1:40" ht="13.2">
      <c r="C68" s="6"/>
      <c r="E68" s="6"/>
      <c r="AB68" s="5"/>
      <c r="AC68" s="5"/>
      <c r="AD68" s="5"/>
      <c r="AE68" s="5"/>
      <c r="AF68" s="5"/>
    </row>
    <row r="69" spans="1:40" ht="13.2">
      <c r="A69" s="6" t="s">
        <v>134</v>
      </c>
      <c r="C69" s="6" t="s">
        <v>282</v>
      </c>
    </row>
    <row r="70" spans="1:40" ht="13.2">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75" customHeight="1">
      <c r="A71" s="330"/>
      <c r="B71" s="2"/>
      <c r="C71" s="330"/>
      <c r="D71" s="330"/>
      <c r="E71" s="2281" t="s">
        <v>1910</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777"/>
      <c r="AB71" s="777"/>
      <c r="AC71" s="777"/>
      <c r="AG71" s="2"/>
      <c r="AH71" s="2"/>
      <c r="AI71" s="2"/>
      <c r="AJ71" s="2"/>
      <c r="AK71" s="2"/>
      <c r="AL71" s="2"/>
      <c r="AM71" s="2"/>
      <c r="AN71" s="2"/>
    </row>
    <row r="72" spans="1:40" ht="12.75"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777"/>
      <c r="AB72" s="777"/>
      <c r="AC72" s="777"/>
      <c r="AG72" s="2"/>
      <c r="AH72" s="2"/>
      <c r="AI72" s="2"/>
      <c r="AJ72" s="2"/>
      <c r="AK72" s="2"/>
      <c r="AL72" s="2"/>
      <c r="AM72" s="2"/>
      <c r="AN72" s="2"/>
    </row>
    <row r="73" spans="1:40" ht="12"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74">
        <f>ROUND(IF(ISERROR((AB58/AB70)),0,(AB58/AB70)),0)</f>
        <v>0</v>
      </c>
      <c r="AC75" s="2274"/>
      <c r="AD75" s="2274"/>
      <c r="AE75" s="2274"/>
      <c r="AF75" s="2274"/>
    </row>
    <row r="76" spans="1:40" ht="12.75" customHeight="1">
      <c r="C76" s="6"/>
      <c r="D76" s="6" t="s">
        <v>116</v>
      </c>
      <c r="AB76" s="2271">
        <f>IF((Y67+AD67&lt;AB75),Y67+AD67,AB75)</f>
        <v>0</v>
      </c>
      <c r="AC76" s="2272"/>
      <c r="AD76" s="2272"/>
      <c r="AE76" s="2272"/>
      <c r="AF76" s="2273"/>
    </row>
    <row r="77" spans="1:40" ht="12.75" customHeight="1">
      <c r="C77" s="6"/>
      <c r="D77" s="6" t="s">
        <v>1025</v>
      </c>
      <c r="AB77" s="2270">
        <f>AB76*AB70</f>
        <v>0</v>
      </c>
      <c r="AC77" s="2270"/>
      <c r="AD77" s="2270"/>
      <c r="AE77" s="2270"/>
      <c r="AF77" s="2270"/>
    </row>
    <row r="78" spans="1:40" ht="12.75" customHeight="1">
      <c r="C78" s="6"/>
      <c r="D78" s="6"/>
      <c r="AB78" s="908"/>
      <c r="AC78" s="908"/>
      <c r="AD78" s="908"/>
      <c r="AE78" s="908"/>
      <c r="AF78" s="908"/>
    </row>
    <row r="79" spans="1:40" ht="12.75" customHeight="1">
      <c r="A79" s="1"/>
      <c r="B79" s="1"/>
      <c r="C79" s="1"/>
      <c r="D79" s="6" t="s">
        <v>117</v>
      </c>
      <c r="AB79" s="2269">
        <f>AB48-(AB56+AB77)</f>
        <v>50907291</v>
      </c>
      <c r="AC79" s="2269"/>
      <c r="AD79" s="2269"/>
      <c r="AE79" s="2269"/>
      <c r="AF79" s="226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topLeftCell="A85" workbookViewId="0"/>
  </sheetViews>
  <sheetFormatPr defaultColWidth="0" defaultRowHeight="12" customHeight="1" zeroHeight="1"/>
  <cols>
    <col min="1" max="1" width="35.5546875" style="509" customWidth="1"/>
    <col min="2" max="2" width="14.5546875" style="547" customWidth="1"/>
    <col min="3" max="4" width="14.5546875" style="510" customWidth="1"/>
    <col min="5" max="5" width="14.5546875" style="547" customWidth="1"/>
    <col min="6" max="6" width="50.5546875" style="510" customWidth="1"/>
    <col min="7" max="7" width="9.109375" style="510" customWidth="1"/>
    <col min="8" max="8" width="0.44140625" style="510" hidden="1" customWidth="1"/>
    <col min="9" max="16383" width="11.44140625" style="510" hidden="1"/>
    <col min="16384" max="16384" width="0.44140625" style="510" customWidth="1"/>
  </cols>
  <sheetData>
    <row r="1" spans="1:7" ht="18" customHeight="1">
      <c r="A1" s="1073" t="s">
        <v>1329</v>
      </c>
      <c r="G1" s="873"/>
    </row>
    <row r="2" spans="1:7" ht="13.2">
      <c r="A2" s="399" t="s">
        <v>1035</v>
      </c>
      <c r="B2" s="352"/>
      <c r="C2" s="500"/>
      <c r="D2" s="500"/>
      <c r="E2" s="352"/>
      <c r="F2" s="501"/>
      <c r="G2" s="501"/>
    </row>
    <row r="3" spans="1:7" s="874" customFormat="1" ht="80.25" customHeight="1">
      <c r="A3" s="512"/>
      <c r="B3" s="502" t="s">
        <v>1034</v>
      </c>
      <c r="C3" s="502" t="s">
        <v>1271</v>
      </c>
      <c r="D3" s="502" t="s">
        <v>1037</v>
      </c>
      <c r="E3" s="502" t="s">
        <v>1038</v>
      </c>
      <c r="F3" s="496" t="s">
        <v>1036</v>
      </c>
      <c r="G3" s="502"/>
    </row>
    <row r="4" spans="1:7" s="876" customFormat="1" ht="13.2">
      <c r="A4" s="1442" t="s">
        <v>380</v>
      </c>
      <c r="B4" s="503"/>
      <c r="C4" s="503"/>
      <c r="D4" s="503"/>
      <c r="E4" s="503"/>
      <c r="F4" s="503"/>
      <c r="G4" s="503"/>
    </row>
    <row r="5" spans="1:7" s="876" customFormat="1" ht="13.2">
      <c r="A5" s="1443" t="s">
        <v>1039</v>
      </c>
      <c r="B5" s="505">
        <f>'Sources and Uses Budget'!C4</f>
        <v>2580000</v>
      </c>
      <c r="C5" s="505">
        <f>'Sources and Uses Budget'!C4</f>
        <v>2580000</v>
      </c>
      <c r="D5" s="505">
        <f>'Sources and Uses Budget'!C4</f>
        <v>2580000</v>
      </c>
      <c r="E5" s="507">
        <f>C5-B5</f>
        <v>0</v>
      </c>
      <c r="F5" s="506"/>
      <c r="G5" s="506"/>
    </row>
    <row r="6" spans="1:7" s="876" customFormat="1" ht="13.2">
      <c r="A6" s="1443" t="s">
        <v>1040</v>
      </c>
      <c r="B6" s="505">
        <f>'Sources and Uses Budget'!C5</f>
        <v>429515</v>
      </c>
      <c r="C6" s="505">
        <f>'Sources and Uses Budget'!C5</f>
        <v>429515</v>
      </c>
      <c r="D6" s="505">
        <f>'Sources and Uses Budget'!C5</f>
        <v>429515</v>
      </c>
      <c r="E6" s="507">
        <f t="shared" ref="E6:E73" si="0">C6-B6</f>
        <v>0</v>
      </c>
      <c r="F6" s="506"/>
      <c r="G6" s="506"/>
    </row>
    <row r="7" spans="1:7" s="876" customFormat="1" ht="13.2">
      <c r="A7" s="1443" t="s">
        <v>381</v>
      </c>
      <c r="B7" s="505">
        <f>'Sources and Uses Budget'!C6</f>
        <v>0</v>
      </c>
      <c r="C7" s="505">
        <f>'Sources and Uses Budget'!C6</f>
        <v>0</v>
      </c>
      <c r="D7" s="505">
        <f>'Sources and Uses Budget'!C6</f>
        <v>0</v>
      </c>
      <c r="E7" s="507">
        <f t="shared" si="0"/>
        <v>0</v>
      </c>
      <c r="F7" s="506"/>
      <c r="G7" s="506"/>
    </row>
    <row r="8" spans="1:7" s="876" customFormat="1" ht="13.2">
      <c r="A8" s="1443" t="s">
        <v>309</v>
      </c>
      <c r="B8" s="505">
        <f>'Sources and Uses Budget'!C7</f>
        <v>0</v>
      </c>
      <c r="C8" s="505">
        <f>'Sources and Uses Budget'!C7</f>
        <v>0</v>
      </c>
      <c r="D8" s="505">
        <f>'Sources and Uses Budget'!C7</f>
        <v>0</v>
      </c>
      <c r="E8" s="507">
        <f t="shared" si="0"/>
        <v>0</v>
      </c>
      <c r="F8" s="506"/>
      <c r="G8" s="506"/>
    </row>
    <row r="9" spans="1:7" s="876" customFormat="1" ht="13.2">
      <c r="A9" s="1444" t="s">
        <v>1041</v>
      </c>
      <c r="B9" s="507">
        <f>SUM(B5:B8)</f>
        <v>3009515</v>
      </c>
      <c r="C9" s="507">
        <f>SUM(C5:C8)</f>
        <v>3009515</v>
      </c>
      <c r="D9" s="507">
        <f>SUM(D5:D8)</f>
        <v>3009515</v>
      </c>
      <c r="E9" s="507">
        <f t="shared" si="0"/>
        <v>0</v>
      </c>
      <c r="F9" s="506"/>
      <c r="G9" s="506"/>
    </row>
    <row r="10" spans="1:7" s="876" customFormat="1" ht="13.2">
      <c r="A10" s="1443" t="s">
        <v>642</v>
      </c>
      <c r="B10" s="505">
        <f>'Sources and Uses Budget'!C9</f>
        <v>0</v>
      </c>
      <c r="C10" s="505">
        <f>'Sources and Uses Budget'!C9</f>
        <v>0</v>
      </c>
      <c r="D10" s="505">
        <f>'Sources and Uses Budget'!C9</f>
        <v>0</v>
      </c>
      <c r="E10" s="507">
        <f t="shared" si="0"/>
        <v>0</v>
      </c>
      <c r="F10" s="506"/>
      <c r="G10" s="506"/>
    </row>
    <row r="11" spans="1:7" s="876" customFormat="1" ht="13.2">
      <c r="A11" s="1443" t="s">
        <v>1042</v>
      </c>
      <c r="B11" s="505">
        <f>'Sources and Uses Budget'!C10</f>
        <v>0</v>
      </c>
      <c r="C11" s="505">
        <f>'Sources and Uses Budget'!C10</f>
        <v>0</v>
      </c>
      <c r="D11" s="505">
        <f>'Sources and Uses Budget'!C10</f>
        <v>0</v>
      </c>
      <c r="E11" s="507">
        <f t="shared" si="0"/>
        <v>0</v>
      </c>
      <c r="F11" s="506"/>
      <c r="G11" s="506"/>
    </row>
    <row r="12" spans="1:7" s="876" customFormat="1" ht="13.2">
      <c r="A12" s="1444" t="s">
        <v>643</v>
      </c>
      <c r="B12" s="507">
        <f>SUM(B10:B11)</f>
        <v>0</v>
      </c>
      <c r="C12" s="507">
        <f>SUM(C10:C11)</f>
        <v>0</v>
      </c>
      <c r="D12" s="507">
        <f>SUM(D10:D11)</f>
        <v>0</v>
      </c>
      <c r="E12" s="507">
        <f t="shared" si="0"/>
        <v>0</v>
      </c>
      <c r="F12" s="506"/>
      <c r="G12" s="506"/>
    </row>
    <row r="13" spans="1:7" s="876" customFormat="1" ht="13.2">
      <c r="A13" s="1444" t="s">
        <v>773</v>
      </c>
      <c r="B13" s="507">
        <f>SUM(B9+B12)</f>
        <v>3009515</v>
      </c>
      <c r="C13" s="507">
        <f>SUM(C9+C12)</f>
        <v>3009515</v>
      </c>
      <c r="D13" s="507">
        <f>SUM(D9+D12)</f>
        <v>3009515</v>
      </c>
      <c r="E13" s="507">
        <f t="shared" si="0"/>
        <v>0</v>
      </c>
      <c r="F13" s="506"/>
      <c r="G13" s="506"/>
    </row>
    <row r="14" spans="1:7" s="876" customFormat="1" ht="13.2">
      <c r="A14" s="1445" t="s">
        <v>1198</v>
      </c>
      <c r="B14" s="505">
        <f>'Sources and Uses Budget'!C13</f>
        <v>260191</v>
      </c>
      <c r="C14" s="505">
        <f>'Sources and Uses Budget'!C13</f>
        <v>260191</v>
      </c>
      <c r="D14" s="505">
        <f>'Sources and Uses Budget'!C13</f>
        <v>260191</v>
      </c>
      <c r="E14" s="507">
        <f t="shared" si="0"/>
        <v>0</v>
      </c>
      <c r="F14" s="506"/>
      <c r="G14" s="506"/>
    </row>
    <row r="15" spans="1:7" s="876" customFormat="1" ht="22.8">
      <c r="A15" s="1446" t="s">
        <v>1233</v>
      </c>
      <c r="B15" s="505">
        <f>'Sources and Uses Budget'!C14</f>
        <v>2746572</v>
      </c>
      <c r="C15" s="505">
        <f>'Sources and Uses Budget'!C14</f>
        <v>2746572</v>
      </c>
      <c r="D15" s="505">
        <f>'Sources and Uses Budget'!C14</f>
        <v>2746572</v>
      </c>
      <c r="E15" s="507">
        <f t="shared" si="0"/>
        <v>0</v>
      </c>
      <c r="F15" s="506"/>
      <c r="G15" s="506"/>
    </row>
    <row r="16" spans="1:7" s="876" customFormat="1" ht="13.2">
      <c r="A16" s="1446" t="s">
        <v>1840</v>
      </c>
      <c r="B16" s="505">
        <f>'Sources and Uses Budget'!C15</f>
        <v>0</v>
      </c>
      <c r="C16" s="505">
        <f>'Sources and Uses Budget'!C15</f>
        <v>0</v>
      </c>
      <c r="D16" s="505">
        <f>'Sources and Uses Budget'!C15</f>
        <v>0</v>
      </c>
      <c r="E16" s="507">
        <f t="shared" si="0"/>
        <v>0</v>
      </c>
      <c r="F16" s="506"/>
      <c r="G16" s="506"/>
    </row>
    <row r="17" spans="1:7" s="876" customFormat="1" ht="13.2">
      <c r="A17" s="1442" t="s">
        <v>992</v>
      </c>
      <c r="B17" s="503"/>
      <c r="C17" s="503"/>
      <c r="D17" s="503"/>
      <c r="E17" s="503"/>
      <c r="F17" s="503"/>
      <c r="G17" s="503"/>
    </row>
    <row r="18" spans="1:7" s="876" customFormat="1" ht="13.2">
      <c r="A18" s="369" t="s">
        <v>993</v>
      </c>
      <c r="B18" s="505">
        <f>'Sources and Uses Budget'!C17</f>
        <v>0</v>
      </c>
      <c r="C18" s="505">
        <f>'Sources and Uses Budget'!C17</f>
        <v>0</v>
      </c>
      <c r="D18" s="505">
        <f>'Sources and Uses Budget'!C17</f>
        <v>0</v>
      </c>
      <c r="E18" s="507">
        <f t="shared" si="0"/>
        <v>0</v>
      </c>
      <c r="F18" s="506"/>
      <c r="G18" s="506"/>
    </row>
    <row r="19" spans="1:7" s="876" customFormat="1" ht="13.2">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3.2">
      <c r="A20" s="369" t="s">
        <v>995</v>
      </c>
      <c r="B20" s="505">
        <f>'Sources and Uses Budget'!C19</f>
        <v>0</v>
      </c>
      <c r="C20" s="505">
        <f>'Sources and Uses Budget'!C19</f>
        <v>0</v>
      </c>
      <c r="D20" s="505">
        <f>'Sources and Uses Budget'!C19</f>
        <v>0</v>
      </c>
      <c r="E20" s="507">
        <f t="shared" si="1"/>
        <v>0</v>
      </c>
      <c r="F20" s="506"/>
      <c r="G20" s="506"/>
    </row>
    <row r="21" spans="1:7" s="876" customFormat="1" ht="13.2">
      <c r="A21" s="369" t="s">
        <v>996</v>
      </c>
      <c r="B21" s="505">
        <f>'Sources and Uses Budget'!C20</f>
        <v>0</v>
      </c>
      <c r="C21" s="505">
        <f>'Sources and Uses Budget'!C20</f>
        <v>0</v>
      </c>
      <c r="D21" s="505">
        <f>'Sources and Uses Budget'!C20</f>
        <v>0</v>
      </c>
      <c r="E21" s="507">
        <f t="shared" si="1"/>
        <v>0</v>
      </c>
      <c r="F21" s="506"/>
      <c r="G21" s="506"/>
    </row>
    <row r="22" spans="1:7" s="876" customFormat="1" ht="13.2">
      <c r="A22" s="369" t="s">
        <v>997</v>
      </c>
      <c r="B22" s="505">
        <f>'Sources and Uses Budget'!C21</f>
        <v>0</v>
      </c>
      <c r="C22" s="505">
        <f>'Sources and Uses Budget'!C21</f>
        <v>0</v>
      </c>
      <c r="D22" s="505">
        <f>'Sources and Uses Budget'!C21</f>
        <v>0</v>
      </c>
      <c r="E22" s="507">
        <f t="shared" si="1"/>
        <v>0</v>
      </c>
      <c r="F22" s="506"/>
      <c r="G22" s="506"/>
    </row>
    <row r="23" spans="1:7" s="876" customFormat="1" ht="13.2">
      <c r="A23" s="369" t="s">
        <v>998</v>
      </c>
      <c r="B23" s="505">
        <f>'Sources and Uses Budget'!C22</f>
        <v>0</v>
      </c>
      <c r="C23" s="505">
        <f>'Sources and Uses Budget'!C22</f>
        <v>0</v>
      </c>
      <c r="D23" s="505">
        <f>'Sources and Uses Budget'!C22</f>
        <v>0</v>
      </c>
      <c r="E23" s="507">
        <f t="shared" si="1"/>
        <v>0</v>
      </c>
      <c r="F23" s="506"/>
      <c r="G23" s="506"/>
    </row>
    <row r="24" spans="1:7" s="876" customFormat="1" ht="13.2">
      <c r="A24" s="369" t="s">
        <v>999</v>
      </c>
      <c r="B24" s="505">
        <f>'Sources and Uses Budget'!C23</f>
        <v>0</v>
      </c>
      <c r="C24" s="505">
        <f>'Sources and Uses Budget'!C23</f>
        <v>0</v>
      </c>
      <c r="D24" s="505">
        <f>'Sources and Uses Budget'!C23</f>
        <v>0</v>
      </c>
      <c r="E24" s="507">
        <f t="shared" si="1"/>
        <v>0</v>
      </c>
      <c r="F24" s="506"/>
      <c r="G24" s="506"/>
    </row>
    <row r="25" spans="1:7" s="876" customFormat="1" ht="13.2">
      <c r="A25" s="380" t="s">
        <v>2163</v>
      </c>
      <c r="B25" s="505">
        <f>'Sources and Uses Budget'!C24</f>
        <v>0</v>
      </c>
      <c r="C25" s="505">
        <f>'Sources and Uses Budget'!C24</f>
        <v>0</v>
      </c>
      <c r="D25" s="505">
        <f>'Sources and Uses Budget'!C24</f>
        <v>0</v>
      </c>
      <c r="E25" s="507">
        <f t="shared" si="1"/>
        <v>0</v>
      </c>
      <c r="F25" s="506"/>
      <c r="G25" s="506"/>
    </row>
    <row r="26" spans="1:7" s="876" customFormat="1" ht="13.2">
      <c r="A26" s="380" t="s">
        <v>589</v>
      </c>
      <c r="B26" s="505">
        <f>'Sources and Uses Budget'!C25</f>
        <v>0</v>
      </c>
      <c r="C26" s="505">
        <f>'Sources and Uses Budget'!C25</f>
        <v>0</v>
      </c>
      <c r="D26" s="505">
        <f>'Sources and Uses Budget'!C25</f>
        <v>0</v>
      </c>
      <c r="E26" s="507">
        <f t="shared" si="1"/>
        <v>0</v>
      </c>
      <c r="F26" s="506"/>
      <c r="G26" s="506"/>
    </row>
    <row r="27" spans="1:7" s="876" customFormat="1" ht="13.2">
      <c r="A27" s="508" t="s">
        <v>247</v>
      </c>
      <c r="B27" s="1454">
        <f>'Sources and Uses Budget'!C26</f>
        <v>0</v>
      </c>
      <c r="C27" s="1454">
        <f>'Sources and Uses Budget'!C26</f>
        <v>0</v>
      </c>
      <c r="D27" s="1454">
        <f>'Sources and Uses Budget'!C26</f>
        <v>0</v>
      </c>
      <c r="E27" s="507">
        <f>C27-B27</f>
        <v>0</v>
      </c>
      <c r="F27" s="506"/>
      <c r="G27" s="506"/>
    </row>
    <row r="28" spans="1:7" s="876" customFormat="1" ht="13.2">
      <c r="A28" s="1447" t="s">
        <v>1000</v>
      </c>
      <c r="B28" s="505">
        <f>'Sources and Uses Budget'!C27</f>
        <v>3445000</v>
      </c>
      <c r="C28" s="505">
        <f>'Sources and Uses Budget'!C27</f>
        <v>3445000</v>
      </c>
      <c r="D28" s="505">
        <f>'Sources and Uses Budget'!C27</f>
        <v>3445000</v>
      </c>
      <c r="E28" s="507">
        <f>C28-B28</f>
        <v>0</v>
      </c>
      <c r="F28" s="506"/>
      <c r="G28" s="506"/>
    </row>
    <row r="29" spans="1:7" s="876" customFormat="1" ht="13.2">
      <c r="A29" s="1442" t="s">
        <v>1001</v>
      </c>
      <c r="B29" s="503"/>
      <c r="C29" s="503"/>
      <c r="D29" s="503"/>
      <c r="E29" s="503"/>
      <c r="F29" s="503"/>
      <c r="G29" s="503"/>
    </row>
    <row r="30" spans="1:7" s="876" customFormat="1" ht="13.2">
      <c r="A30" s="369" t="s">
        <v>993</v>
      </c>
      <c r="B30" s="505">
        <f>'Sources and Uses Budget'!C29</f>
        <v>3032744</v>
      </c>
      <c r="C30" s="505">
        <f>'Sources and Uses Budget'!C29</f>
        <v>3032744</v>
      </c>
      <c r="D30" s="505">
        <f>'Sources and Uses Budget'!C29</f>
        <v>3032744</v>
      </c>
      <c r="E30" s="507">
        <f t="shared" si="0"/>
        <v>0</v>
      </c>
      <c r="F30" s="506"/>
      <c r="G30" s="506"/>
    </row>
    <row r="31" spans="1:7" s="876" customFormat="1" ht="13.2">
      <c r="A31" s="369" t="s">
        <v>994</v>
      </c>
      <c r="B31" s="505">
        <f>'Sources and Uses Budget'!C30</f>
        <v>17741107</v>
      </c>
      <c r="C31" s="505">
        <f>'Sources and Uses Budget'!C30</f>
        <v>17741107</v>
      </c>
      <c r="D31" s="505">
        <f>'Sources and Uses Budget'!C30</f>
        <v>17741107</v>
      </c>
      <c r="E31" s="507">
        <f t="shared" si="0"/>
        <v>0</v>
      </c>
      <c r="F31" s="506"/>
      <c r="G31" s="506"/>
    </row>
    <row r="32" spans="1:7" s="876" customFormat="1" ht="13.2">
      <c r="A32" s="369" t="s">
        <v>995</v>
      </c>
      <c r="B32" s="505">
        <f>'Sources and Uses Budget'!C31</f>
        <v>1497424</v>
      </c>
      <c r="C32" s="505">
        <f>'Sources and Uses Budget'!C31</f>
        <v>1497424</v>
      </c>
      <c r="D32" s="505">
        <f>'Sources and Uses Budget'!C31</f>
        <v>1497424</v>
      </c>
      <c r="E32" s="507">
        <f t="shared" si="0"/>
        <v>0</v>
      </c>
      <c r="F32" s="506"/>
      <c r="G32" s="506"/>
    </row>
    <row r="33" spans="1:7" s="876" customFormat="1" ht="13.2">
      <c r="A33" s="369" t="s">
        <v>996</v>
      </c>
      <c r="B33" s="505">
        <f>'Sources and Uses Budget'!C32</f>
        <v>0</v>
      </c>
      <c r="C33" s="505">
        <f>'Sources and Uses Budget'!C32</f>
        <v>0</v>
      </c>
      <c r="D33" s="505">
        <f>'Sources and Uses Budget'!C32</f>
        <v>0</v>
      </c>
      <c r="E33" s="507">
        <f t="shared" si="0"/>
        <v>0</v>
      </c>
      <c r="F33" s="506"/>
      <c r="G33" s="506"/>
    </row>
    <row r="34" spans="1:7" s="876" customFormat="1" ht="13.2">
      <c r="A34" s="369" t="s">
        <v>997</v>
      </c>
      <c r="B34" s="505">
        <f>'Sources and Uses Budget'!C33</f>
        <v>425596</v>
      </c>
      <c r="C34" s="505">
        <f>'Sources and Uses Budget'!C33</f>
        <v>425596</v>
      </c>
      <c r="D34" s="505">
        <f>'Sources and Uses Budget'!C33</f>
        <v>425596</v>
      </c>
      <c r="E34" s="507">
        <f t="shared" si="0"/>
        <v>0</v>
      </c>
      <c r="F34" s="506"/>
      <c r="G34" s="506"/>
    </row>
    <row r="35" spans="1:7" s="876" customFormat="1" ht="13.2">
      <c r="A35" s="369" t="s">
        <v>998</v>
      </c>
      <c r="B35" s="505">
        <f>'Sources and Uses Budget'!C34</f>
        <v>5290000</v>
      </c>
      <c r="C35" s="505">
        <f>'Sources and Uses Budget'!C34</f>
        <v>5290000</v>
      </c>
      <c r="D35" s="505">
        <f>'Sources and Uses Budget'!C34</f>
        <v>5290000</v>
      </c>
      <c r="E35" s="507">
        <f t="shared" si="0"/>
        <v>0</v>
      </c>
      <c r="F35" s="506"/>
      <c r="G35" s="506"/>
    </row>
    <row r="36" spans="1:7" s="876" customFormat="1" ht="13.2">
      <c r="A36" s="369" t="s">
        <v>999</v>
      </c>
      <c r="B36" s="505">
        <f>'Sources and Uses Budget'!C35</f>
        <v>313129</v>
      </c>
      <c r="C36" s="505">
        <f>'Sources and Uses Budget'!C35</f>
        <v>313129</v>
      </c>
      <c r="D36" s="505">
        <f>'Sources and Uses Budget'!C35</f>
        <v>313129</v>
      </c>
      <c r="E36" s="507">
        <f t="shared" si="0"/>
        <v>0</v>
      </c>
      <c r="F36" s="506"/>
      <c r="G36" s="506"/>
    </row>
    <row r="37" spans="1:7" s="876" customFormat="1" ht="13.2">
      <c r="A37" s="700" t="s">
        <v>2163</v>
      </c>
      <c r="B37" s="505">
        <f>'Sources and Uses Budget'!C36</f>
        <v>0</v>
      </c>
      <c r="C37" s="505">
        <f>'Sources and Uses Budget'!C36</f>
        <v>0</v>
      </c>
      <c r="D37" s="505">
        <f>'Sources and Uses Budget'!C36</f>
        <v>0</v>
      </c>
      <c r="E37" s="507">
        <f t="shared" si="0"/>
        <v>0</v>
      </c>
      <c r="F37" s="506"/>
      <c r="G37" s="506"/>
    </row>
    <row r="38" spans="1:7" s="876" customFormat="1" ht="13.2">
      <c r="A38" s="380" t="s">
        <v>589</v>
      </c>
      <c r="B38" s="505">
        <f>'Sources and Uses Budget'!C37</f>
        <v>500000</v>
      </c>
      <c r="C38" s="505">
        <f>'Sources and Uses Budget'!C37</f>
        <v>500000</v>
      </c>
      <c r="D38" s="505">
        <f>'Sources and Uses Budget'!C37</f>
        <v>500000</v>
      </c>
      <c r="E38" s="507">
        <f>C38-B38</f>
        <v>0</v>
      </c>
      <c r="F38" s="506"/>
      <c r="G38" s="506"/>
    </row>
    <row r="39" spans="1:7" s="876" customFormat="1" ht="13.2">
      <c r="A39" s="1447" t="s">
        <v>1002</v>
      </c>
      <c r="B39" s="1454">
        <f>'Sources and Uses Budget'!C38</f>
        <v>28800000</v>
      </c>
      <c r="C39" s="1454">
        <f>'Sources and Uses Budget'!C38</f>
        <v>28800000</v>
      </c>
      <c r="D39" s="1454">
        <f>'Sources and Uses Budget'!C38</f>
        <v>28800000</v>
      </c>
      <c r="E39" s="507">
        <f>C39-B39</f>
        <v>0</v>
      </c>
      <c r="F39" s="506"/>
      <c r="G39" s="506"/>
    </row>
    <row r="40" spans="1:7" s="876" customFormat="1" ht="13.2">
      <c r="A40" s="1442" t="s">
        <v>1003</v>
      </c>
      <c r="B40" s="503"/>
      <c r="C40" s="503"/>
      <c r="D40" s="503"/>
      <c r="E40" s="503"/>
      <c r="F40" s="503"/>
      <c r="G40" s="503"/>
    </row>
    <row r="41" spans="1:7" s="876" customFormat="1" ht="13.2">
      <c r="A41" s="1448" t="s">
        <v>1004</v>
      </c>
      <c r="B41" s="505">
        <f>'Sources and Uses Budget'!C40</f>
        <v>919135</v>
      </c>
      <c r="C41" s="505">
        <f>'Sources and Uses Budget'!C40</f>
        <v>919135</v>
      </c>
      <c r="D41" s="505">
        <f>'Sources and Uses Budget'!C40</f>
        <v>919135</v>
      </c>
      <c r="E41" s="507">
        <f>C41-B41</f>
        <v>0</v>
      </c>
      <c r="F41" s="506"/>
      <c r="G41" s="506"/>
    </row>
    <row r="42" spans="1:7" s="876" customFormat="1" ht="13.2">
      <c r="A42" s="1448" t="s">
        <v>1005</v>
      </c>
      <c r="B42" s="505">
        <f>'Sources and Uses Budget'!C41</f>
        <v>0</v>
      </c>
      <c r="C42" s="505">
        <f>'Sources and Uses Budget'!C41</f>
        <v>0</v>
      </c>
      <c r="D42" s="505">
        <f>'Sources and Uses Budget'!C41</f>
        <v>0</v>
      </c>
      <c r="E42" s="507">
        <f>C42-B42</f>
        <v>0</v>
      </c>
      <c r="F42" s="506"/>
      <c r="G42" s="506"/>
    </row>
    <row r="43" spans="1:7" s="876" customFormat="1" ht="12" customHeight="1">
      <c r="A43" s="1447" t="s">
        <v>1006</v>
      </c>
      <c r="B43" s="1454">
        <f>'Sources and Uses Budget'!C42</f>
        <v>919135</v>
      </c>
      <c r="C43" s="1454">
        <f>'Sources and Uses Budget'!C42</f>
        <v>919135</v>
      </c>
      <c r="D43" s="1454">
        <f>'Sources and Uses Budget'!C42</f>
        <v>919135</v>
      </c>
      <c r="E43" s="507">
        <f>C43-B43</f>
        <v>0</v>
      </c>
      <c r="F43" s="506"/>
      <c r="G43" s="506"/>
    </row>
    <row r="44" spans="1:7" s="876" customFormat="1" ht="13.2">
      <c r="A44" s="1447" t="s">
        <v>1007</v>
      </c>
      <c r="B44" s="505">
        <f>'Sources and Uses Budget'!C43</f>
        <v>600459</v>
      </c>
      <c r="C44" s="505">
        <f>'Sources and Uses Budget'!C43</f>
        <v>600459</v>
      </c>
      <c r="D44" s="505">
        <f>'Sources and Uses Budget'!C43</f>
        <v>600459</v>
      </c>
      <c r="E44" s="507">
        <f>C44-B44</f>
        <v>0</v>
      </c>
      <c r="F44" s="506"/>
      <c r="G44" s="506"/>
    </row>
    <row r="45" spans="1:7" s="876" customFormat="1" ht="13.2">
      <c r="A45" s="365" t="s">
        <v>1008</v>
      </c>
      <c r="B45" s="503"/>
      <c r="C45" s="503"/>
      <c r="D45" s="503"/>
      <c r="E45" s="503"/>
      <c r="F45" s="503"/>
      <c r="G45" s="503"/>
    </row>
    <row r="46" spans="1:7" s="876" customFormat="1" ht="12" customHeight="1">
      <c r="A46" s="369" t="s">
        <v>1009</v>
      </c>
      <c r="B46" s="505">
        <f>'Sources and Uses Budget'!C45</f>
        <v>707000</v>
      </c>
      <c r="C46" s="505">
        <f>'Sources and Uses Budget'!C45</f>
        <v>707000</v>
      </c>
      <c r="D46" s="505">
        <f>'Sources and Uses Budget'!C45</f>
        <v>707000</v>
      </c>
      <c r="E46" s="507">
        <f t="shared" si="0"/>
        <v>0</v>
      </c>
      <c r="F46" s="506"/>
      <c r="G46" s="506"/>
    </row>
    <row r="47" spans="1:7" s="876" customFormat="1" ht="13.2">
      <c r="A47" s="369" t="s">
        <v>1010</v>
      </c>
      <c r="B47" s="505">
        <f>'Sources and Uses Budget'!C46</f>
        <v>244000</v>
      </c>
      <c r="C47" s="505">
        <f>'Sources and Uses Budget'!C46</f>
        <v>244000</v>
      </c>
      <c r="D47" s="505">
        <f>'Sources and Uses Budget'!C46</f>
        <v>244000</v>
      </c>
      <c r="E47" s="507">
        <f t="shared" si="0"/>
        <v>0</v>
      </c>
      <c r="F47" s="506"/>
      <c r="G47" s="506"/>
    </row>
    <row r="48" spans="1:7" s="876" customFormat="1" ht="13.2">
      <c r="A48" s="369" t="s">
        <v>1011</v>
      </c>
      <c r="B48" s="505">
        <f>'Sources and Uses Budget'!C47</f>
        <v>0</v>
      </c>
      <c r="C48" s="505">
        <f>'Sources and Uses Budget'!C47</f>
        <v>0</v>
      </c>
      <c r="D48" s="505">
        <f>'Sources and Uses Budget'!C47</f>
        <v>0</v>
      </c>
      <c r="E48" s="507">
        <f t="shared" si="0"/>
        <v>0</v>
      </c>
      <c r="F48" s="506"/>
      <c r="G48" s="506"/>
    </row>
    <row r="49" spans="1:7" s="876" customFormat="1" ht="13.2">
      <c r="A49" s="369" t="s">
        <v>1012</v>
      </c>
      <c r="B49" s="505">
        <f>'Sources and Uses Budget'!C48</f>
        <v>0</v>
      </c>
      <c r="C49" s="505">
        <f>'Sources and Uses Budget'!C48</f>
        <v>0</v>
      </c>
      <c r="D49" s="505">
        <f>'Sources and Uses Budget'!C48</f>
        <v>0</v>
      </c>
      <c r="E49" s="507">
        <f t="shared" si="0"/>
        <v>0</v>
      </c>
      <c r="F49" s="506"/>
      <c r="G49" s="506"/>
    </row>
    <row r="50" spans="1:7" s="876" customFormat="1" ht="13.2">
      <c r="A50" s="369" t="s">
        <v>1015</v>
      </c>
      <c r="B50" s="505">
        <f>'Sources and Uses Budget'!C49</f>
        <v>55000</v>
      </c>
      <c r="C50" s="505">
        <f>'Sources and Uses Budget'!C49</f>
        <v>55000</v>
      </c>
      <c r="D50" s="505">
        <f>'Sources and Uses Budget'!C49</f>
        <v>55000</v>
      </c>
      <c r="E50" s="507">
        <f t="shared" si="0"/>
        <v>0</v>
      </c>
      <c r="F50" s="506"/>
      <c r="G50" s="506"/>
    </row>
    <row r="51" spans="1:7" s="876" customFormat="1" ht="13.2">
      <c r="A51" s="369" t="s">
        <v>1013</v>
      </c>
      <c r="B51" s="505">
        <f>'Sources and Uses Budget'!C50</f>
        <v>3000</v>
      </c>
      <c r="C51" s="505">
        <f>'Sources and Uses Budget'!C50</f>
        <v>3000</v>
      </c>
      <c r="D51" s="505">
        <f>'Sources and Uses Budget'!C50</f>
        <v>3000</v>
      </c>
      <c r="E51" s="507">
        <f t="shared" si="0"/>
        <v>0</v>
      </c>
      <c r="F51" s="506"/>
      <c r="G51" s="506"/>
    </row>
    <row r="52" spans="1:7" s="877" customFormat="1" ht="13.2">
      <c r="A52" s="369" t="s">
        <v>1014</v>
      </c>
      <c r="B52" s="505">
        <f>'Sources and Uses Budget'!C51</f>
        <v>400000</v>
      </c>
      <c r="C52" s="505">
        <f>'Sources and Uses Budget'!C51</f>
        <v>400000</v>
      </c>
      <c r="D52" s="505">
        <f>'Sources and Uses Budget'!C51</f>
        <v>400000</v>
      </c>
      <c r="E52" s="507">
        <f t="shared" si="0"/>
        <v>0</v>
      </c>
      <c r="F52" s="506"/>
      <c r="G52" s="506"/>
    </row>
    <row r="53" spans="1:7" s="876" customFormat="1" ht="13.2">
      <c r="A53" s="376" t="s">
        <v>589</v>
      </c>
      <c r="B53" s="505">
        <f>'Sources and Uses Budget'!C52</f>
        <v>190000</v>
      </c>
      <c r="C53" s="505">
        <f>'Sources and Uses Budget'!C52</f>
        <v>190000</v>
      </c>
      <c r="D53" s="505">
        <f>'Sources and Uses Budget'!C52</f>
        <v>190000</v>
      </c>
      <c r="E53" s="507">
        <f t="shared" si="0"/>
        <v>0</v>
      </c>
      <c r="F53" s="506"/>
      <c r="G53" s="506"/>
    </row>
    <row r="54" spans="1:7" s="876" customFormat="1" ht="13.2">
      <c r="A54" s="373" t="s">
        <v>1016</v>
      </c>
      <c r="B54" s="1454">
        <f>'Sources and Uses Budget'!C53</f>
        <v>1599000</v>
      </c>
      <c r="C54" s="1454">
        <f>'Sources and Uses Budget'!C53</f>
        <v>1599000</v>
      </c>
      <c r="D54" s="1454">
        <f>'Sources and Uses Budget'!C53</f>
        <v>1599000</v>
      </c>
      <c r="E54" s="507">
        <f t="shared" si="0"/>
        <v>0</v>
      </c>
      <c r="F54" s="506"/>
      <c r="G54" s="506"/>
    </row>
    <row r="55" spans="1:7" s="876" customFormat="1" ht="12" customHeight="1">
      <c r="A55" s="1442" t="s">
        <v>745</v>
      </c>
      <c r="B55" s="503"/>
      <c r="C55" s="503"/>
      <c r="D55" s="503"/>
      <c r="E55" s="503"/>
      <c r="F55" s="503"/>
      <c r="G55" s="503"/>
    </row>
    <row r="56" spans="1:7" s="876" customFormat="1" ht="13.2">
      <c r="A56" s="1448" t="s">
        <v>1017</v>
      </c>
      <c r="B56" s="505">
        <f>'Sources and Uses Budget'!C55</f>
        <v>0</v>
      </c>
      <c r="C56" s="505">
        <f>'Sources and Uses Budget'!C55</f>
        <v>0</v>
      </c>
      <c r="D56" s="505">
        <f>'Sources and Uses Budget'!C55</f>
        <v>0</v>
      </c>
      <c r="E56" s="507">
        <f t="shared" si="0"/>
        <v>0</v>
      </c>
      <c r="F56" s="506"/>
      <c r="G56" s="506"/>
    </row>
    <row r="57" spans="1:7" s="876" customFormat="1" ht="13.2">
      <c r="A57" s="1448" t="s">
        <v>1011</v>
      </c>
      <c r="B57" s="505">
        <f>'Sources and Uses Budget'!C56</f>
        <v>0</v>
      </c>
      <c r="C57" s="505">
        <f>'Sources and Uses Budget'!C56</f>
        <v>0</v>
      </c>
      <c r="D57" s="505">
        <f>'Sources and Uses Budget'!C56</f>
        <v>0</v>
      </c>
      <c r="E57" s="507">
        <f t="shared" si="0"/>
        <v>0</v>
      </c>
      <c r="F57" s="506"/>
      <c r="G57" s="506"/>
    </row>
    <row r="58" spans="1:7" s="876" customFormat="1" ht="13.2">
      <c r="A58" s="1448" t="s">
        <v>1015</v>
      </c>
      <c r="B58" s="505">
        <f>'Sources and Uses Budget'!C57</f>
        <v>0</v>
      </c>
      <c r="C58" s="505">
        <f>'Sources and Uses Budget'!C57</f>
        <v>0</v>
      </c>
      <c r="D58" s="505">
        <f>'Sources and Uses Budget'!C57</f>
        <v>0</v>
      </c>
      <c r="E58" s="507">
        <f t="shared" si="0"/>
        <v>0</v>
      </c>
      <c r="F58" s="506"/>
      <c r="G58" s="506"/>
    </row>
    <row r="59" spans="1:7" s="876" customFormat="1" ht="13.2">
      <c r="A59" s="1448" t="s">
        <v>1013</v>
      </c>
      <c r="B59" s="505">
        <f>'Sources and Uses Budget'!C58</f>
        <v>0</v>
      </c>
      <c r="C59" s="505">
        <f>'Sources and Uses Budget'!C58</f>
        <v>0</v>
      </c>
      <c r="D59" s="505">
        <f>'Sources and Uses Budget'!C58</f>
        <v>0</v>
      </c>
      <c r="E59" s="507">
        <f t="shared" si="0"/>
        <v>0</v>
      </c>
      <c r="F59" s="506"/>
      <c r="G59" s="506"/>
    </row>
    <row r="60" spans="1:7" s="876" customFormat="1" ht="13.2">
      <c r="A60" s="1448" t="s">
        <v>1014</v>
      </c>
      <c r="B60" s="505">
        <f>'Sources and Uses Budget'!C59</f>
        <v>0</v>
      </c>
      <c r="C60" s="505">
        <f>'Sources and Uses Budget'!C59</f>
        <v>0</v>
      </c>
      <c r="D60" s="505">
        <f>'Sources and Uses Budget'!C59</f>
        <v>0</v>
      </c>
      <c r="E60" s="507">
        <f t="shared" si="0"/>
        <v>0</v>
      </c>
      <c r="F60" s="506"/>
      <c r="G60" s="506"/>
    </row>
    <row r="61" spans="1:7" s="876" customFormat="1" ht="13.95" customHeight="1">
      <c r="A61" s="1449" t="s">
        <v>589</v>
      </c>
      <c r="B61" s="505">
        <f>'Sources and Uses Budget'!C60</f>
        <v>652000</v>
      </c>
      <c r="C61" s="505">
        <f>'Sources and Uses Budget'!C60</f>
        <v>652000</v>
      </c>
      <c r="D61" s="505">
        <f>'Sources and Uses Budget'!C60</f>
        <v>652000</v>
      </c>
      <c r="E61" s="507">
        <f t="shared" si="0"/>
        <v>0</v>
      </c>
      <c r="F61" s="506"/>
      <c r="G61" s="506"/>
    </row>
    <row r="62" spans="1:7" s="876" customFormat="1" ht="13.2">
      <c r="A62" s="1447" t="s">
        <v>546</v>
      </c>
      <c r="B62" s="1454">
        <f>'Sources and Uses Budget'!C61</f>
        <v>652000</v>
      </c>
      <c r="C62" s="1454">
        <f>'Sources and Uses Budget'!C61</f>
        <v>652000</v>
      </c>
      <c r="D62" s="1454">
        <f>'Sources and Uses Budget'!C61</f>
        <v>652000</v>
      </c>
      <c r="E62" s="507">
        <f t="shared" si="0"/>
        <v>0</v>
      </c>
      <c r="F62" s="506"/>
      <c r="G62" s="506"/>
    </row>
    <row r="63" spans="1:7" s="876" customFormat="1" ht="13.2">
      <c r="A63" s="1450" t="s">
        <v>547</v>
      </c>
      <c r="B63" s="1454">
        <f>'Sources and Uses Budget'!C62</f>
        <v>42031872</v>
      </c>
      <c r="C63" s="1454">
        <f>'Sources and Uses Budget'!C62</f>
        <v>42031872</v>
      </c>
      <c r="D63" s="1454">
        <f>'Sources and Uses Budget'!C62</f>
        <v>42031872</v>
      </c>
      <c r="E63" s="507">
        <f t="shared" si="0"/>
        <v>0</v>
      </c>
      <c r="F63" s="506"/>
      <c r="G63" s="506"/>
    </row>
    <row r="64" spans="1:7" s="876" customFormat="1" ht="22.8">
      <c r="A64" s="365" t="s">
        <v>2164</v>
      </c>
      <c r="B64" s="503"/>
      <c r="C64" s="503"/>
      <c r="D64" s="503"/>
      <c r="E64" s="503"/>
      <c r="F64" s="503"/>
      <c r="G64" s="503"/>
    </row>
    <row r="65" spans="1:7" s="876" customFormat="1" ht="13.2">
      <c r="A65" s="369" t="s">
        <v>311</v>
      </c>
      <c r="B65" s="505">
        <f>'Sources and Uses Budget'!C64</f>
        <v>120000</v>
      </c>
      <c r="C65" s="505">
        <f>'Sources and Uses Budget'!C64</f>
        <v>120000</v>
      </c>
      <c r="D65" s="505">
        <f>'Sources and Uses Budget'!C64</f>
        <v>120000</v>
      </c>
      <c r="E65" s="507">
        <f t="shared" si="0"/>
        <v>0</v>
      </c>
      <c r="F65" s="506"/>
      <c r="G65" s="506"/>
    </row>
    <row r="66" spans="1:7" s="876" customFormat="1" ht="22.8">
      <c r="A66" s="369" t="s">
        <v>2165</v>
      </c>
      <c r="B66" s="505">
        <f>'Sources and Uses Budget'!C65</f>
        <v>0</v>
      </c>
      <c r="C66" s="505">
        <f>'Sources and Uses Budget'!C65</f>
        <v>0</v>
      </c>
      <c r="D66" s="505">
        <f>'Sources and Uses Budget'!C65</f>
        <v>0</v>
      </c>
      <c r="E66" s="507">
        <f t="shared" si="0"/>
        <v>0</v>
      </c>
      <c r="F66" s="506"/>
      <c r="G66" s="506"/>
    </row>
    <row r="67" spans="1:7" s="876" customFormat="1" ht="22.8">
      <c r="A67" s="369" t="s">
        <v>2166</v>
      </c>
      <c r="B67" s="505">
        <f>'Sources and Uses Budget'!C66</f>
        <v>0</v>
      </c>
      <c r="C67" s="505">
        <f>'Sources and Uses Budget'!C66</f>
        <v>0</v>
      </c>
      <c r="D67" s="505">
        <f>'Sources and Uses Budget'!C66</f>
        <v>0</v>
      </c>
      <c r="E67" s="507">
        <f t="shared" si="0"/>
        <v>0</v>
      </c>
      <c r="F67" s="506"/>
      <c r="G67" s="506"/>
    </row>
    <row r="68" spans="1:7" s="876" customFormat="1" ht="13.2">
      <c r="A68" s="369" t="s">
        <v>2167</v>
      </c>
      <c r="B68" s="505">
        <f>'Sources and Uses Budget'!C67</f>
        <v>0</v>
      </c>
      <c r="C68" s="505">
        <f>'Sources and Uses Budget'!C67</f>
        <v>0</v>
      </c>
      <c r="D68" s="505">
        <f>'Sources and Uses Budget'!C67</f>
        <v>0</v>
      </c>
      <c r="E68" s="507">
        <f t="shared" si="0"/>
        <v>0</v>
      </c>
      <c r="F68" s="506"/>
      <c r="G68" s="506"/>
    </row>
    <row r="69" spans="1:7" s="876" customFormat="1" ht="13.2">
      <c r="A69" s="380" t="s">
        <v>2233</v>
      </c>
      <c r="B69" s="505">
        <f>'Sources and Uses Budget'!C68</f>
        <v>200000</v>
      </c>
      <c r="C69" s="505">
        <f>'Sources and Uses Budget'!C68</f>
        <v>200000</v>
      </c>
      <c r="D69" s="505">
        <f>'Sources and Uses Budget'!C68</f>
        <v>200000</v>
      </c>
      <c r="E69" s="507">
        <f t="shared" si="0"/>
        <v>0</v>
      </c>
      <c r="F69" s="506"/>
      <c r="G69" s="506"/>
    </row>
    <row r="70" spans="1:7" s="876" customFormat="1" ht="13.2">
      <c r="A70" s="373" t="s">
        <v>2168</v>
      </c>
      <c r="B70" s="1454">
        <f>'Sources and Uses Budget'!C69</f>
        <v>320000</v>
      </c>
      <c r="C70" s="1454">
        <f>'Sources and Uses Budget'!C69</f>
        <v>320000</v>
      </c>
      <c r="D70" s="1454">
        <f>'Sources and Uses Budget'!C69</f>
        <v>320000</v>
      </c>
      <c r="E70" s="507">
        <f t="shared" si="0"/>
        <v>0</v>
      </c>
      <c r="F70" s="506"/>
      <c r="G70" s="506"/>
    </row>
    <row r="71" spans="1:7" s="876" customFormat="1" ht="13.2">
      <c r="A71" s="1442" t="s">
        <v>312</v>
      </c>
      <c r="B71" s="503"/>
      <c r="C71" s="503"/>
      <c r="D71" s="503"/>
      <c r="E71" s="503"/>
      <c r="F71" s="503"/>
      <c r="G71" s="503"/>
    </row>
    <row r="72" spans="1:7" s="876" customFormat="1" ht="13.2">
      <c r="A72" s="1448" t="s">
        <v>313</v>
      </c>
      <c r="B72" s="505">
        <f>'Sources and Uses Budget'!C71</f>
        <v>0</v>
      </c>
      <c r="C72" s="505">
        <f>'Sources and Uses Budget'!C71</f>
        <v>0</v>
      </c>
      <c r="D72" s="505">
        <f>'Sources and Uses Budget'!C71</f>
        <v>0</v>
      </c>
      <c r="E72" s="507">
        <f t="shared" si="0"/>
        <v>0</v>
      </c>
      <c r="F72" s="506"/>
      <c r="G72" s="506"/>
    </row>
    <row r="73" spans="1:7" s="876" customFormat="1" ht="13.2">
      <c r="A73" s="1448" t="s">
        <v>314</v>
      </c>
      <c r="B73" s="505">
        <f>'Sources and Uses Budget'!C72</f>
        <v>0</v>
      </c>
      <c r="C73" s="505">
        <f>'Sources and Uses Budget'!C72</f>
        <v>0</v>
      </c>
      <c r="D73" s="505">
        <f>'Sources and Uses Budget'!C72</f>
        <v>0</v>
      </c>
      <c r="E73" s="507">
        <f t="shared" si="0"/>
        <v>0</v>
      </c>
      <c r="F73" s="506"/>
      <c r="G73" s="506"/>
    </row>
    <row r="74" spans="1:7" s="876" customFormat="1" ht="13.2">
      <c r="A74" s="1451" t="s">
        <v>1340</v>
      </c>
      <c r="B74" s="505">
        <f>'Sources and Uses Budget'!C73</f>
        <v>0</v>
      </c>
      <c r="C74" s="505">
        <f>'Sources and Uses Budget'!C73</f>
        <v>0</v>
      </c>
      <c r="D74" s="505">
        <f>'Sources and Uses Budget'!C73</f>
        <v>0</v>
      </c>
      <c r="E74" s="507">
        <f>C74-B74</f>
        <v>0</v>
      </c>
      <c r="F74" s="506"/>
      <c r="G74" s="506"/>
    </row>
    <row r="75" spans="1:7" s="876" customFormat="1" ht="13.2">
      <c r="A75" s="1448" t="s">
        <v>315</v>
      </c>
      <c r="B75" s="505">
        <f>'Sources and Uses Budget'!C74</f>
        <v>488000</v>
      </c>
      <c r="C75" s="505">
        <f>'Sources and Uses Budget'!C74</f>
        <v>488000</v>
      </c>
      <c r="D75" s="505">
        <f>'Sources and Uses Budget'!C74</f>
        <v>488000</v>
      </c>
      <c r="E75" s="507">
        <f>C75-B75</f>
        <v>0</v>
      </c>
      <c r="F75" s="506"/>
      <c r="G75" s="506"/>
    </row>
    <row r="76" spans="1:7" s="876" customFormat="1" ht="13.2">
      <c r="A76" s="1452" t="s">
        <v>589</v>
      </c>
      <c r="B76" s="505">
        <f>'Sources and Uses Budget'!C75</f>
        <v>0</v>
      </c>
      <c r="C76" s="505">
        <f>'Sources and Uses Budget'!C75</f>
        <v>0</v>
      </c>
      <c r="D76" s="505">
        <f>'Sources and Uses Budget'!C75</f>
        <v>0</v>
      </c>
      <c r="E76" s="507">
        <f>C76-B76</f>
        <v>0</v>
      </c>
      <c r="F76" s="506"/>
      <c r="G76" s="506"/>
    </row>
    <row r="77" spans="1:7" s="876" customFormat="1" ht="13.2">
      <c r="A77" s="1447" t="s">
        <v>316</v>
      </c>
      <c r="B77" s="1454">
        <f>'Sources and Uses Budget'!C76</f>
        <v>488000</v>
      </c>
      <c r="C77" s="1454">
        <f>'Sources and Uses Budget'!C76</f>
        <v>488000</v>
      </c>
      <c r="D77" s="1454">
        <f>'Sources and Uses Budget'!C76</f>
        <v>488000</v>
      </c>
      <c r="E77" s="507">
        <f>C77-B77</f>
        <v>0</v>
      </c>
      <c r="F77" s="506"/>
      <c r="G77" s="506"/>
    </row>
    <row r="78" spans="1:7" s="876" customFormat="1" ht="13.2">
      <c r="A78" s="1442" t="s">
        <v>1908</v>
      </c>
      <c r="B78" s="503"/>
      <c r="C78" s="503"/>
      <c r="D78" s="503"/>
      <c r="E78" s="503"/>
      <c r="F78" s="503"/>
      <c r="G78" s="503"/>
    </row>
    <row r="79" spans="1:7" s="876" customFormat="1" ht="13.95" customHeight="1">
      <c r="A79" s="1448" t="s">
        <v>1906</v>
      </c>
      <c r="B79" s="505">
        <f>'Sources and Uses Budget'!C78</f>
        <v>2016000</v>
      </c>
      <c r="C79" s="505">
        <f>'Sources and Uses Budget'!C78</f>
        <v>2016000</v>
      </c>
      <c r="D79" s="505">
        <f>'Sources and Uses Budget'!C78</f>
        <v>2016000</v>
      </c>
      <c r="E79" s="507">
        <f t="shared" ref="E79:E105" si="2">C79-B79</f>
        <v>0</v>
      </c>
      <c r="F79" s="506"/>
      <c r="G79" s="506"/>
    </row>
    <row r="80" spans="1:7" s="876" customFormat="1" ht="13.2">
      <c r="A80" s="1448" t="s">
        <v>594</v>
      </c>
      <c r="B80" s="505">
        <f>'Sources and Uses Budget'!C79</f>
        <v>375572</v>
      </c>
      <c r="C80" s="505">
        <f>'Sources and Uses Budget'!C79</f>
        <v>375572</v>
      </c>
      <c r="D80" s="505">
        <f>'Sources and Uses Budget'!C79</f>
        <v>375572</v>
      </c>
      <c r="E80" s="507">
        <f t="shared" si="2"/>
        <v>0</v>
      </c>
      <c r="F80" s="506"/>
      <c r="G80" s="506"/>
    </row>
    <row r="81" spans="1:7" s="876" customFormat="1" ht="13.2">
      <c r="A81" s="1447" t="s">
        <v>1907</v>
      </c>
      <c r="B81" s="1454">
        <f>'Sources and Uses Budget'!C80</f>
        <v>2391572</v>
      </c>
      <c r="C81" s="1454">
        <f>'Sources and Uses Budget'!C80</f>
        <v>2391572</v>
      </c>
      <c r="D81" s="1454">
        <f>'Sources and Uses Budget'!C80</f>
        <v>2391572</v>
      </c>
      <c r="E81" s="507">
        <f t="shared" si="2"/>
        <v>0</v>
      </c>
      <c r="F81" s="506"/>
      <c r="G81" s="506"/>
    </row>
    <row r="82" spans="1:7" s="876" customFormat="1" ht="13.2">
      <c r="A82" s="1442" t="s">
        <v>570</v>
      </c>
      <c r="B82" s="503"/>
      <c r="C82" s="503"/>
      <c r="D82" s="503"/>
      <c r="E82" s="503"/>
      <c r="F82" s="503"/>
      <c r="G82" s="503"/>
    </row>
    <row r="83" spans="1:7" s="876" customFormat="1" ht="13.2">
      <c r="A83" s="369" t="s">
        <v>571</v>
      </c>
      <c r="B83" s="505">
        <f>'Sources and Uses Budget'!C82</f>
        <v>165000</v>
      </c>
      <c r="C83" s="505">
        <f>'Sources and Uses Budget'!C82</f>
        <v>165000</v>
      </c>
      <c r="D83" s="505">
        <f>'Sources and Uses Budget'!C82</f>
        <v>165000</v>
      </c>
      <c r="E83" s="507">
        <f t="shared" si="2"/>
        <v>0</v>
      </c>
      <c r="F83" s="506"/>
      <c r="G83" s="506"/>
    </row>
    <row r="84" spans="1:7" s="876" customFormat="1" ht="13.2">
      <c r="A84" s="369" t="s">
        <v>572</v>
      </c>
      <c r="B84" s="505">
        <f>'Sources and Uses Budget'!C83</f>
        <v>9300</v>
      </c>
      <c r="C84" s="505">
        <f>'Sources and Uses Budget'!C83</f>
        <v>9300</v>
      </c>
      <c r="D84" s="505">
        <f>'Sources and Uses Budget'!C83</f>
        <v>9300</v>
      </c>
      <c r="E84" s="507">
        <f t="shared" si="2"/>
        <v>0</v>
      </c>
      <c r="F84" s="506"/>
      <c r="G84" s="506"/>
    </row>
    <row r="85" spans="1:7" s="876" customFormat="1" ht="13.2">
      <c r="A85" s="369" t="s">
        <v>573</v>
      </c>
      <c r="B85" s="505">
        <f>'Sources and Uses Budget'!C84</f>
        <v>1670124</v>
      </c>
      <c r="C85" s="505">
        <f>'Sources and Uses Budget'!C84</f>
        <v>1670124</v>
      </c>
      <c r="D85" s="505">
        <f>'Sources and Uses Budget'!C84</f>
        <v>1670124</v>
      </c>
      <c r="E85" s="507">
        <f t="shared" si="2"/>
        <v>0</v>
      </c>
      <c r="F85" s="506"/>
      <c r="G85" s="506"/>
    </row>
    <row r="86" spans="1:7" s="876" customFormat="1" ht="13.2">
      <c r="A86" s="369" t="s">
        <v>574</v>
      </c>
      <c r="B86" s="505">
        <f>'Sources and Uses Budget'!C85</f>
        <v>861423</v>
      </c>
      <c r="C86" s="505">
        <f>'Sources and Uses Budget'!C85</f>
        <v>861423</v>
      </c>
      <c r="D86" s="505">
        <f>'Sources and Uses Budget'!C85</f>
        <v>861423</v>
      </c>
      <c r="E86" s="507">
        <f t="shared" si="2"/>
        <v>0</v>
      </c>
      <c r="F86" s="506"/>
      <c r="G86" s="506"/>
    </row>
    <row r="87" spans="1:7" s="876" customFormat="1" ht="13.2">
      <c r="A87" s="369" t="s">
        <v>575</v>
      </c>
      <c r="B87" s="505">
        <f>'Sources and Uses Budget'!C86</f>
        <v>0</v>
      </c>
      <c r="C87" s="505">
        <f>'Sources and Uses Budget'!C86</f>
        <v>0</v>
      </c>
      <c r="D87" s="505">
        <f>'Sources and Uses Budget'!C86</f>
        <v>0</v>
      </c>
      <c r="E87" s="507">
        <f t="shared" si="2"/>
        <v>0</v>
      </c>
      <c r="F87" s="506"/>
      <c r="G87" s="506"/>
    </row>
    <row r="88" spans="1:7" s="876" customFormat="1" ht="13.2">
      <c r="A88" s="369" t="s">
        <v>576</v>
      </c>
      <c r="B88" s="505">
        <f>'Sources and Uses Budget'!C87</f>
        <v>25000</v>
      </c>
      <c r="C88" s="505">
        <f>'Sources and Uses Budget'!C87</f>
        <v>25000</v>
      </c>
      <c r="D88" s="505">
        <f>'Sources and Uses Budget'!C87</f>
        <v>25000</v>
      </c>
      <c r="E88" s="507">
        <f t="shared" si="2"/>
        <v>0</v>
      </c>
      <c r="F88" s="506"/>
      <c r="G88" s="506"/>
    </row>
    <row r="89" spans="1:7" s="876" customFormat="1" ht="13.2">
      <c r="A89" s="369" t="s">
        <v>577</v>
      </c>
      <c r="B89" s="505">
        <f>'Sources and Uses Budget'!C88</f>
        <v>384000</v>
      </c>
      <c r="C89" s="505">
        <f>'Sources and Uses Budget'!C88</f>
        <v>384000</v>
      </c>
      <c r="D89" s="505">
        <f>'Sources and Uses Budget'!C88</f>
        <v>384000</v>
      </c>
      <c r="E89" s="507">
        <f t="shared" si="2"/>
        <v>0</v>
      </c>
      <c r="F89" s="506"/>
      <c r="G89" s="506"/>
    </row>
    <row r="90" spans="1:7" s="876" customFormat="1" ht="13.2">
      <c r="A90" s="369" t="s">
        <v>578</v>
      </c>
      <c r="B90" s="505">
        <f>'Sources and Uses Budget'!C89</f>
        <v>7000</v>
      </c>
      <c r="C90" s="505">
        <f>'Sources and Uses Budget'!C89</f>
        <v>7000</v>
      </c>
      <c r="D90" s="505">
        <f>'Sources and Uses Budget'!C89</f>
        <v>7000</v>
      </c>
      <c r="E90" s="507">
        <f t="shared" si="2"/>
        <v>0</v>
      </c>
      <c r="F90" s="506"/>
      <c r="G90" s="506"/>
    </row>
    <row r="91" spans="1:7" s="876" customFormat="1" ht="13.2">
      <c r="A91" s="380" t="s">
        <v>1422</v>
      </c>
      <c r="B91" s="505">
        <f>'Sources and Uses Budget'!C90</f>
        <v>30000</v>
      </c>
      <c r="C91" s="505">
        <f>'Sources and Uses Budget'!C90</f>
        <v>30000</v>
      </c>
      <c r="D91" s="505">
        <f>'Sources and Uses Budget'!C90</f>
        <v>30000</v>
      </c>
      <c r="E91" s="507">
        <f t="shared" si="2"/>
        <v>0</v>
      </c>
      <c r="F91" s="506"/>
      <c r="G91" s="506"/>
    </row>
    <row r="92" spans="1:7" s="876" customFormat="1" ht="13.2">
      <c r="A92" s="380" t="s">
        <v>1905</v>
      </c>
      <c r="B92" s="505">
        <f>'Sources and Uses Budget'!C91</f>
        <v>10000</v>
      </c>
      <c r="C92" s="505">
        <f>'Sources and Uses Budget'!C91</f>
        <v>10000</v>
      </c>
      <c r="D92" s="505">
        <f>'Sources and Uses Budget'!C91</f>
        <v>10000</v>
      </c>
      <c r="E92" s="507">
        <f t="shared" si="2"/>
        <v>0</v>
      </c>
      <c r="F92" s="506"/>
      <c r="G92" s="506"/>
    </row>
    <row r="93" spans="1:7" s="876" customFormat="1" ht="13.2">
      <c r="A93" s="376" t="s">
        <v>589</v>
      </c>
      <c r="B93" s="505">
        <f>'Sources and Uses Budget'!C92</f>
        <v>50000</v>
      </c>
      <c r="C93" s="505">
        <f>'Sources and Uses Budget'!C92</f>
        <v>50000</v>
      </c>
      <c r="D93" s="505">
        <f>'Sources and Uses Budget'!C92</f>
        <v>50000</v>
      </c>
      <c r="E93" s="507">
        <f t="shared" si="2"/>
        <v>0</v>
      </c>
      <c r="F93" s="506"/>
      <c r="G93" s="506"/>
    </row>
    <row r="94" spans="1:7" s="876" customFormat="1" ht="13.2">
      <c r="A94" s="376" t="s">
        <v>589</v>
      </c>
      <c r="B94" s="505">
        <f>'Sources and Uses Budget'!C93</f>
        <v>260000</v>
      </c>
      <c r="C94" s="505">
        <f>'Sources and Uses Budget'!C93</f>
        <v>260000</v>
      </c>
      <c r="D94" s="505">
        <f>'Sources and Uses Budget'!C93</f>
        <v>260000</v>
      </c>
      <c r="E94" s="507">
        <f t="shared" si="2"/>
        <v>0</v>
      </c>
      <c r="F94" s="506"/>
      <c r="G94" s="506"/>
    </row>
    <row r="95" spans="1:7" s="876" customFormat="1" ht="13.2">
      <c r="A95" s="376" t="s">
        <v>589</v>
      </c>
      <c r="B95" s="505">
        <f>'Sources and Uses Budget'!C94</f>
        <v>4000</v>
      </c>
      <c r="C95" s="505">
        <f>'Sources and Uses Budget'!C94</f>
        <v>4000</v>
      </c>
      <c r="D95" s="505">
        <f>'Sources and Uses Budget'!C94</f>
        <v>4000</v>
      </c>
      <c r="E95" s="507">
        <f t="shared" si="2"/>
        <v>0</v>
      </c>
      <c r="F95" s="506"/>
      <c r="G95" s="506"/>
    </row>
    <row r="96" spans="1:7" s="876" customFormat="1" ht="13.2">
      <c r="A96" s="373" t="s">
        <v>579</v>
      </c>
      <c r="B96" s="1454">
        <f>'Sources and Uses Budget'!C95</f>
        <v>3475847</v>
      </c>
      <c r="C96" s="1454">
        <f>'Sources and Uses Budget'!C95</f>
        <v>3475847</v>
      </c>
      <c r="D96" s="1454">
        <f>'Sources and Uses Budget'!C95</f>
        <v>3475847</v>
      </c>
      <c r="E96" s="507">
        <f t="shared" si="2"/>
        <v>0</v>
      </c>
      <c r="F96" s="506"/>
      <c r="G96" s="506"/>
    </row>
    <row r="97" spans="1:7" s="875" customFormat="1" ht="13.2">
      <c r="A97" s="373" t="s">
        <v>580</v>
      </c>
      <c r="B97" s="1454">
        <f>'Sources and Uses Budget'!C96</f>
        <v>48707291</v>
      </c>
      <c r="C97" s="1454">
        <f>'Sources and Uses Budget'!C96</f>
        <v>48707291</v>
      </c>
      <c r="D97" s="1454">
        <f>'Sources and Uses Budget'!C96</f>
        <v>48707291</v>
      </c>
      <c r="E97" s="507">
        <f t="shared" si="2"/>
        <v>0</v>
      </c>
      <c r="F97" s="506"/>
      <c r="G97" s="506"/>
    </row>
    <row r="98" spans="1:7" s="875" customFormat="1" ht="13.2">
      <c r="A98" s="1442" t="s">
        <v>581</v>
      </c>
      <c r="B98" s="503"/>
      <c r="C98" s="503"/>
      <c r="D98" s="503"/>
      <c r="E98" s="503"/>
      <c r="F98" s="503"/>
      <c r="G98" s="503"/>
    </row>
    <row r="99" spans="1:7" s="875" customFormat="1" ht="13.2">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2231</v>
      </c>
      <c r="B100" s="505">
        <f>'Sources and Uses Budget'!C99</f>
        <v>0</v>
      </c>
      <c r="C100" s="505">
        <f>'Sources and Uses Budget'!C99</f>
        <v>0</v>
      </c>
      <c r="D100" s="505">
        <f>'Sources and Uses Budget'!C99</f>
        <v>0</v>
      </c>
      <c r="E100" s="507">
        <f t="shared" si="2"/>
        <v>0</v>
      </c>
      <c r="F100" s="506"/>
      <c r="G100" s="506"/>
    </row>
    <row r="101" spans="1:7" s="875" customFormat="1" ht="13.2">
      <c r="A101" s="369" t="s">
        <v>583</v>
      </c>
      <c r="B101" s="505">
        <f>'Sources and Uses Budget'!C100</f>
        <v>0</v>
      </c>
      <c r="C101" s="505">
        <f>'Sources and Uses Budget'!C100</f>
        <v>0</v>
      </c>
      <c r="D101" s="505">
        <f>'Sources and Uses Budget'!C100</f>
        <v>0</v>
      </c>
      <c r="E101" s="507">
        <f t="shared" si="2"/>
        <v>0</v>
      </c>
      <c r="F101" s="506"/>
      <c r="G101" s="506"/>
    </row>
    <row r="102" spans="1:7" s="875" customFormat="1" ht="13.2">
      <c r="A102" s="369" t="s">
        <v>2232</v>
      </c>
      <c r="B102" s="505">
        <f>'Sources and Uses Budget'!C101</f>
        <v>0</v>
      </c>
      <c r="C102" s="505">
        <f>'Sources and Uses Budget'!C101</f>
        <v>0</v>
      </c>
      <c r="D102" s="505">
        <f>'Sources and Uses Budget'!C101</f>
        <v>0</v>
      </c>
      <c r="E102" s="507">
        <f t="shared" si="2"/>
        <v>0</v>
      </c>
      <c r="F102" s="506"/>
      <c r="G102" s="506"/>
    </row>
    <row r="103" spans="1:7" s="875" customFormat="1" ht="13.2">
      <c r="A103" s="1449" t="s">
        <v>589</v>
      </c>
      <c r="B103" s="505">
        <f>'Sources and Uses Budget'!C102</f>
        <v>0</v>
      </c>
      <c r="C103" s="505">
        <f>'Sources and Uses Budget'!C102</f>
        <v>0</v>
      </c>
      <c r="D103" s="505">
        <f>'Sources and Uses Budget'!C102</f>
        <v>0</v>
      </c>
      <c r="E103" s="507">
        <f t="shared" si="2"/>
        <v>0</v>
      </c>
      <c r="F103" s="506"/>
      <c r="G103" s="506"/>
    </row>
    <row r="104" spans="1:7" s="875" customFormat="1" ht="13.2">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3.2">
      <c r="A105" s="1447" t="s">
        <v>585</v>
      </c>
      <c r="B105" s="1454">
        <f>'Sources and Uses Budget'!C104</f>
        <v>50907291</v>
      </c>
      <c r="C105" s="1454">
        <f>'Sources and Uses Budget'!C104</f>
        <v>50907291</v>
      </c>
      <c r="D105" s="1454">
        <f>'Sources and Uses Budget'!C104</f>
        <v>50907291</v>
      </c>
      <c r="E105" s="507">
        <f t="shared" si="2"/>
        <v>0</v>
      </c>
      <c r="F105" s="506"/>
      <c r="G105" s="1453"/>
    </row>
    <row r="106" spans="1:7" s="875" customFormat="1" ht="13.2">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topLeftCell="A25" workbookViewId="0">
      <selection activeCell="E88" sqref="E88"/>
    </sheetView>
  </sheetViews>
  <sheetFormatPr defaultColWidth="0" defaultRowHeight="13.2" zeroHeight="1"/>
  <cols>
    <col min="1" max="10" width="9.109375" style="16" customWidth="1"/>
    <col min="11" max="16384" width="8.88671875" style="16" hidden="1"/>
  </cols>
  <sheetData>
    <row r="1" spans="1:10" ht="14.25" customHeight="1"/>
    <row r="2" spans="1:10" ht="15.6">
      <c r="A2" s="1538" t="s">
        <v>332</v>
      </c>
      <c r="B2" s="1539"/>
      <c r="C2" s="1539"/>
      <c r="D2" s="1539"/>
      <c r="E2" s="1539"/>
      <c r="F2" s="1539"/>
      <c r="G2" s="1539"/>
      <c r="H2" s="1539"/>
      <c r="I2" s="1539"/>
      <c r="J2" s="1539"/>
    </row>
    <row r="3" spans="1:10" ht="15">
      <c r="A3" s="1540" t="s">
        <v>2291</v>
      </c>
      <c r="B3" s="1539"/>
      <c r="C3" s="1539"/>
      <c r="D3" s="1539"/>
      <c r="E3" s="1539"/>
      <c r="F3" s="1539"/>
      <c r="G3" s="1539"/>
      <c r="H3" s="1539"/>
      <c r="I3" s="1539"/>
      <c r="J3" s="1539"/>
    </row>
    <row r="4" spans="1:10"/>
    <row r="5" spans="1:10" ht="12.75" customHeight="1">
      <c r="A5" s="1545" t="s">
        <v>2235</v>
      </c>
      <c r="B5" s="1545"/>
      <c r="C5" s="1545"/>
      <c r="D5" s="1545"/>
      <c r="E5" s="1545"/>
      <c r="F5" s="1545"/>
      <c r="G5" s="1545"/>
      <c r="H5" s="1545"/>
      <c r="I5" s="1545"/>
      <c r="J5" s="1545"/>
    </row>
    <row r="6" spans="1:10">
      <c r="A6" s="1545"/>
      <c r="B6" s="1545"/>
      <c r="C6" s="1545"/>
      <c r="D6" s="1545"/>
      <c r="E6" s="1545"/>
      <c r="F6" s="1545"/>
      <c r="G6" s="1545"/>
      <c r="H6" s="1545"/>
      <c r="I6" s="1545"/>
      <c r="J6" s="1545"/>
    </row>
    <row r="7" spans="1:10">
      <c r="A7" s="83"/>
      <c r="B7" s="83"/>
      <c r="C7" s="83"/>
      <c r="D7" s="83"/>
      <c r="E7" s="83"/>
      <c r="F7" s="83"/>
      <c r="G7" s="83"/>
      <c r="H7" s="83"/>
      <c r="I7" s="83"/>
      <c r="J7" s="83"/>
    </row>
    <row r="8" spans="1:10">
      <c r="A8" s="1455" t="s">
        <v>2236</v>
      </c>
      <c r="B8" s="83"/>
      <c r="C8" s="83"/>
      <c r="D8" s="83"/>
      <c r="E8" s="83"/>
      <c r="F8" s="83"/>
      <c r="G8" s="83"/>
      <c r="H8" s="83"/>
      <c r="I8" s="83"/>
      <c r="J8" s="83"/>
    </row>
    <row r="9" spans="1:10">
      <c r="A9" s="1078"/>
      <c r="B9" s="1078"/>
      <c r="C9" s="1078"/>
      <c r="D9" s="1078"/>
      <c r="E9" s="1078"/>
      <c r="F9" s="1078"/>
      <c r="G9" s="1078"/>
      <c r="H9" s="1078"/>
      <c r="I9" s="1078"/>
      <c r="J9" s="1078"/>
    </row>
    <row r="10" spans="1:10" s="1546" customFormat="1">
      <c r="A10" s="1546" t="s">
        <v>2332</v>
      </c>
    </row>
    <row r="11" spans="1:10" s="1546" customFormat="1" ht="12.75" customHeight="1"/>
    <row r="12" spans="1:10" s="1546" customFormat="1" ht="12.75" customHeight="1"/>
    <row r="13" spans="1:10" s="1546" customFormat="1" ht="12.75" customHeight="1"/>
    <row r="14" spans="1:10" s="1546" customFormat="1" ht="12.75" customHeight="1"/>
    <row r="15" spans="1:10"/>
    <row r="16" spans="1:10" ht="12.75" customHeight="1">
      <c r="A16" s="1541" t="s">
        <v>2059</v>
      </c>
      <c r="B16" s="1542"/>
      <c r="C16" s="1542"/>
      <c r="D16" s="1542"/>
      <c r="E16" s="1542"/>
      <c r="F16" s="1542"/>
      <c r="G16" s="1542"/>
      <c r="H16" s="1542"/>
      <c r="I16" s="1542"/>
      <c r="J16" s="1542"/>
    </row>
    <row r="17" spans="1:10" ht="12.75" customHeight="1">
      <c r="A17" s="1542"/>
      <c r="B17" s="1542"/>
      <c r="C17" s="1542"/>
      <c r="D17" s="1542"/>
      <c r="E17" s="1542"/>
      <c r="F17" s="1542"/>
      <c r="G17" s="1542"/>
      <c r="H17" s="1542"/>
      <c r="I17" s="1542"/>
      <c r="J17" s="1542"/>
    </row>
    <row r="18" spans="1:10">
      <c r="A18" s="1542"/>
      <c r="B18" s="1542"/>
      <c r="C18" s="1542"/>
      <c r="D18" s="1542"/>
      <c r="E18" s="1542"/>
      <c r="F18" s="1542"/>
      <c r="G18" s="1542"/>
      <c r="H18" s="1542"/>
      <c r="I18" s="1542"/>
      <c r="J18" s="1542"/>
    </row>
    <row r="19" spans="1:10">
      <c r="A19" s="1543"/>
      <c r="B19" s="1543"/>
      <c r="C19" s="1543"/>
      <c r="D19" s="1543"/>
      <c r="E19" s="1543"/>
      <c r="F19" s="1543"/>
      <c r="G19" s="1543"/>
      <c r="H19" s="1543"/>
      <c r="I19" s="1543"/>
      <c r="J19" s="1543"/>
    </row>
    <row r="20" spans="1:10">
      <c r="A20" s="1543"/>
      <c r="B20" s="1543"/>
      <c r="C20" s="1543"/>
      <c r="D20" s="1543"/>
      <c r="E20" s="1543"/>
      <c r="F20" s="1543"/>
      <c r="G20" s="1543"/>
      <c r="H20" s="1543"/>
      <c r="I20" s="1543"/>
      <c r="J20" s="1543"/>
    </row>
    <row r="21" spans="1:10">
      <c r="A21" s="1543"/>
      <c r="B21" s="1543"/>
      <c r="C21" s="1543"/>
      <c r="D21" s="1543"/>
      <c r="E21" s="1543"/>
      <c r="F21" s="1543"/>
      <c r="G21" s="1543"/>
      <c r="H21" s="1543"/>
      <c r="I21" s="1543"/>
      <c r="J21" s="1543"/>
    </row>
    <row r="22" spans="1:10">
      <c r="A22" s="40" t="s">
        <v>1119</v>
      </c>
      <c r="B22" s="1078"/>
      <c r="C22" s="1078"/>
      <c r="D22" s="1078"/>
      <c r="E22" s="1078"/>
      <c r="F22" s="1078"/>
      <c r="G22" s="1078"/>
      <c r="H22" s="1078"/>
      <c r="I22" s="1078"/>
      <c r="J22" s="1078"/>
    </row>
    <row r="23" spans="1:10" ht="14.4">
      <c r="A23" s="1079" t="s">
        <v>254</v>
      </c>
      <c r="B23" s="1079"/>
      <c r="C23" s="1079"/>
      <c r="D23" s="1079"/>
      <c r="E23" s="1079"/>
      <c r="F23" s="1079"/>
      <c r="G23" s="1079"/>
      <c r="H23" s="1079"/>
      <c r="I23" s="1079"/>
      <c r="J23" s="1515"/>
    </row>
    <row r="24" spans="1:10">
      <c r="A24" s="1544" t="s">
        <v>1102</v>
      </c>
      <c r="B24" s="1539"/>
      <c r="C24" s="1539"/>
      <c r="D24" s="1539"/>
      <c r="E24" s="153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2" t="s">
        <v>1120</v>
      </c>
      <c r="B61" s="1543"/>
      <c r="C61" s="1543"/>
      <c r="D61" s="1543"/>
      <c r="E61" s="1543"/>
      <c r="F61" s="1543"/>
      <c r="G61" s="1543"/>
      <c r="H61" s="1543"/>
      <c r="I61" s="1543"/>
      <c r="J61" s="1543"/>
    </row>
    <row r="62" spans="1:10">
      <c r="A62" s="1543"/>
      <c r="B62" s="1543"/>
      <c r="C62" s="1543"/>
      <c r="D62" s="1543"/>
      <c r="E62" s="1543"/>
      <c r="F62" s="1543"/>
      <c r="G62" s="1543"/>
      <c r="H62" s="1543"/>
      <c r="I62" s="1543"/>
      <c r="J62" s="1543"/>
    </row>
    <row r="63" spans="1:10">
      <c r="A63" s="1543"/>
      <c r="B63" s="1543"/>
      <c r="C63" s="1543"/>
      <c r="D63" s="1543"/>
      <c r="E63" s="1543"/>
      <c r="F63" s="1543"/>
      <c r="G63" s="1543"/>
      <c r="H63" s="1543"/>
      <c r="I63" s="1543"/>
      <c r="J63" s="1543"/>
    </row>
    <row r="64" spans="1:10"/>
    <row r="65" spans="1:9">
      <c r="A65" s="8" t="s">
        <v>1102</v>
      </c>
    </row>
    <row r="66" spans="1:9"/>
    <row r="67" spans="1:9"/>
    <row r="68" spans="1:9"/>
    <row r="69" spans="1:9"/>
    <row r="70" spans="1:9"/>
    <row r="71" spans="1:9"/>
    <row r="72" spans="1:9"/>
    <row r="73" spans="1:9"/>
    <row r="74" spans="1:9"/>
    <row r="75" spans="1:9"/>
    <row r="76" spans="1:9">
      <c r="A76" s="1537" t="s">
        <v>1234</v>
      </c>
      <c r="B76" s="1537"/>
      <c r="C76" s="1537"/>
      <c r="D76" s="1537"/>
      <c r="E76" s="1537"/>
      <c r="F76" s="1537"/>
      <c r="G76" s="1537"/>
      <c r="H76" s="1537"/>
      <c r="I76" s="1537"/>
    </row>
    <row r="77" spans="1:9">
      <c r="A77" s="1536" t="s">
        <v>1392</v>
      </c>
      <c r="B77" s="1536"/>
      <c r="C77" s="1536"/>
      <c r="D77" s="1536"/>
      <c r="E77" s="1536"/>
      <c r="F77" s="1077"/>
    </row>
    <row r="78" spans="1:9">
      <c r="A78" s="1536" t="s">
        <v>1391</v>
      </c>
      <c r="B78" s="1536"/>
      <c r="C78" s="1536"/>
      <c r="D78" s="1536"/>
      <c r="E78" s="1536"/>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abSelected="1" topLeftCell="A1245" workbookViewId="0">
      <selection activeCell="B1250" sqref="B1250"/>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624" t="s">
        <v>2292</v>
      </c>
      <c r="B2" s="1624"/>
      <c r="C2" s="1625"/>
      <c r="D2" s="1625"/>
      <c r="E2" s="1625"/>
      <c r="F2" s="1625"/>
      <c r="G2" s="1625"/>
      <c r="I2" s="2" t="s">
        <v>86</v>
      </c>
    </row>
    <row r="3" spans="1:9" ht="13.2">
      <c r="A3" s="298"/>
      <c r="B3" s="298"/>
      <c r="C3" s="13"/>
      <c r="D3" s="13"/>
      <c r="E3" s="13"/>
      <c r="F3" s="13"/>
      <c r="G3" s="687"/>
      <c r="I3" s="329" t="s">
        <v>1514</v>
      </c>
    </row>
    <row r="4" spans="1:9" ht="13.2">
      <c r="A4" s="1626" t="s">
        <v>1128</v>
      </c>
      <c r="B4" s="1626"/>
      <c r="C4" s="1627"/>
      <c r="D4" s="1627"/>
      <c r="E4" s="1627"/>
      <c r="F4" s="1627"/>
      <c r="G4" s="1627"/>
      <c r="I4" s="329" t="s">
        <v>1498</v>
      </c>
    </row>
    <row r="5" spans="1:9" ht="13.2">
      <c r="A5" s="1626" t="s">
        <v>1129</v>
      </c>
      <c r="B5" s="1626"/>
      <c r="C5" s="1627"/>
      <c r="D5" s="1627"/>
      <c r="E5" s="1627"/>
      <c r="F5" s="1627"/>
      <c r="G5" s="1627"/>
      <c r="I5" s="2" t="s">
        <v>135</v>
      </c>
    </row>
    <row r="6" spans="1:9" ht="13.65" customHeight="1">
      <c r="A6" s="14"/>
      <c r="B6" s="14"/>
      <c r="C6" s="14"/>
      <c r="D6" s="282"/>
      <c r="E6" s="282"/>
      <c r="F6" s="282"/>
    </row>
    <row r="7" spans="1:9" ht="13.2">
      <c r="A7" s="1628" t="s">
        <v>1551</v>
      </c>
      <c r="B7" s="1628"/>
      <c r="C7" s="1629"/>
      <c r="D7" s="1629"/>
      <c r="E7" s="1629"/>
      <c r="F7" s="1629"/>
      <c r="G7" s="1629"/>
    </row>
    <row r="8" spans="1:9" ht="13.2">
      <c r="A8" s="1628" t="s">
        <v>1552</v>
      </c>
      <c r="B8" s="1628"/>
      <c r="C8" s="1629"/>
      <c r="D8" s="1629"/>
      <c r="E8" s="1629"/>
      <c r="F8" s="1629"/>
      <c r="G8" s="1629"/>
    </row>
    <row r="9" spans="1:9" ht="13.2">
      <c r="A9" s="301"/>
      <c r="B9" s="301"/>
      <c r="C9" s="298"/>
      <c r="D9" s="298"/>
      <c r="E9" s="298"/>
      <c r="F9" s="298"/>
      <c r="G9" s="406"/>
    </row>
    <row r="10" spans="1:9" ht="13.2">
      <c r="A10" s="1630" t="s">
        <v>1685</v>
      </c>
      <c r="B10" s="1630"/>
      <c r="C10" s="1630"/>
      <c r="D10" s="1630"/>
      <c r="E10" s="1630"/>
      <c r="F10" s="1630"/>
      <c r="G10" s="1630"/>
    </row>
    <row r="11" spans="1:9" ht="13.2">
      <c r="A11" s="414"/>
      <c r="B11" s="414"/>
      <c r="C11" s="14"/>
      <c r="D11" s="282"/>
      <c r="E11" s="282"/>
      <c r="F11" s="282"/>
    </row>
    <row r="12" spans="1:9" ht="13.65" customHeight="1">
      <c r="A12" s="140"/>
      <c r="B12" s="140"/>
      <c r="C12" s="298"/>
      <c r="D12" s="1631" t="s">
        <v>1684</v>
      </c>
      <c r="E12" s="1631"/>
      <c r="F12" s="1631"/>
      <c r="G12" s="925"/>
    </row>
    <row r="13" spans="1:9" ht="13.2">
      <c r="A13" s="140"/>
      <c r="B13" s="140"/>
      <c r="C13" s="298"/>
      <c r="D13" s="1631"/>
      <c r="E13" s="1631"/>
      <c r="F13" s="1631"/>
      <c r="G13" s="925"/>
    </row>
    <row r="14" spans="1:9" ht="13.2">
      <c r="A14" s="415"/>
      <c r="B14" s="415"/>
      <c r="C14" s="299"/>
      <c r="D14" s="1550" t="s">
        <v>1538</v>
      </c>
      <c r="E14" s="1550"/>
      <c r="F14" s="1550"/>
      <c r="G14" s="467"/>
    </row>
    <row r="15" spans="1:9" ht="13.2">
      <c r="A15" s="415"/>
      <c r="B15" s="415"/>
      <c r="C15" s="299"/>
      <c r="D15" s="282"/>
      <c r="E15" s="282"/>
      <c r="F15" s="282"/>
    </row>
    <row r="16" spans="1:9" ht="14.4" customHeight="1">
      <c r="A16" s="413"/>
      <c r="B16" s="924" t="s">
        <v>1498</v>
      </c>
      <c r="C16" s="299"/>
      <c r="D16" s="1554" t="s">
        <v>2296</v>
      </c>
      <c r="E16" s="1547"/>
      <c r="F16" s="1547"/>
      <c r="G16" s="550"/>
    </row>
    <row r="17" spans="1:7" ht="14.4" customHeight="1">
      <c r="A17" s="413"/>
      <c r="B17" s="14"/>
      <c r="C17" s="299"/>
      <c r="D17" s="1547"/>
      <c r="E17" s="1547"/>
      <c r="F17" s="1547"/>
      <c r="G17" s="550"/>
    </row>
    <row r="18" spans="1:7" ht="13.2">
      <c r="A18" s="415"/>
      <c r="B18" s="14"/>
      <c r="C18" s="299"/>
      <c r="D18" s="1547"/>
      <c r="E18" s="1547"/>
      <c r="F18" s="1547"/>
      <c r="G18" s="550"/>
    </row>
    <row r="19" spans="1:7" ht="13.2">
      <c r="A19" s="415"/>
      <c r="B19" s="14"/>
      <c r="C19" s="299"/>
      <c r="D19" s="1501"/>
      <c r="E19" s="1503" t="s">
        <v>2297</v>
      </c>
      <c r="F19" s="1501"/>
      <c r="G19" s="550"/>
    </row>
    <row r="20" spans="1:7" ht="13.2">
      <c r="A20" s="415"/>
      <c r="B20" s="415"/>
      <c r="C20" s="299"/>
      <c r="D20" s="282"/>
      <c r="E20" s="282"/>
      <c r="F20" s="282"/>
    </row>
    <row r="21" spans="1:7" ht="14.4">
      <c r="A21" s="413"/>
      <c r="B21" s="924" t="s">
        <v>1498</v>
      </c>
      <c r="C21" s="14"/>
      <c r="D21" s="1554" t="s">
        <v>2298</v>
      </c>
      <c r="E21" s="1547"/>
      <c r="F21" s="1547"/>
    </row>
    <row r="22" spans="1:7" ht="13.2">
      <c r="A22" s="14"/>
      <c r="B22" s="14"/>
      <c r="C22" s="14"/>
      <c r="D22" s="1547"/>
      <c r="E22" s="1547"/>
      <c r="F22" s="1547"/>
    </row>
    <row r="23" spans="1:7" ht="13.2">
      <c r="A23" s="14"/>
      <c r="B23" s="14"/>
      <c r="C23" s="14"/>
      <c r="D23" s="1502"/>
      <c r="E23" s="930" t="s">
        <v>2299</v>
      </c>
      <c r="F23" s="1502"/>
    </row>
    <row r="24" spans="1:7" ht="14.4">
      <c r="A24" s="413"/>
      <c r="B24" s="413"/>
      <c r="C24" s="14"/>
      <c r="D24" s="287"/>
      <c r="E24" s="282"/>
      <c r="F24" s="282"/>
    </row>
    <row r="25" spans="1:7" ht="14.4">
      <c r="A25" s="413"/>
      <c r="B25" s="924" t="s">
        <v>135</v>
      </c>
      <c r="C25" s="14"/>
      <c r="D25" s="1547" t="s">
        <v>1530</v>
      </c>
      <c r="E25" s="1547"/>
      <c r="F25" s="1547"/>
    </row>
    <row r="26" spans="1:7" ht="14.4">
      <c r="A26" s="413"/>
      <c r="B26" s="413"/>
      <c r="C26" s="14"/>
      <c r="D26" s="1547"/>
      <c r="E26" s="1547"/>
      <c r="F26" s="1547"/>
    </row>
    <row r="27" spans="1:7" ht="14.4">
      <c r="A27" s="413"/>
      <c r="B27" s="413"/>
      <c r="C27" s="14"/>
      <c r="D27" s="287"/>
      <c r="E27" s="282"/>
      <c r="F27" s="282"/>
    </row>
    <row r="28" spans="1:7" ht="14.25" customHeight="1">
      <c r="A28" s="552"/>
      <c r="B28" s="924" t="s">
        <v>1498</v>
      </c>
      <c r="D28" s="1586" t="s">
        <v>1532</v>
      </c>
      <c r="E28" s="1586"/>
      <c r="F28" s="1586"/>
    </row>
    <row r="29" spans="1:7" ht="14.4">
      <c r="A29" s="552"/>
      <c r="B29" s="552"/>
      <c r="D29" s="1586"/>
      <c r="E29" s="1586"/>
      <c r="F29" s="1586"/>
    </row>
    <row r="30" spans="1:7" ht="14.4">
      <c r="A30" s="552"/>
      <c r="B30" s="552"/>
      <c r="D30" s="1586"/>
      <c r="E30" s="1586"/>
      <c r="F30" s="1586"/>
    </row>
    <row r="31" spans="1:7" ht="14.4">
      <c r="A31" s="552"/>
      <c r="B31" s="552"/>
      <c r="D31" s="1586"/>
      <c r="E31" s="1586"/>
      <c r="F31" s="1586"/>
    </row>
    <row r="32" spans="1:7" ht="14.4">
      <c r="A32" s="552"/>
      <c r="B32" s="552"/>
      <c r="D32" s="1586"/>
      <c r="E32" s="1586"/>
      <c r="F32" s="1586"/>
    </row>
    <row r="33" spans="1:6" ht="14.4">
      <c r="A33" s="552"/>
      <c r="B33" s="552"/>
      <c r="D33" s="884"/>
      <c r="F33" s="929"/>
    </row>
    <row r="34" spans="1:6" ht="14.4" customHeight="1">
      <c r="A34" s="552"/>
      <c r="B34" s="924" t="s">
        <v>1498</v>
      </c>
      <c r="D34" s="1552" t="s">
        <v>1531</v>
      </c>
      <c r="E34" s="1552"/>
      <c r="F34" s="1552"/>
    </row>
    <row r="35" spans="1:6" ht="14.4">
      <c r="A35" s="552"/>
      <c r="B35" s="552"/>
      <c r="D35" s="1552"/>
      <c r="E35" s="1552"/>
      <c r="F35" s="1552"/>
    </row>
    <row r="36" spans="1:6" ht="14.4">
      <c r="A36" s="413"/>
      <c r="B36" s="413"/>
      <c r="C36" s="14"/>
      <c r="D36" s="928"/>
      <c r="E36" s="928"/>
      <c r="F36" s="928"/>
    </row>
    <row r="37" spans="1:6" ht="14.4">
      <c r="A37" s="413"/>
      <c r="B37" s="924" t="s">
        <v>1498</v>
      </c>
      <c r="C37" s="14"/>
      <c r="D37" s="1555" t="s">
        <v>1918</v>
      </c>
      <c r="E37" s="1552"/>
      <c r="F37" s="1552"/>
    </row>
    <row r="38" spans="1:6" ht="14.4">
      <c r="A38" s="413"/>
      <c r="B38" s="413"/>
      <c r="C38" s="14"/>
      <c r="D38" s="1552"/>
      <c r="E38" s="1552"/>
      <c r="F38" s="1552"/>
    </row>
    <row r="39" spans="1:6" ht="14.4">
      <c r="A39" s="413"/>
      <c r="B39" s="413"/>
      <c r="C39" s="14"/>
      <c r="D39" s="1552"/>
      <c r="E39" s="1552"/>
      <c r="F39" s="1552"/>
    </row>
    <row r="40" spans="1:6" ht="14.4">
      <c r="A40" s="413"/>
      <c r="B40" s="413"/>
      <c r="C40" s="14"/>
      <c r="D40" s="1552"/>
      <c r="E40" s="1552"/>
      <c r="F40" s="1552"/>
    </row>
    <row r="41" spans="1:6" ht="14.4">
      <c r="A41" s="413"/>
      <c r="B41" s="413"/>
      <c r="C41" s="14"/>
      <c r="D41" s="1552"/>
      <c r="E41" s="1552"/>
      <c r="F41" s="1552"/>
    </row>
    <row r="42" spans="1:6" ht="14.4">
      <c r="A42" s="413"/>
      <c r="B42" s="413"/>
      <c r="C42" s="14"/>
      <c r="D42" s="1552"/>
      <c r="E42" s="1552"/>
      <c r="F42" s="1552"/>
    </row>
    <row r="43" spans="1:6" ht="14.4">
      <c r="A43" s="413"/>
      <c r="B43" s="413"/>
      <c r="C43" s="14"/>
      <c r="D43" s="1552"/>
      <c r="E43" s="1552"/>
      <c r="F43" s="1552"/>
    </row>
    <row r="44" spans="1:6" ht="14.4">
      <c r="A44" s="413"/>
      <c r="B44" s="413"/>
      <c r="C44" s="14"/>
      <c r="D44" s="1552"/>
      <c r="E44" s="1552"/>
      <c r="F44" s="1552"/>
    </row>
    <row r="45" spans="1:6" ht="14.4">
      <c r="A45" s="413"/>
      <c r="B45" s="413"/>
      <c r="C45" s="14"/>
      <c r="D45" s="931"/>
      <c r="E45" s="931"/>
      <c r="F45" s="931"/>
    </row>
    <row r="46" spans="1:6" ht="14.4" customHeight="1">
      <c r="A46" s="413"/>
      <c r="B46" s="924" t="s">
        <v>135</v>
      </c>
      <c r="C46" s="14"/>
      <c r="D46" s="1552" t="s">
        <v>1569</v>
      </c>
      <c r="E46" s="1552"/>
      <c r="F46" s="1552"/>
    </row>
    <row r="47" spans="1:6" ht="14.4">
      <c r="A47" s="413"/>
      <c r="B47" s="413"/>
      <c r="C47" s="14"/>
      <c r="D47" s="1552"/>
      <c r="E47" s="1552"/>
      <c r="F47" s="1552"/>
    </row>
    <row r="48" spans="1:6" ht="14.4">
      <c r="A48" s="413"/>
      <c r="B48" s="413"/>
      <c r="C48" s="14"/>
      <c r="D48" s="1552"/>
      <c r="E48" s="1552"/>
      <c r="F48" s="1552"/>
    </row>
    <row r="49" spans="1:6" ht="14.4">
      <c r="A49" s="413"/>
      <c r="B49" s="413"/>
      <c r="C49" s="14"/>
      <c r="D49" s="1552"/>
      <c r="E49" s="1552"/>
      <c r="F49" s="1552"/>
    </row>
    <row r="50" spans="1:6" ht="14.4">
      <c r="A50" s="413"/>
      <c r="B50" s="413"/>
      <c r="C50" s="14"/>
      <c r="D50" s="1552"/>
      <c r="E50" s="1552"/>
      <c r="F50" s="1552"/>
    </row>
    <row r="51" spans="1:6" ht="14.4">
      <c r="A51" s="413"/>
      <c r="B51" s="413"/>
      <c r="C51" s="14"/>
      <c r="D51" s="403"/>
    </row>
    <row r="52" spans="1:6" ht="14.4">
      <c r="A52" s="413"/>
      <c r="B52" s="924" t="s">
        <v>1498</v>
      </c>
      <c r="C52" s="14"/>
      <c r="D52" s="1555" t="s">
        <v>2078</v>
      </c>
      <c r="E52" s="1552"/>
      <c r="F52" s="1552"/>
    </row>
    <row r="53" spans="1:6" ht="14.4">
      <c r="A53" s="413"/>
      <c r="B53" s="413"/>
      <c r="C53" s="14"/>
      <c r="D53" s="1552"/>
      <c r="E53" s="1552"/>
      <c r="F53" s="1552"/>
    </row>
    <row r="54" spans="1:6" ht="14.4">
      <c r="A54" s="413"/>
      <c r="B54" s="413"/>
      <c r="C54" s="14"/>
      <c r="D54" s="1552"/>
      <c r="E54" s="1552"/>
      <c r="F54" s="1552"/>
    </row>
    <row r="55" spans="1:6" ht="14.4">
      <c r="A55" s="413"/>
      <c r="B55" s="413"/>
      <c r="C55" s="14"/>
      <c r="D55" s="1552"/>
      <c r="E55" s="1552"/>
      <c r="F55" s="1552"/>
    </row>
    <row r="56" spans="1:6" ht="14.4">
      <c r="A56" s="413"/>
      <c r="B56" s="413"/>
      <c r="C56" s="14"/>
      <c r="D56" s="1552"/>
      <c r="E56" s="1552"/>
      <c r="F56" s="1552"/>
    </row>
    <row r="57" spans="1:6" ht="15" customHeight="1">
      <c r="A57" s="413"/>
      <c r="B57" s="413"/>
      <c r="C57" s="14"/>
      <c r="D57" s="1552"/>
      <c r="E57" s="1552"/>
      <c r="F57" s="1552"/>
    </row>
    <row r="58" spans="1:6" ht="14.4">
      <c r="A58" s="413"/>
      <c r="B58" s="413"/>
      <c r="C58" s="14"/>
      <c r="D58" s="2"/>
    </row>
    <row r="59" spans="1:6" ht="14.4">
      <c r="A59" s="413"/>
      <c r="B59" s="924" t="s">
        <v>135</v>
      </c>
      <c r="C59" s="14"/>
      <c r="D59" s="1555" t="s">
        <v>2129</v>
      </c>
      <c r="E59" s="1552"/>
      <c r="F59" s="1552"/>
    </row>
    <row r="60" spans="1:6" ht="14.4">
      <c r="A60" s="413"/>
      <c r="B60" s="413"/>
      <c r="C60" s="14"/>
      <c r="D60" s="1552"/>
      <c r="E60" s="1552"/>
      <c r="F60" s="1552"/>
    </row>
    <row r="61" spans="1:6" ht="14.4">
      <c r="A61" s="413"/>
      <c r="B61" s="413"/>
      <c r="C61" s="14"/>
      <c r="D61" s="1552"/>
      <c r="E61" s="1552"/>
      <c r="F61" s="1552"/>
    </row>
    <row r="62" spans="1:6" ht="14.4">
      <c r="A62" s="413"/>
      <c r="B62" s="413"/>
      <c r="C62" s="14"/>
      <c r="D62" s="1552"/>
      <c r="E62" s="1552"/>
      <c r="F62" s="1552"/>
    </row>
    <row r="63" spans="1:6" ht="17.25" customHeight="1">
      <c r="A63" s="413"/>
      <c r="B63" s="413"/>
      <c r="C63" s="14"/>
      <c r="D63" s="1552"/>
      <c r="E63" s="1552"/>
      <c r="F63" s="1552"/>
    </row>
    <row r="64" spans="1:6" ht="14.25" customHeight="1">
      <c r="A64" s="413"/>
      <c r="B64" s="924" t="s">
        <v>135</v>
      </c>
      <c r="C64" s="14"/>
      <c r="D64" s="1632" t="s">
        <v>1574</v>
      </c>
      <c r="E64" s="1632"/>
      <c r="F64" s="1632"/>
    </row>
    <row r="65" spans="1:6" ht="15" customHeight="1">
      <c r="A65" s="413"/>
      <c r="B65" s="413"/>
      <c r="C65" s="14"/>
      <c r="D65" s="1632"/>
      <c r="E65" s="1632"/>
      <c r="F65" s="1632"/>
    </row>
    <row r="66" spans="1:6" ht="21.6" customHeight="1">
      <c r="A66" s="413"/>
      <c r="B66" s="413"/>
      <c r="C66" s="14"/>
      <c r="D66" s="1632"/>
      <c r="E66" s="1632"/>
      <c r="F66" s="1632"/>
    </row>
    <row r="67" spans="1:6" ht="14.4">
      <c r="A67" s="413"/>
      <c r="B67" s="413"/>
      <c r="C67" s="14"/>
      <c r="D67" s="136"/>
    </row>
    <row r="68" spans="1:6" ht="14.25" customHeight="1">
      <c r="A68" s="552"/>
      <c r="B68" s="924" t="s">
        <v>1498</v>
      </c>
      <c r="D68" s="1555" t="s">
        <v>2300</v>
      </c>
      <c r="E68" s="1552"/>
      <c r="F68" s="1552"/>
    </row>
    <row r="69" spans="1:6" ht="13.2">
      <c r="D69" s="1552"/>
      <c r="E69" s="1552"/>
      <c r="F69" s="1552"/>
    </row>
    <row r="70" spans="1:6" ht="13.2">
      <c r="D70" s="1552"/>
      <c r="E70" s="1552"/>
      <c r="F70" s="1552"/>
    </row>
    <row r="71" spans="1:6" ht="14.4">
      <c r="A71" s="552"/>
      <c r="B71" s="552"/>
      <c r="D71" s="928"/>
      <c r="E71" s="1503" t="s">
        <v>2297</v>
      </c>
      <c r="F71" s="928"/>
    </row>
    <row r="72" spans="1:6" ht="14.4">
      <c r="A72" s="413"/>
      <c r="B72" s="413"/>
      <c r="C72" s="14"/>
      <c r="D72" s="136"/>
    </row>
    <row r="73" spans="1:6" ht="14.4">
      <c r="A73" s="413"/>
      <c r="B73" s="924" t="s">
        <v>135</v>
      </c>
      <c r="C73" s="14"/>
      <c r="D73" s="1552" t="s">
        <v>1683</v>
      </c>
      <c r="E73" s="1552"/>
      <c r="F73" s="1552"/>
    </row>
    <row r="74" spans="1:6" ht="13.2">
      <c r="A74" s="140"/>
      <c r="B74" s="140"/>
      <c r="C74" s="14"/>
      <c r="D74" s="1552"/>
      <c r="E74" s="1552"/>
      <c r="F74" s="1552"/>
    </row>
    <row r="75" spans="1:6" ht="13.2">
      <c r="A75" s="140"/>
      <c r="B75" s="140"/>
      <c r="C75" s="14"/>
      <c r="D75" s="1552"/>
      <c r="E75" s="1552"/>
      <c r="F75" s="1552"/>
    </row>
    <row r="76" spans="1:6" ht="13.2">
      <c r="A76" s="140"/>
      <c r="B76" s="140"/>
      <c r="C76" s="14"/>
      <c r="D76" s="282"/>
      <c r="E76" s="282"/>
      <c r="F76" s="282"/>
    </row>
    <row r="77" spans="1:6" ht="14.4">
      <c r="A77" s="413" t="s">
        <v>254</v>
      </c>
      <c r="B77" s="924" t="s">
        <v>135</v>
      </c>
      <c r="C77" s="14"/>
      <c r="D77" s="1552" t="s">
        <v>1575</v>
      </c>
      <c r="E77" s="1552"/>
      <c r="F77" s="1552"/>
    </row>
    <row r="78" spans="1:6" ht="13.2">
      <c r="A78" s="140"/>
      <c r="B78" s="140"/>
      <c r="C78" s="14"/>
      <c r="D78" s="1552"/>
      <c r="E78" s="1552"/>
      <c r="F78" s="1552"/>
    </row>
    <row r="79" spans="1:6" ht="13.2">
      <c r="A79" s="140"/>
      <c r="B79" s="140"/>
      <c r="C79" s="14"/>
      <c r="D79" s="282"/>
      <c r="E79" s="282"/>
      <c r="F79" s="282"/>
    </row>
    <row r="80" spans="1:6" ht="14.4">
      <c r="A80" s="413" t="s">
        <v>254</v>
      </c>
      <c r="B80" s="924" t="s">
        <v>1498</v>
      </c>
      <c r="C80" s="14"/>
      <c r="D80" s="1552" t="s">
        <v>1576</v>
      </c>
      <c r="E80" s="1552"/>
      <c r="F80" s="1552"/>
    </row>
    <row r="81" spans="1:7" ht="13.2">
      <c r="A81" s="140"/>
      <c r="B81" s="140"/>
      <c r="C81" s="14"/>
      <c r="D81" s="1552"/>
      <c r="E81" s="1552"/>
      <c r="F81" s="1552"/>
    </row>
    <row r="82" spans="1:7" ht="13.2">
      <c r="A82" s="140"/>
      <c r="B82" s="140"/>
      <c r="C82" s="14"/>
      <c r="D82" s="1552"/>
      <c r="E82" s="1552"/>
      <c r="F82" s="1552"/>
    </row>
    <row r="83" spans="1:7" ht="13.2">
      <c r="A83" s="140"/>
      <c r="B83" s="140"/>
      <c r="C83" s="14"/>
      <c r="D83" s="403"/>
      <c r="E83" s="282"/>
      <c r="F83" s="282"/>
    </row>
    <row r="84" spans="1:7" ht="14.4">
      <c r="A84" s="413" t="s">
        <v>254</v>
      </c>
      <c r="B84" s="924" t="s">
        <v>1498</v>
      </c>
      <c r="C84" s="14"/>
      <c r="D84" s="1547" t="s">
        <v>1577</v>
      </c>
      <c r="E84" s="1547"/>
      <c r="F84" s="1547"/>
    </row>
    <row r="85" spans="1:7" ht="13.2">
      <c r="A85" s="140"/>
      <c r="B85" s="140"/>
      <c r="C85" s="14"/>
      <c r="D85" s="1547"/>
      <c r="E85" s="1547"/>
      <c r="F85" s="1547"/>
    </row>
    <row r="86" spans="1:7" ht="13.2">
      <c r="A86" s="140"/>
      <c r="B86" s="140"/>
      <c r="C86" s="14"/>
      <c r="D86" s="282"/>
      <c r="E86" s="282"/>
      <c r="F86" s="282"/>
    </row>
    <row r="87" spans="1:7" ht="13.2">
      <c r="A87" s="1603" t="s">
        <v>1502</v>
      </c>
      <c r="B87" s="1603"/>
      <c r="C87" s="1603"/>
      <c r="D87" s="1603"/>
      <c r="E87" s="1603"/>
      <c r="F87" s="1603"/>
      <c r="G87" s="1603"/>
    </row>
    <row r="88" spans="1:7" ht="13.2">
      <c r="A88" s="140"/>
      <c r="B88" s="140"/>
      <c r="C88" s="14"/>
      <c r="D88" s="282"/>
      <c r="E88" s="2"/>
      <c r="F88" s="2"/>
      <c r="G88" s="2"/>
    </row>
    <row r="89" spans="1:7" ht="13.65" customHeight="1">
      <c r="A89" s="140"/>
      <c r="B89" s="140"/>
      <c r="C89" s="900"/>
      <c r="D89" s="1575" t="s">
        <v>1503</v>
      </c>
      <c r="E89" s="1575"/>
      <c r="F89" s="1575"/>
      <c r="G89" s="2"/>
    </row>
    <row r="90" spans="1:7" ht="13.65" customHeight="1">
      <c r="A90" s="143"/>
      <c r="B90" s="143"/>
      <c r="C90" s="14"/>
      <c r="D90" s="1547" t="s">
        <v>1686</v>
      </c>
      <c r="E90" s="1547"/>
      <c r="F90" s="1547"/>
      <c r="G90" s="2"/>
    </row>
    <row r="91" spans="1:7" ht="13.2">
      <c r="A91" s="143"/>
      <c r="B91" s="143"/>
      <c r="C91" s="14"/>
      <c r="D91" s="282"/>
      <c r="E91" s="2"/>
      <c r="F91" s="2"/>
      <c r="G91" s="2"/>
    </row>
    <row r="92" spans="1:7" ht="14.25" customHeight="1">
      <c r="A92" s="413"/>
      <c r="B92" s="924" t="s">
        <v>1498</v>
      </c>
      <c r="C92" s="14"/>
      <c r="D92" s="1554" t="s">
        <v>2048</v>
      </c>
      <c r="E92" s="1554"/>
      <c r="F92" s="1554"/>
      <c r="G92" s="2"/>
    </row>
    <row r="93" spans="1:7" ht="14.4" customHeight="1">
      <c r="A93" s="413"/>
      <c r="B93" s="14"/>
      <c r="C93" s="14"/>
      <c r="D93" s="1554"/>
      <c r="E93" s="1554"/>
      <c r="F93" s="1554"/>
      <c r="G93" s="2"/>
    </row>
    <row r="94" spans="1:7" ht="14.4">
      <c r="A94" s="413"/>
      <c r="B94" s="413"/>
      <c r="C94" s="14"/>
      <c r="D94" s="1554"/>
      <c r="E94" s="1554"/>
      <c r="F94" s="1554"/>
      <c r="G94" s="2"/>
    </row>
    <row r="95" spans="1:7" ht="14.4">
      <c r="A95" s="413"/>
      <c r="B95" s="413"/>
      <c r="C95" s="14"/>
      <c r="D95" s="1554"/>
      <c r="E95" s="1554"/>
      <c r="F95" s="1554"/>
      <c r="G95" s="2"/>
    </row>
    <row r="96" spans="1:7" ht="14.4">
      <c r="A96" s="413"/>
      <c r="B96" s="413"/>
      <c r="C96" s="14"/>
      <c r="D96" s="1554"/>
      <c r="E96" s="1554"/>
      <c r="F96" s="1554"/>
      <c r="G96" s="2"/>
    </row>
    <row r="97" spans="1:7" ht="14.4">
      <c r="A97" s="413"/>
      <c r="B97" s="413"/>
      <c r="C97" s="14"/>
      <c r="D97" s="1554"/>
      <c r="E97" s="1554"/>
      <c r="F97" s="1554"/>
      <c r="G97" s="2"/>
    </row>
    <row r="98" spans="1:7" ht="14.4">
      <c r="A98" s="413"/>
      <c r="B98" s="413"/>
      <c r="C98" s="14"/>
      <c r="D98" s="1554"/>
      <c r="E98" s="1554"/>
      <c r="F98" s="1554"/>
      <c r="G98" s="2"/>
    </row>
    <row r="99" spans="1:7" ht="14.4">
      <c r="A99" s="413"/>
      <c r="B99" s="413"/>
      <c r="C99" s="14"/>
      <c r="D99" s="1554"/>
      <c r="E99" s="1554"/>
      <c r="F99" s="1554"/>
      <c r="G99" s="2"/>
    </row>
    <row r="100" spans="1:7" ht="14.4">
      <c r="A100" s="413"/>
      <c r="B100" s="413"/>
      <c r="C100" s="14"/>
      <c r="D100" s="1554"/>
      <c r="E100" s="1554"/>
      <c r="F100" s="1554"/>
      <c r="G100" s="2"/>
    </row>
    <row r="101" spans="1:7" ht="14.4" customHeight="1">
      <c r="A101" s="413"/>
      <c r="B101" s="957" t="s">
        <v>1498</v>
      </c>
      <c r="C101" s="14"/>
      <c r="D101" s="1593" t="s">
        <v>2049</v>
      </c>
      <c r="E101" s="1593"/>
      <c r="F101" s="1593"/>
      <c r="G101" s="2"/>
    </row>
    <row r="102" spans="1:7" ht="14.4">
      <c r="A102" s="413"/>
      <c r="B102" s="413"/>
      <c r="C102" s="14"/>
      <c r="D102" s="1593"/>
      <c r="E102" s="1593"/>
      <c r="F102" s="1593"/>
      <c r="G102" s="2"/>
    </row>
    <row r="103" spans="1:7" ht="14.4">
      <c r="A103" s="413"/>
      <c r="B103" s="413"/>
      <c r="C103" s="14"/>
      <c r="D103" s="1593"/>
      <c r="E103" s="1593"/>
      <c r="F103" s="1593"/>
      <c r="G103" s="2"/>
    </row>
    <row r="104" spans="1:7" ht="14.4">
      <c r="A104" s="413"/>
      <c r="B104" s="413"/>
      <c r="C104" s="14"/>
      <c r="D104" s="1593"/>
      <c r="E104" s="1593"/>
      <c r="F104" s="1593"/>
      <c r="G104" s="2"/>
    </row>
    <row r="105" spans="1:7" ht="14.4">
      <c r="A105" s="413"/>
      <c r="B105" s="413"/>
      <c r="C105" s="14"/>
      <c r="D105" s="1593"/>
      <c r="E105" s="1593"/>
      <c r="F105" s="1593"/>
      <c r="G105" s="2"/>
    </row>
    <row r="106" spans="1:7" ht="14.4">
      <c r="A106" s="413"/>
      <c r="B106" s="413"/>
      <c r="C106" s="14"/>
      <c r="D106" s="1593"/>
      <c r="E106" s="1593"/>
      <c r="F106" s="1593"/>
      <c r="G106" s="2"/>
    </row>
    <row r="107" spans="1:7" ht="14.4">
      <c r="A107" s="413"/>
      <c r="B107" s="413"/>
      <c r="C107" s="14"/>
      <c r="D107" s="1593"/>
      <c r="E107" s="1593"/>
      <c r="F107" s="1593"/>
      <c r="G107" s="2"/>
    </row>
    <row r="108" spans="1:7" ht="14.4">
      <c r="A108" s="413"/>
      <c r="B108" s="413"/>
      <c r="C108" s="14"/>
      <c r="D108" s="1593"/>
      <c r="E108" s="1593"/>
      <c r="F108" s="1593"/>
      <c r="G108" s="2"/>
    </row>
    <row r="109" spans="1:7" ht="14.4">
      <c r="A109" s="413"/>
      <c r="B109" s="413"/>
      <c r="C109" s="14"/>
      <c r="D109" s="1593"/>
      <c r="E109" s="1593"/>
      <c r="F109" s="1593"/>
      <c r="G109" s="2"/>
    </row>
    <row r="110" spans="1:7" ht="14.4">
      <c r="A110" s="413"/>
      <c r="B110" s="413"/>
      <c r="C110" s="14"/>
      <c r="D110" s="1593"/>
      <c r="E110" s="1593"/>
      <c r="F110" s="1593"/>
      <c r="G110" s="2"/>
    </row>
    <row r="111" spans="1:7" ht="14.4">
      <c r="A111" s="413"/>
      <c r="B111" s="413"/>
      <c r="C111" s="14"/>
      <c r="D111" s="1593"/>
      <c r="E111" s="1593"/>
      <c r="F111" s="1593"/>
      <c r="G111" s="2"/>
    </row>
    <row r="112" spans="1:7" ht="14.4">
      <c r="A112" s="413"/>
      <c r="B112" s="413"/>
      <c r="C112" s="14"/>
      <c r="D112" s="1593"/>
      <c r="E112" s="1593"/>
      <c r="F112" s="1593"/>
      <c r="G112" s="2"/>
    </row>
    <row r="113" spans="1:7" ht="14.4">
      <c r="A113" s="413"/>
      <c r="B113" s="413"/>
      <c r="C113" s="14"/>
      <c r="D113" s="1593"/>
      <c r="E113" s="1593"/>
      <c r="F113" s="1593"/>
      <c r="G113" s="2"/>
    </row>
    <row r="114" spans="1:7" ht="14.4">
      <c r="A114" s="413"/>
      <c r="B114" s="957" t="s">
        <v>1498</v>
      </c>
      <c r="C114" s="14"/>
      <c r="D114" s="1547" t="s">
        <v>1687</v>
      </c>
      <c r="E114" s="1547"/>
      <c r="F114" s="1547"/>
      <c r="G114" s="2"/>
    </row>
    <row r="115" spans="1:7" ht="14.4">
      <c r="A115" s="413"/>
      <c r="B115" s="413"/>
      <c r="C115" s="14"/>
      <c r="D115" s="1547"/>
      <c r="E115" s="1547"/>
      <c r="F115" s="1547"/>
      <c r="G115" s="2"/>
    </row>
    <row r="116" spans="1:7" ht="14.4">
      <c r="A116" s="413"/>
      <c r="B116" s="413"/>
      <c r="C116" s="14"/>
      <c r="D116" s="1547"/>
      <c r="E116" s="1547"/>
      <c r="F116" s="1547"/>
      <c r="G116" s="2"/>
    </row>
    <row r="117" spans="1:7" ht="14.4">
      <c r="A117" s="413"/>
      <c r="B117" s="413"/>
      <c r="C117" s="14"/>
      <c r="D117" s="1547"/>
      <c r="E117" s="1547"/>
      <c r="F117" s="1547"/>
      <c r="G117" s="2"/>
    </row>
    <row r="118" spans="1:7" ht="14.4">
      <c r="A118" s="413"/>
      <c r="B118" s="413"/>
      <c r="C118" s="14"/>
      <c r="D118" s="1547"/>
      <c r="E118" s="1547"/>
      <c r="F118" s="1547"/>
      <c r="G118" s="2"/>
    </row>
    <row r="119" spans="1:7" ht="14.4">
      <c r="A119" s="413"/>
      <c r="B119" s="413"/>
      <c r="C119" s="14"/>
      <c r="D119" s="1547"/>
      <c r="E119" s="1547"/>
      <c r="F119" s="1547"/>
      <c r="G119" s="2"/>
    </row>
    <row r="120" spans="1:7" ht="14.4">
      <c r="A120" s="413"/>
      <c r="B120" s="413"/>
      <c r="C120" s="14"/>
      <c r="D120" s="1547"/>
      <c r="E120" s="1547"/>
      <c r="F120" s="1547"/>
      <c r="G120" s="2"/>
    </row>
    <row r="121" spans="1:7" ht="14.4">
      <c r="A121" s="413"/>
      <c r="B121" s="413"/>
      <c r="C121" s="14"/>
      <c r="D121" s="1547"/>
      <c r="E121" s="1547"/>
      <c r="F121" s="1547"/>
      <c r="G121" s="2"/>
    </row>
    <row r="122" spans="1:7" ht="12.75" customHeight="1">
      <c r="A122" s="413"/>
      <c r="B122" s="924" t="s">
        <v>1498</v>
      </c>
      <c r="C122" s="14"/>
      <c r="D122" s="1547" t="s">
        <v>1688</v>
      </c>
      <c r="E122" s="1547"/>
      <c r="F122" s="1547"/>
    </row>
    <row r="123" spans="1:7" ht="13.2">
      <c r="A123" s="140"/>
      <c r="B123" s="140"/>
      <c r="C123" s="14"/>
      <c r="D123" s="1547"/>
      <c r="E123" s="1547"/>
      <c r="F123" s="1547"/>
    </row>
    <row r="124" spans="1:7" ht="13.2">
      <c r="A124" s="140"/>
      <c r="B124" s="140"/>
      <c r="C124" s="14"/>
      <c r="D124" s="1547"/>
      <c r="E124" s="1547"/>
      <c r="F124" s="1547"/>
    </row>
    <row r="125" spans="1:7" ht="13.2">
      <c r="A125" s="140"/>
      <c r="B125" s="140"/>
      <c r="C125" s="14"/>
      <c r="D125" s="1547"/>
      <c r="E125" s="1547"/>
      <c r="F125" s="1547"/>
    </row>
    <row r="126" spans="1:7" ht="26.85" customHeight="1">
      <c r="A126" s="140"/>
      <c r="B126" s="140"/>
      <c r="C126" s="14"/>
      <c r="D126" s="1547"/>
      <c r="E126" s="1547"/>
      <c r="F126" s="1547"/>
    </row>
    <row r="127" spans="1:7" ht="13.2">
      <c r="A127" s="140"/>
      <c r="B127" s="140"/>
      <c r="C127" s="14"/>
      <c r="D127" s="282"/>
      <c r="E127" s="282"/>
      <c r="F127" s="282"/>
    </row>
    <row r="128" spans="1:7" ht="14.4">
      <c r="A128" s="413"/>
      <c r="B128" s="924" t="s">
        <v>1498</v>
      </c>
      <c r="C128" s="14"/>
      <c r="D128" s="1552" t="s">
        <v>1689</v>
      </c>
      <c r="E128" s="1552"/>
      <c r="F128" s="1552"/>
    </row>
    <row r="129" spans="1:7" s="497" customFormat="1" ht="13.95" customHeight="1">
      <c r="A129" s="487"/>
      <c r="B129" s="487"/>
      <c r="C129" s="488"/>
      <c r="D129" s="1552"/>
      <c r="E129" s="1552"/>
      <c r="F129" s="1552"/>
      <c r="G129" s="558"/>
    </row>
    <row r="130" spans="1:7" ht="13.95" customHeight="1">
      <c r="A130" s="140"/>
      <c r="B130" s="140"/>
      <c r="C130" s="14"/>
      <c r="D130" s="1552"/>
      <c r="E130" s="1552"/>
      <c r="F130" s="1552"/>
    </row>
    <row r="131" spans="1:7" ht="13.95" customHeight="1">
      <c r="A131" s="140"/>
      <c r="B131" s="140"/>
      <c r="C131" s="14"/>
      <c r="D131" s="1552"/>
      <c r="E131" s="1552"/>
      <c r="F131" s="1552"/>
    </row>
    <row r="132" spans="1:7" ht="13.95" customHeight="1">
      <c r="A132" s="140"/>
      <c r="B132" s="140"/>
      <c r="C132" s="14"/>
      <c r="D132" s="1552"/>
      <c r="E132" s="1552"/>
      <c r="F132" s="1552"/>
    </row>
    <row r="133" spans="1:7" ht="13.95" customHeight="1">
      <c r="A133" s="140"/>
      <c r="B133" s="140"/>
      <c r="C133" s="14"/>
      <c r="D133" s="1552"/>
      <c r="E133" s="1552"/>
      <c r="F133" s="1552"/>
    </row>
    <row r="134" spans="1:7" ht="13.95" customHeight="1">
      <c r="A134" s="958"/>
      <c r="B134" s="958"/>
      <c r="C134" s="14"/>
      <c r="D134" s="1552"/>
      <c r="E134" s="1552"/>
      <c r="F134" s="1552"/>
      <c r="G134" s="2"/>
    </row>
    <row r="135" spans="1:7" ht="13.95" customHeight="1">
      <c r="A135" s="958"/>
      <c r="B135" s="958"/>
      <c r="C135" s="14"/>
      <c r="D135" s="1552"/>
      <c r="E135" s="1552"/>
      <c r="F135" s="1552"/>
      <c r="G135" s="2"/>
    </row>
    <row r="136" spans="1:7" ht="13.95" customHeight="1">
      <c r="A136" s="958"/>
      <c r="B136" s="958"/>
      <c r="C136" s="14"/>
      <c r="D136" s="1552"/>
      <c r="E136" s="1552"/>
      <c r="F136" s="1552"/>
      <c r="G136" s="2"/>
    </row>
    <row r="137" spans="1:7" ht="13.95" customHeight="1">
      <c r="A137" s="958"/>
      <c r="B137" s="958"/>
      <c r="C137" s="14"/>
      <c r="D137" s="1552"/>
      <c r="E137" s="1552"/>
      <c r="F137" s="1552"/>
      <c r="G137" s="2"/>
    </row>
    <row r="138" spans="1:7" ht="17.25" customHeight="1">
      <c r="A138" s="958"/>
      <c r="B138" s="958"/>
      <c r="C138" s="14"/>
      <c r="D138" s="1552"/>
      <c r="E138" s="1552"/>
      <c r="F138" s="1552"/>
      <c r="G138" s="2"/>
    </row>
    <row r="139" spans="1:7" ht="25.5" hidden="1" customHeight="1">
      <c r="A139" s="958"/>
      <c r="B139" s="958"/>
      <c r="C139" s="14"/>
      <c r="D139" s="1552"/>
      <c r="E139" s="1552"/>
      <c r="F139" s="1552"/>
      <c r="G139" s="2"/>
    </row>
    <row r="140" spans="1:7" ht="13.95" customHeight="1">
      <c r="A140" s="958"/>
      <c r="B140" s="958"/>
      <c r="C140" s="14"/>
      <c r="D140" s="282"/>
      <c r="E140" s="282"/>
      <c r="F140" s="282"/>
      <c r="G140" s="2"/>
    </row>
    <row r="141" spans="1:7" ht="13.95" customHeight="1">
      <c r="A141" s="140"/>
      <c r="B141" s="924" t="s">
        <v>1498</v>
      </c>
      <c r="C141" s="14"/>
      <c r="D141" s="1554" t="s">
        <v>1894</v>
      </c>
      <c r="E141" s="1547"/>
      <c r="F141" s="1547"/>
      <c r="G141" s="2"/>
    </row>
    <row r="142" spans="1:7" ht="13.95" customHeight="1">
      <c r="A142" s="140"/>
      <c r="B142" s="140"/>
      <c r="C142" s="14"/>
      <c r="D142" s="1547"/>
      <c r="E142" s="1547"/>
      <c r="F142" s="1547"/>
      <c r="G142" s="2"/>
    </row>
    <row r="143" spans="1:7" ht="13.95" customHeight="1">
      <c r="A143" s="140"/>
      <c r="B143" s="140"/>
      <c r="C143" s="14"/>
      <c r="D143" s="1547"/>
      <c r="E143" s="1547"/>
      <c r="F143" s="1547"/>
      <c r="G143" s="2"/>
    </row>
    <row r="144" spans="1:7" ht="13.95" customHeight="1">
      <c r="A144" s="150"/>
      <c r="B144" s="150"/>
      <c r="D144" s="1547"/>
      <c r="E144" s="1547"/>
      <c r="F144" s="1547"/>
      <c r="G144" s="2"/>
    </row>
    <row r="145" spans="1:7" ht="13.95" customHeight="1">
      <c r="A145" s="140"/>
      <c r="B145" s="140"/>
      <c r="C145" s="14"/>
      <c r="D145" s="1547"/>
      <c r="E145" s="1547"/>
      <c r="F145" s="1547"/>
      <c r="G145" s="2"/>
    </row>
    <row r="146" spans="1:7" ht="13.95" customHeight="1">
      <c r="A146" s="33"/>
      <c r="B146" s="33"/>
      <c r="C146" s="14"/>
      <c r="D146" s="1547"/>
      <c r="E146" s="1547"/>
      <c r="F146" s="1547"/>
      <c r="G146" s="2"/>
    </row>
    <row r="147" spans="1:7" ht="13.95" customHeight="1">
      <c r="A147" s="33"/>
      <c r="B147" s="33"/>
      <c r="C147" s="14"/>
      <c r="D147" s="1547"/>
      <c r="E147" s="1547"/>
      <c r="F147" s="1547"/>
      <c r="G147" s="2"/>
    </row>
    <row r="148" spans="1:7" ht="13.95" customHeight="1">
      <c r="A148" s="959"/>
      <c r="B148" s="959"/>
      <c r="C148" s="14"/>
      <c r="D148" s="1547"/>
      <c r="E148" s="1547"/>
      <c r="F148" s="1547"/>
      <c r="G148" s="2"/>
    </row>
    <row r="149" spans="1:7" ht="13.95" customHeight="1">
      <c r="A149" s="959"/>
      <c r="B149" s="959"/>
      <c r="C149" s="14"/>
      <c r="D149" s="1547"/>
      <c r="E149" s="1547"/>
      <c r="F149" s="1547"/>
      <c r="G149" s="2"/>
    </row>
    <row r="150" spans="1:7" ht="13.95" customHeight="1">
      <c r="A150" s="959"/>
      <c r="B150" s="959"/>
      <c r="C150" s="14"/>
      <c r="D150" s="1547"/>
      <c r="E150" s="1547"/>
      <c r="F150" s="1547"/>
      <c r="G150" s="2"/>
    </row>
    <row r="151" spans="1:7" ht="13.95" customHeight="1">
      <c r="A151" s="1063"/>
      <c r="B151" s="1063"/>
      <c r="C151" s="14"/>
      <c r="D151" s="1547"/>
      <c r="E151" s="1547"/>
      <c r="F151" s="1547"/>
      <c r="G151" s="2"/>
    </row>
    <row r="152" spans="1:7" ht="13.95" customHeight="1">
      <c r="A152" s="1063"/>
      <c r="B152" s="1063"/>
      <c r="C152" s="14"/>
      <c r="D152" s="1547"/>
      <c r="E152" s="1547"/>
      <c r="F152" s="1547"/>
      <c r="G152" s="2"/>
    </row>
    <row r="153" spans="1:7" ht="13.95" customHeight="1">
      <c r="A153" s="959"/>
      <c r="B153" s="959"/>
      <c r="C153" s="14"/>
      <c r="D153" s="1547"/>
      <c r="E153" s="1547"/>
      <c r="F153" s="1547"/>
      <c r="G153" s="2"/>
    </row>
    <row r="154" spans="1:7" ht="13.95" customHeight="1">
      <c r="A154" s="959"/>
      <c r="B154" s="959"/>
      <c r="C154" s="14"/>
      <c r="D154" s="1547"/>
      <c r="E154" s="1547"/>
      <c r="F154" s="1547"/>
      <c r="G154" s="2"/>
    </row>
    <row r="155" spans="1:7" ht="13.95" customHeight="1">
      <c r="A155" s="959"/>
      <c r="B155" s="959"/>
      <c r="C155" s="14"/>
      <c r="D155" s="1547"/>
      <c r="E155" s="1547"/>
      <c r="F155" s="1547"/>
      <c r="G155" s="2"/>
    </row>
    <row r="156" spans="1:7" ht="13.95" customHeight="1">
      <c r="A156" s="959"/>
      <c r="B156" s="959"/>
      <c r="C156" s="14"/>
      <c r="D156" s="1547"/>
      <c r="E156" s="1547"/>
      <c r="F156" s="1547"/>
      <c r="G156" s="2"/>
    </row>
    <row r="157" spans="1:7" ht="13.95" customHeight="1">
      <c r="A157" s="959"/>
      <c r="B157" s="959"/>
      <c r="C157" s="14"/>
      <c r="D157" s="1547"/>
      <c r="E157" s="1547"/>
      <c r="F157" s="1547"/>
      <c r="G157" s="2"/>
    </row>
    <row r="158" spans="1:7" ht="13.95" customHeight="1">
      <c r="A158" s="959"/>
      <c r="B158" s="959"/>
      <c r="C158" s="14"/>
      <c r="D158" s="1547"/>
      <c r="E158" s="1547"/>
      <c r="F158" s="1547"/>
      <c r="G158" s="2"/>
    </row>
    <row r="159" spans="1:7" ht="13.95" customHeight="1">
      <c r="A159" s="1069"/>
      <c r="B159" s="1069"/>
      <c r="C159" s="14"/>
      <c r="D159" s="1597" t="s">
        <v>1895</v>
      </c>
      <c r="E159" s="1597"/>
      <c r="F159" s="1597"/>
      <c r="G159" s="2"/>
    </row>
    <row r="160" spans="1:7" ht="13.95" customHeight="1">
      <c r="A160" s="959"/>
      <c r="B160" s="959"/>
      <c r="C160" s="14"/>
      <c r="D160" s="955"/>
      <c r="E160" s="282"/>
      <c r="F160" s="282"/>
      <c r="G160" s="2"/>
    </row>
    <row r="161" spans="1:7" ht="13.95" customHeight="1">
      <c r="A161" s="413"/>
      <c r="B161" s="924" t="s">
        <v>135</v>
      </c>
      <c r="C161" s="14"/>
      <c r="D161" s="1594" t="s">
        <v>1925</v>
      </c>
      <c r="E161" s="1595"/>
      <c r="F161" s="1595"/>
      <c r="G161" s="2"/>
    </row>
    <row r="162" spans="1:7" ht="13.95" customHeight="1">
      <c r="A162" s="413"/>
      <c r="B162" s="1080"/>
      <c r="C162" s="14"/>
      <c r="D162" s="1595"/>
      <c r="E162" s="1595"/>
      <c r="F162" s="1595"/>
      <c r="G162" s="2"/>
    </row>
    <row r="163" spans="1:7" ht="13.95" customHeight="1">
      <c r="A163" s="33"/>
      <c r="B163" s="33"/>
      <c r="C163" s="14"/>
      <c r="D163" s="1595"/>
      <c r="E163" s="1595"/>
      <c r="F163" s="1595"/>
      <c r="G163" s="2"/>
    </row>
    <row r="164" spans="1:7" ht="13.95" customHeight="1">
      <c r="A164" s="33"/>
      <c r="B164" s="33"/>
      <c r="C164" s="14"/>
      <c r="D164" s="287"/>
      <c r="E164" s="282"/>
      <c r="F164" s="282"/>
      <c r="G164" s="2"/>
    </row>
    <row r="165" spans="1:7" ht="13.95" customHeight="1">
      <c r="A165" s="413"/>
      <c r="B165" s="924" t="s">
        <v>1498</v>
      </c>
      <c r="C165" s="14"/>
      <c r="D165" s="1596" t="s">
        <v>1690</v>
      </c>
      <c r="E165" s="1596"/>
      <c r="F165" s="1596"/>
      <c r="G165" s="2"/>
    </row>
    <row r="166" spans="1:7" ht="13.95" customHeight="1">
      <c r="A166" s="33"/>
      <c r="B166" s="33"/>
      <c r="C166" s="14"/>
      <c r="D166" s="1596"/>
      <c r="E166" s="1596"/>
      <c r="F166" s="1596"/>
    </row>
    <row r="167" spans="1:7" ht="13.95" customHeight="1">
      <c r="A167" s="33"/>
      <c r="B167" s="33"/>
      <c r="C167" s="14"/>
      <c r="D167" s="1596"/>
      <c r="E167" s="1596"/>
      <c r="F167" s="1596"/>
    </row>
    <row r="168" spans="1:7" ht="13.95" customHeight="1">
      <c r="A168" s="33"/>
      <c r="B168" s="33"/>
      <c r="C168" s="14"/>
      <c r="D168" s="1596"/>
      <c r="E168" s="1596"/>
      <c r="F168" s="1596"/>
    </row>
    <row r="169" spans="1:7" ht="13.95" customHeight="1">
      <c r="A169" s="33"/>
      <c r="B169" s="33"/>
      <c r="C169" s="14"/>
      <c r="D169" s="287"/>
      <c r="E169" s="282"/>
      <c r="F169" s="282"/>
    </row>
    <row r="170" spans="1:7" ht="13.95" customHeight="1">
      <c r="A170" s="574"/>
      <c r="B170" s="924" t="s">
        <v>135</v>
      </c>
      <c r="C170" s="573"/>
      <c r="D170" s="1599" t="s">
        <v>1691</v>
      </c>
      <c r="E170" s="1599"/>
      <c r="F170" s="1599"/>
      <c r="G170" s="692"/>
    </row>
    <row r="171" spans="1:7" ht="13.95" customHeight="1">
      <c r="A171" s="574"/>
      <c r="B171" s="574"/>
      <c r="C171" s="573"/>
      <c r="D171" s="1599"/>
      <c r="E171" s="1599"/>
      <c r="F171" s="1599"/>
      <c r="G171" s="692"/>
    </row>
    <row r="172" spans="1:7" ht="13.95" customHeight="1">
      <c r="A172" s="574"/>
      <c r="B172" s="574"/>
      <c r="C172" s="573"/>
      <c r="D172" s="1599"/>
      <c r="E172" s="1599"/>
      <c r="F172" s="1599"/>
      <c r="G172" s="692"/>
    </row>
    <row r="173" spans="1:7" ht="13.2">
      <c r="A173" s="574"/>
      <c r="B173" s="574"/>
      <c r="C173" s="573"/>
      <c r="D173" s="576"/>
      <c r="E173" s="564"/>
      <c r="F173" s="564"/>
      <c r="G173" s="692"/>
    </row>
    <row r="174" spans="1:7" ht="13.2">
      <c r="A174" s="1603" t="s">
        <v>1505</v>
      </c>
      <c r="B174" s="1603"/>
      <c r="C174" s="1603"/>
      <c r="D174" s="1603"/>
      <c r="E174" s="1603"/>
      <c r="F174" s="1603"/>
      <c r="G174" s="1603"/>
    </row>
    <row r="175" spans="1:7" ht="13.2">
      <c r="A175" s="140"/>
      <c r="B175" s="140"/>
      <c r="C175" s="14"/>
      <c r="D175" s="287"/>
      <c r="E175" s="282"/>
      <c r="F175" s="282"/>
    </row>
    <row r="176" spans="1:7" ht="13.2">
      <c r="A176" s="140"/>
      <c r="B176" s="140"/>
      <c r="C176" s="900"/>
      <c r="D176" s="1598" t="s">
        <v>1504</v>
      </c>
      <c r="E176" s="1598"/>
      <c r="F176" s="1598"/>
    </row>
    <row r="177" spans="1:7" ht="13.2">
      <c r="A177" s="414"/>
      <c r="B177" s="414"/>
      <c r="C177" s="298"/>
      <c r="D177" s="1600" t="s">
        <v>1539</v>
      </c>
      <c r="E177" s="1600"/>
      <c r="F177" s="1600"/>
    </row>
    <row r="178" spans="1:7" ht="13.2">
      <c r="A178" s="415"/>
      <c r="B178" s="415"/>
      <c r="C178" s="299"/>
      <c r="D178" s="282"/>
      <c r="E178" s="282"/>
      <c r="F178" s="282"/>
    </row>
    <row r="179" spans="1:7" ht="14.4">
      <c r="A179" s="413"/>
      <c r="B179" s="924" t="s">
        <v>135</v>
      </c>
      <c r="C179" s="302"/>
      <c r="D179" s="1601" t="s">
        <v>1897</v>
      </c>
      <c r="E179" s="1602"/>
      <c r="F179" s="1602"/>
      <c r="G179" s="288"/>
    </row>
    <row r="180" spans="1:7" ht="14.4">
      <c r="A180" s="413"/>
      <c r="B180" s="417"/>
      <c r="C180" s="302"/>
      <c r="D180" s="1243"/>
      <c r="E180" s="1242"/>
      <c r="F180" s="1242"/>
      <c r="G180" s="288"/>
    </row>
    <row r="181" spans="1:7" ht="14.4">
      <c r="A181" s="413"/>
      <c r="B181" s="924" t="s">
        <v>135</v>
      </c>
      <c r="C181" s="302"/>
      <c r="D181" s="1602" t="s">
        <v>1692</v>
      </c>
      <c r="E181" s="1602"/>
      <c r="F181" s="1602"/>
      <c r="G181" s="288"/>
    </row>
    <row r="182" spans="1:7" ht="14.4">
      <c r="A182" s="413"/>
      <c r="B182" s="417"/>
      <c r="C182" s="302"/>
      <c r="D182" s="1242"/>
      <c r="E182" s="1242"/>
      <c r="F182" s="1242"/>
      <c r="G182" s="288"/>
    </row>
    <row r="183" spans="1:7" ht="14.4">
      <c r="A183" s="413"/>
      <c r="B183" s="1244" t="s">
        <v>135</v>
      </c>
      <c r="C183" s="302"/>
      <c r="D183" s="1604" t="s">
        <v>1980</v>
      </c>
      <c r="E183" s="1604"/>
      <c r="F183" s="1604"/>
      <c r="G183" s="288"/>
    </row>
    <row r="184" spans="1:7" ht="13.65" customHeight="1">
      <c r="A184" s="413"/>
      <c r="B184" s="417"/>
      <c r="C184" s="302"/>
      <c r="D184" s="1246" t="s">
        <v>983</v>
      </c>
      <c r="E184" s="1519" t="s">
        <v>1982</v>
      </c>
      <c r="F184" s="1519"/>
      <c r="G184" s="288"/>
    </row>
    <row r="185" spans="1:7" ht="14.4">
      <c r="A185" s="413"/>
      <c r="B185" s="417"/>
      <c r="C185" s="302"/>
      <c r="D185" s="1245"/>
      <c r="E185" s="1519"/>
      <c r="F185" s="1519"/>
      <c r="G185" s="288"/>
    </row>
    <row r="186" spans="1:7" ht="14.4">
      <c r="A186" s="413"/>
      <c r="B186" s="417"/>
      <c r="C186" s="302"/>
      <c r="D186" s="1245"/>
      <c r="E186" s="1519"/>
      <c r="F186" s="1519"/>
      <c r="G186" s="288"/>
    </row>
    <row r="187" spans="1:7" ht="14.4">
      <c r="A187" s="413"/>
      <c r="B187" s="417"/>
      <c r="C187" s="302"/>
      <c r="D187" s="2"/>
      <c r="E187" s="1519"/>
      <c r="F187" s="1519"/>
      <c r="G187" s="288"/>
    </row>
    <row r="188" spans="1:7" ht="13.65" customHeight="1">
      <c r="A188" s="413"/>
      <c r="B188" s="417"/>
      <c r="C188" s="302"/>
      <c r="D188" s="1245" t="s">
        <v>984</v>
      </c>
      <c r="E188" s="1554" t="s">
        <v>1981</v>
      </c>
      <c r="F188" s="1554"/>
      <c r="G188" s="288"/>
    </row>
    <row r="189" spans="1:7" ht="13.65" customHeight="1">
      <c r="A189" s="413"/>
      <c r="B189" s="417"/>
      <c r="C189" s="302"/>
      <c r="D189" s="1245"/>
      <c r="E189" s="1554"/>
      <c r="F189" s="1554"/>
      <c r="G189" s="288"/>
    </row>
    <row r="190" spans="1:7" ht="13.65" customHeight="1">
      <c r="A190" s="413"/>
      <c r="B190" s="417"/>
      <c r="C190" s="302"/>
      <c r="D190" s="1245"/>
      <c r="E190" s="1554"/>
      <c r="F190" s="1554"/>
      <c r="G190" s="288"/>
    </row>
    <row r="191" spans="1:7" ht="13.65" customHeight="1">
      <c r="A191" s="413"/>
      <c r="B191" s="417"/>
      <c r="C191" s="302"/>
      <c r="D191" s="1245"/>
      <c r="E191" s="1554"/>
      <c r="F191" s="1554"/>
      <c r="G191" s="288"/>
    </row>
    <row r="192" spans="1:7" ht="13.65" customHeight="1">
      <c r="A192" s="413"/>
      <c r="B192" s="417"/>
      <c r="C192" s="302"/>
      <c r="D192" s="1245"/>
      <c r="E192" s="1554"/>
      <c r="F192" s="1554"/>
      <c r="G192" s="288"/>
    </row>
    <row r="193" spans="1:7" ht="14.4">
      <c r="A193" s="413"/>
      <c r="B193" s="417"/>
      <c r="C193" s="302"/>
      <c r="D193" s="2"/>
      <c r="E193" s="1554"/>
      <c r="F193" s="1554"/>
      <c r="G193" s="288"/>
    </row>
    <row r="194" spans="1:7" ht="14.4">
      <c r="A194" s="413"/>
      <c r="B194" s="417"/>
      <c r="C194" s="302"/>
      <c r="D194" s="2"/>
      <c r="E194" s="1554"/>
      <c r="F194" s="1554"/>
      <c r="G194" s="288"/>
    </row>
    <row r="195" spans="1:7" ht="13.2">
      <c r="A195" s="417"/>
      <c r="B195" s="417"/>
      <c r="C195" s="302"/>
      <c r="D195" s="282"/>
      <c r="E195" s="283"/>
      <c r="F195" s="283"/>
      <c r="G195" s="288"/>
    </row>
    <row r="196" spans="1:7" ht="14.4">
      <c r="A196" s="413"/>
      <c r="B196" s="924" t="s">
        <v>135</v>
      </c>
      <c r="C196" s="302"/>
      <c r="D196" s="1526" t="s">
        <v>1693</v>
      </c>
      <c r="E196" s="1526"/>
      <c r="F196" s="1526"/>
      <c r="G196" s="288"/>
    </row>
    <row r="197" spans="1:7" ht="14.4">
      <c r="A197" s="413"/>
      <c r="B197" s="413"/>
      <c r="C197" s="302"/>
      <c r="D197" s="1526"/>
      <c r="E197" s="1526"/>
      <c r="F197" s="1526"/>
      <c r="G197" s="288"/>
    </row>
    <row r="198" spans="1:7" ht="14.4">
      <c r="A198" s="413"/>
      <c r="B198" s="413"/>
      <c r="C198" s="302"/>
      <c r="D198" s="1526"/>
      <c r="E198" s="1526"/>
      <c r="F198" s="1526"/>
      <c r="G198" s="288"/>
    </row>
    <row r="199" spans="1:7" ht="14.4">
      <c r="A199" s="413"/>
      <c r="B199" s="413"/>
      <c r="C199" s="302"/>
      <c r="D199" s="1526"/>
      <c r="E199" s="1526"/>
      <c r="F199" s="1526"/>
      <c r="G199" s="288"/>
    </row>
    <row r="200" spans="1:7" ht="13.2">
      <c r="A200" s="417"/>
      <c r="B200" s="417"/>
      <c r="C200" s="302"/>
      <c r="D200" s="1597" t="s">
        <v>2333</v>
      </c>
      <c r="E200" s="1597"/>
      <c r="F200" s="1597"/>
      <c r="G200" s="288"/>
    </row>
    <row r="201" spans="1:7" ht="13.2">
      <c r="A201" s="417"/>
      <c r="B201" s="417"/>
      <c r="C201" s="302"/>
      <c r="D201" s="961"/>
      <c r="E201" s="961"/>
      <c r="F201" s="961"/>
      <c r="G201" s="288"/>
    </row>
    <row r="202" spans="1:7" ht="14.4">
      <c r="A202" s="413"/>
      <c r="B202" s="924" t="s">
        <v>135</v>
      </c>
      <c r="C202" s="302"/>
      <c r="D202" s="1582" t="s">
        <v>1694</v>
      </c>
      <c r="E202" s="1582"/>
      <c r="F202" s="1582"/>
      <c r="G202" s="288"/>
    </row>
    <row r="203" spans="1:7" ht="13.2">
      <c r="A203" s="417"/>
      <c r="B203" s="417"/>
      <c r="C203" s="302"/>
      <c r="D203" s="283"/>
      <c r="E203" s="283"/>
      <c r="F203" s="283"/>
      <c r="G203" s="288"/>
    </row>
    <row r="204" spans="1:7" ht="13.2">
      <c r="A204" s="1603" t="s">
        <v>1507</v>
      </c>
      <c r="B204" s="1603"/>
      <c r="C204" s="1603"/>
      <c r="D204" s="1603"/>
      <c r="E204" s="1603"/>
      <c r="F204" s="1603"/>
      <c r="G204" s="1603"/>
    </row>
    <row r="205" spans="1:7" ht="13.2">
      <c r="A205" s="417"/>
      <c r="B205" s="417"/>
      <c r="C205" s="302"/>
      <c r="D205" s="282"/>
      <c r="E205" s="283"/>
      <c r="F205" s="283"/>
      <c r="G205" s="288"/>
    </row>
    <row r="206" spans="1:7" ht="13.2">
      <c r="A206" s="140"/>
      <c r="B206" s="140"/>
      <c r="C206" s="901"/>
      <c r="D206" s="1634" t="s">
        <v>1506</v>
      </c>
      <c r="E206" s="1634"/>
      <c r="F206" s="1634"/>
      <c r="G206" s="288"/>
    </row>
    <row r="207" spans="1:7" ht="13.2">
      <c r="A207" s="902"/>
      <c r="B207" s="902"/>
      <c r="C207" s="901"/>
      <c r="D207" s="1634" t="s">
        <v>759</v>
      </c>
      <c r="E207" s="1634"/>
      <c r="F207" s="1634"/>
      <c r="G207" s="288"/>
    </row>
    <row r="208" spans="1:7" ht="13.2">
      <c r="A208" s="414"/>
      <c r="B208" s="414"/>
      <c r="C208" s="298"/>
      <c r="D208" s="1602" t="s">
        <v>1540</v>
      </c>
      <c r="E208" s="1602"/>
      <c r="F208" s="1602"/>
      <c r="G208" s="288"/>
    </row>
    <row r="209" spans="1:7" ht="13.2">
      <c r="A209" s="414"/>
      <c r="B209" s="414"/>
      <c r="C209" s="298"/>
      <c r="D209" s="283"/>
      <c r="E209" s="283"/>
      <c r="F209" s="283"/>
      <c r="G209" s="288"/>
    </row>
    <row r="210" spans="1:7" ht="13.2">
      <c r="A210" s="414"/>
      <c r="B210" s="414"/>
      <c r="C210" s="298"/>
      <c r="D210" s="1616" t="s">
        <v>1550</v>
      </c>
      <c r="E210" s="1616"/>
      <c r="F210" s="1616"/>
      <c r="G210" s="288"/>
    </row>
    <row r="211" spans="1:7" ht="13.2">
      <c r="A211" s="414"/>
      <c r="B211" s="414"/>
      <c r="C211" s="298"/>
      <c r="D211" s="1616"/>
      <c r="E211" s="1616"/>
      <c r="F211" s="1616"/>
      <c r="G211" s="288"/>
    </row>
    <row r="212" spans="1:7" ht="13.2">
      <c r="A212" s="414"/>
      <c r="B212" s="414"/>
      <c r="C212" s="298"/>
      <c r="D212" s="1616"/>
      <c r="E212" s="1616"/>
      <c r="F212" s="1616"/>
      <c r="G212" s="288"/>
    </row>
    <row r="213" spans="1:7" ht="13.2">
      <c r="A213" s="414"/>
      <c r="B213" s="414"/>
      <c r="C213" s="298"/>
      <c r="D213" s="1616"/>
      <c r="E213" s="1616"/>
      <c r="F213" s="1616"/>
      <c r="G213" s="288"/>
    </row>
    <row r="214" spans="1:7" ht="13.2">
      <c r="A214" s="414"/>
      <c r="B214" s="414"/>
      <c r="C214" s="298"/>
      <c r="D214" s="288"/>
      <c r="E214" s="283"/>
      <c r="F214" s="283"/>
      <c r="G214" s="288"/>
    </row>
    <row r="215" spans="1:7" ht="13.2">
      <c r="A215" s="414"/>
      <c r="B215" s="414"/>
      <c r="C215" s="298"/>
      <c r="D215" s="1638" t="s">
        <v>1984</v>
      </c>
      <c r="E215" s="1616"/>
      <c r="F215" s="1616"/>
      <c r="G215" s="288"/>
    </row>
    <row r="216" spans="1:7" ht="13.2">
      <c r="A216" s="414"/>
      <c r="B216" s="414"/>
      <c r="C216" s="298"/>
      <c r="D216" s="1616"/>
      <c r="E216" s="1616"/>
      <c r="F216" s="1616"/>
      <c r="G216" s="288"/>
    </row>
    <row r="217" spans="1:7" ht="13.2">
      <c r="A217" s="414"/>
      <c r="B217" s="414"/>
      <c r="C217" s="298"/>
      <c r="D217" s="1616"/>
      <c r="E217" s="1616"/>
      <c r="F217" s="1616"/>
      <c r="G217" s="288"/>
    </row>
    <row r="218" spans="1:7" ht="13.2">
      <c r="A218" s="414"/>
      <c r="B218" s="414"/>
      <c r="C218" s="298"/>
      <c r="D218" s="1616"/>
      <c r="E218" s="1616"/>
      <c r="F218" s="1616"/>
      <c r="G218" s="288"/>
    </row>
    <row r="219" spans="1:7" ht="13.2">
      <c r="A219" s="414"/>
      <c r="B219" s="414"/>
      <c r="C219" s="298"/>
      <c r="D219" s="1616"/>
      <c r="E219" s="1616"/>
      <c r="F219" s="1616"/>
      <c r="G219" s="288"/>
    </row>
    <row r="220" spans="1:7" ht="13.2">
      <c r="A220" s="414"/>
      <c r="B220" s="414"/>
      <c r="C220" s="298"/>
      <c r="D220" s="1616"/>
      <c r="E220" s="1616"/>
      <c r="F220" s="1616"/>
      <c r="G220" s="288"/>
    </row>
    <row r="221" spans="1:7" ht="13.2">
      <c r="A221" s="415"/>
      <c r="B221" s="415"/>
      <c r="C221" s="299"/>
      <c r="D221" s="282"/>
      <c r="E221" s="283"/>
      <c r="F221" s="283"/>
      <c r="G221" s="288"/>
    </row>
    <row r="222" spans="1:7" ht="14.4" customHeight="1">
      <c r="A222" s="413"/>
      <c r="B222" s="1516" t="s">
        <v>1498</v>
      </c>
      <c r="C222" s="299"/>
      <c r="D222" s="1550" t="s">
        <v>321</v>
      </c>
      <c r="E222" s="1550"/>
      <c r="F222" s="1550"/>
      <c r="G222" s="288"/>
    </row>
    <row r="223" spans="1:7" ht="14.4">
      <c r="A223" s="413"/>
      <c r="B223" s="14"/>
      <c r="C223" s="299"/>
      <c r="D223" s="1566" t="s">
        <v>1199</v>
      </c>
      <c r="E223" s="1566"/>
      <c r="F223" s="1566"/>
      <c r="G223" s="288"/>
    </row>
    <row r="224" spans="1:7" ht="14.4">
      <c r="A224" s="413"/>
      <c r="B224" s="413"/>
      <c r="C224" s="299"/>
      <c r="D224" s="930" t="s">
        <v>1557</v>
      </c>
      <c r="E224" s="1614" t="s">
        <v>2301</v>
      </c>
      <c r="F224" s="1614"/>
      <c r="G224" s="288"/>
    </row>
    <row r="225" spans="1:7" ht="13.2">
      <c r="A225" s="417"/>
      <c r="B225" s="417"/>
      <c r="C225" s="302"/>
      <c r="D225" s="1622" t="s">
        <v>1533</v>
      </c>
      <c r="E225" s="1566"/>
      <c r="F225" s="1566"/>
      <c r="G225" s="288"/>
    </row>
    <row r="226" spans="1:7" ht="13.2">
      <c r="A226" s="417"/>
      <c r="B226" s="417"/>
      <c r="C226" s="302"/>
      <c r="D226" s="283"/>
      <c r="E226" s="283"/>
      <c r="F226" s="283"/>
      <c r="G226" s="288"/>
    </row>
    <row r="227" spans="1:7" ht="14.4">
      <c r="A227" s="413"/>
      <c r="B227" s="924" t="s">
        <v>135</v>
      </c>
      <c r="C227" s="302"/>
      <c r="D227" s="1566" t="s">
        <v>322</v>
      </c>
      <c r="E227" s="1566"/>
      <c r="F227" s="1566"/>
      <c r="G227" s="288"/>
    </row>
    <row r="228" spans="1:7" ht="14.4">
      <c r="A228" s="413"/>
      <c r="B228" s="14"/>
      <c r="C228" s="302"/>
      <c r="D228" s="1550" t="s">
        <v>1199</v>
      </c>
      <c r="E228" s="1550"/>
      <c r="F228" s="1550"/>
      <c r="G228" s="288"/>
    </row>
    <row r="229" spans="1:7" ht="14.4">
      <c r="A229" s="413"/>
      <c r="B229" s="413"/>
      <c r="C229" s="302"/>
      <c r="D229" s="300" t="s">
        <v>1558</v>
      </c>
      <c r="E229" s="1614" t="s">
        <v>2302</v>
      </c>
      <c r="F229" s="1614"/>
      <c r="G229" s="288"/>
    </row>
    <row r="230" spans="1:7" ht="13.2">
      <c r="A230" s="417"/>
      <c r="B230" s="417"/>
      <c r="C230" s="302"/>
      <c r="D230" s="1566" t="s">
        <v>1534</v>
      </c>
      <c r="E230" s="1566"/>
      <c r="F230" s="1566"/>
      <c r="G230" s="288"/>
    </row>
    <row r="231" spans="1:7" ht="13.2">
      <c r="A231" s="417"/>
      <c r="B231" s="417"/>
      <c r="C231" s="302"/>
      <c r="D231" s="283"/>
      <c r="E231" s="283"/>
      <c r="F231" s="283"/>
      <c r="G231" s="288"/>
    </row>
    <row r="232" spans="1:7" ht="14.4">
      <c r="A232" s="413"/>
      <c r="B232" s="924" t="s">
        <v>135</v>
      </c>
      <c r="C232" s="302"/>
      <c r="D232" s="1566" t="s">
        <v>703</v>
      </c>
      <c r="E232" s="1566"/>
      <c r="F232" s="1566"/>
      <c r="G232" s="288"/>
    </row>
    <row r="233" spans="1:7" ht="14.4">
      <c r="A233" s="413"/>
      <c r="B233" s="14"/>
      <c r="C233" s="302"/>
      <c r="D233" s="287" t="s">
        <v>1199</v>
      </c>
      <c r="E233" s="283"/>
      <c r="F233" s="283"/>
      <c r="G233" s="288"/>
    </row>
    <row r="234" spans="1:7" ht="14.4">
      <c r="A234" s="413"/>
      <c r="B234" s="413"/>
      <c r="C234" s="302"/>
      <c r="D234" s="300" t="s">
        <v>1557</v>
      </c>
      <c r="E234" s="1614" t="s">
        <v>2303</v>
      </c>
      <c r="F234" s="1614"/>
      <c r="G234" s="288"/>
    </row>
    <row r="235" spans="1:7" ht="14.4">
      <c r="A235" s="413"/>
      <c r="B235" s="413"/>
      <c r="C235" s="302"/>
      <c r="D235" s="1547" t="s">
        <v>1560</v>
      </c>
      <c r="E235" s="1547"/>
      <c r="F235" s="1547"/>
      <c r="G235" s="288"/>
    </row>
    <row r="236" spans="1:7" ht="13.2">
      <c r="A236" s="417"/>
      <c r="B236" s="417"/>
      <c r="C236" s="302"/>
      <c r="D236" s="1547"/>
      <c r="E236" s="1547"/>
      <c r="F236" s="1547"/>
      <c r="G236" s="288"/>
    </row>
    <row r="237" spans="1:7" ht="13.2">
      <c r="A237" s="417"/>
      <c r="B237" s="417"/>
      <c r="C237" s="302"/>
      <c r="D237" s="1547"/>
      <c r="E237" s="1547"/>
      <c r="F237" s="1547"/>
      <c r="G237" s="288"/>
    </row>
    <row r="238" spans="1:7" ht="13.2">
      <c r="A238" s="417"/>
      <c r="B238" s="417"/>
      <c r="C238" s="302"/>
      <c r="D238" s="1547"/>
      <c r="E238" s="1547"/>
      <c r="F238" s="1547"/>
      <c r="G238" s="288"/>
    </row>
    <row r="239" spans="1:7" ht="13.2">
      <c r="A239" s="417"/>
      <c r="B239" s="417"/>
      <c r="C239" s="302"/>
      <c r="D239" s="1547"/>
      <c r="E239" s="1547"/>
      <c r="F239" s="1547"/>
      <c r="G239" s="288"/>
    </row>
    <row r="240" spans="1:7" ht="13.2">
      <c r="A240" s="417"/>
      <c r="B240" s="417"/>
      <c r="C240" s="302"/>
      <c r="D240" s="1547" t="s">
        <v>1535</v>
      </c>
      <c r="E240" s="1547"/>
      <c r="F240" s="1547"/>
      <c r="G240" s="288"/>
    </row>
    <row r="241" spans="1:7" ht="13.2">
      <c r="A241" s="417"/>
      <c r="B241" s="417"/>
      <c r="C241" s="302"/>
      <c r="D241" s="287"/>
      <c r="E241" s="283"/>
      <c r="F241" s="283"/>
      <c r="G241" s="288"/>
    </row>
    <row r="242" spans="1:7" ht="14.4">
      <c r="A242" s="413"/>
      <c r="B242" s="924" t="s">
        <v>135</v>
      </c>
      <c r="C242" s="302"/>
      <c r="D242" s="1566" t="s">
        <v>704</v>
      </c>
      <c r="E242" s="1566"/>
      <c r="F242" s="1566"/>
      <c r="G242" s="288"/>
    </row>
    <row r="243" spans="1:7" ht="14.4">
      <c r="A243" s="413"/>
      <c r="B243" s="14"/>
      <c r="C243" s="302"/>
      <c r="D243" s="1566" t="s">
        <v>1199</v>
      </c>
      <c r="E243" s="1566"/>
      <c r="F243" s="1566"/>
      <c r="G243" s="288"/>
    </row>
    <row r="244" spans="1:7" ht="14.4">
      <c r="A244" s="413"/>
      <c r="B244" s="413"/>
      <c r="C244" s="302"/>
      <c r="D244" s="300" t="s">
        <v>1557</v>
      </c>
      <c r="E244" s="1614" t="s">
        <v>2304</v>
      </c>
      <c r="F244" s="1614"/>
      <c r="G244" s="288"/>
    </row>
    <row r="245" spans="1:7" ht="13.2">
      <c r="A245" s="417"/>
      <c r="B245" s="417"/>
      <c r="C245" s="302"/>
      <c r="D245" s="1622" t="s">
        <v>2133</v>
      </c>
      <c r="E245" s="1566"/>
      <c r="F245" s="1566"/>
      <c r="G245" s="288"/>
    </row>
    <row r="246" spans="1:7" ht="13.2">
      <c r="A246" s="417"/>
      <c r="B246" s="417"/>
      <c r="C246" s="302"/>
      <c r="D246" s="1327"/>
      <c r="E246" s="1327"/>
      <c r="F246" s="1327"/>
      <c r="G246" s="288"/>
    </row>
    <row r="247" spans="1:7" ht="14.4">
      <c r="A247" s="413"/>
      <c r="B247" s="1329" t="s">
        <v>135</v>
      </c>
      <c r="C247" s="302"/>
      <c r="D247" s="1622" t="s">
        <v>2132</v>
      </c>
      <c r="E247" s="1566"/>
      <c r="F247" s="1566"/>
      <c r="G247" s="288"/>
    </row>
    <row r="248" spans="1:7" ht="14.4">
      <c r="A248" s="413"/>
      <c r="B248" s="14"/>
      <c r="C248" s="302"/>
      <c r="D248" s="1566" t="s">
        <v>1199</v>
      </c>
      <c r="E248" s="1566"/>
      <c r="F248" s="1566"/>
      <c r="G248" s="288"/>
    </row>
    <row r="249" spans="1:7" ht="14.4">
      <c r="A249" s="413"/>
      <c r="B249" s="413"/>
      <c r="C249" s="302"/>
      <c r="D249" s="1328" t="s">
        <v>1557</v>
      </c>
      <c r="E249" s="1614" t="s">
        <v>2305</v>
      </c>
      <c r="F249" s="1614"/>
      <c r="G249" s="288"/>
    </row>
    <row r="250" spans="1:7" ht="13.2">
      <c r="A250" s="417"/>
      <c r="B250" s="417"/>
      <c r="C250" s="302"/>
      <c r="D250" s="1622" t="s">
        <v>2134</v>
      </c>
      <c r="E250" s="1566"/>
      <c r="F250" s="1566"/>
      <c r="G250" s="288"/>
    </row>
    <row r="251" spans="1:7" ht="13.2">
      <c r="A251" s="417"/>
      <c r="B251" s="417"/>
      <c r="C251" s="302"/>
      <c r="D251" s="403"/>
      <c r="E251" s="288"/>
      <c r="F251" s="288"/>
      <c r="G251" s="288"/>
    </row>
    <row r="252" spans="1:7" ht="14.4">
      <c r="A252" s="413"/>
      <c r="B252" s="924" t="s">
        <v>135</v>
      </c>
      <c r="D252" s="934" t="s">
        <v>1584</v>
      </c>
      <c r="E252" s="934"/>
      <c r="F252" s="934"/>
    </row>
    <row r="253" spans="1:7" ht="14.4">
      <c r="A253" s="413"/>
      <c r="B253" s="2"/>
      <c r="D253" s="1554" t="s">
        <v>1919</v>
      </c>
      <c r="E253" s="1547"/>
      <c r="F253" s="1547"/>
    </row>
    <row r="254" spans="1:7" ht="14.4">
      <c r="A254" s="413"/>
      <c r="B254" s="417"/>
      <c r="D254" s="1547"/>
      <c r="E254" s="1547"/>
      <c r="F254" s="1547"/>
    </row>
    <row r="255" spans="1:7" ht="14.4">
      <c r="A255" s="413"/>
      <c r="B255" s="417"/>
      <c r="D255" s="1547"/>
      <c r="E255" s="1547"/>
      <c r="F255" s="1547"/>
    </row>
    <row r="256" spans="1:7" ht="14.4">
      <c r="A256" s="413"/>
      <c r="B256" s="417"/>
      <c r="D256" s="933"/>
      <c r="E256" s="933"/>
      <c r="F256" s="933"/>
    </row>
    <row r="257" spans="1:7" ht="14.4">
      <c r="A257" s="413"/>
      <c r="B257" s="924" t="s">
        <v>135</v>
      </c>
      <c r="D257" s="1617" t="s">
        <v>1106</v>
      </c>
      <c r="E257" s="1617"/>
      <c r="F257" s="1617"/>
    </row>
    <row r="258" spans="1:7" ht="14.4">
      <c r="A258" s="413"/>
      <c r="B258" s="417"/>
      <c r="D258" s="934"/>
      <c r="E258" s="934"/>
      <c r="F258" s="934"/>
    </row>
    <row r="259" spans="1:7" ht="13.2">
      <c r="A259" s="1603" t="s">
        <v>1509</v>
      </c>
      <c r="B259" s="1603"/>
      <c r="C259" s="1603"/>
      <c r="D259" s="1603"/>
      <c r="E259" s="1603"/>
      <c r="F259" s="1603"/>
      <c r="G259" s="1603"/>
    </row>
    <row r="260" spans="1:7" ht="13.2">
      <c r="A260" s="140"/>
      <c r="B260" s="140"/>
      <c r="C260" s="14"/>
      <c r="D260" s="287"/>
      <c r="E260" s="282"/>
      <c r="F260" s="282"/>
    </row>
    <row r="261" spans="1:7" ht="13.2">
      <c r="A261" s="140"/>
      <c r="B261" s="140"/>
      <c r="C261" s="900"/>
      <c r="D261" s="1551" t="s">
        <v>1508</v>
      </c>
      <c r="E261" s="1551"/>
      <c r="F261" s="1551"/>
    </row>
    <row r="262" spans="1:7" ht="13.2">
      <c r="A262" s="414"/>
      <c r="B262" s="414"/>
      <c r="C262" s="298"/>
      <c r="D262" s="1550" t="s">
        <v>1541</v>
      </c>
      <c r="E262" s="1550"/>
      <c r="F262" s="1550"/>
    </row>
    <row r="263" spans="1:7" ht="13.2">
      <c r="A263" s="33"/>
      <c r="B263" s="33"/>
      <c r="C263" s="320"/>
      <c r="D263" s="6"/>
      <c r="E263" s="282"/>
      <c r="F263" s="282"/>
    </row>
    <row r="264" spans="1:7" ht="13.2">
      <c r="A264" s="33"/>
      <c r="B264" s="14"/>
      <c r="C264" s="320"/>
      <c r="D264" s="1551" t="s">
        <v>231</v>
      </c>
      <c r="E264" s="1551"/>
      <c r="F264" s="1551"/>
      <c r="G264" s="2"/>
    </row>
    <row r="265" spans="1:7" ht="14.4" customHeight="1">
      <c r="A265" s="413"/>
      <c r="B265" s="1345" t="s">
        <v>1498</v>
      </c>
      <c r="C265" s="1439"/>
      <c r="D265" s="1633" t="s">
        <v>2226</v>
      </c>
      <c r="E265" s="1633"/>
      <c r="F265" s="1633"/>
      <c r="G265" s="2"/>
    </row>
    <row r="266" spans="1:7" ht="14.4">
      <c r="A266" s="413"/>
      <c r="B266" s="1440"/>
      <c r="C266" s="1439"/>
      <c r="D266" s="1633"/>
      <c r="E266" s="1633"/>
      <c r="F266" s="1633"/>
      <c r="G266" s="2"/>
    </row>
    <row r="267" spans="1:7" ht="14.4">
      <c r="A267" s="413"/>
      <c r="B267" s="1440"/>
      <c r="C267" s="1439"/>
      <c r="D267" s="1633"/>
      <c r="E267" s="1633"/>
      <c r="F267" s="1633"/>
      <c r="G267" s="2"/>
    </row>
    <row r="268" spans="1:7" ht="14.4" customHeight="1">
      <c r="A268" s="413"/>
      <c r="B268" s="1440"/>
      <c r="C268" s="1439"/>
      <c r="D268" s="1633"/>
      <c r="E268" s="1633"/>
      <c r="F268" s="1633"/>
      <c r="G268" s="2"/>
    </row>
    <row r="269" spans="1:7" ht="14.4">
      <c r="A269" s="413"/>
      <c r="B269" s="1440"/>
      <c r="C269" s="1439"/>
      <c r="D269" s="1441"/>
      <c r="E269" s="1441"/>
      <c r="F269" s="1441"/>
      <c r="G269" s="2"/>
    </row>
    <row r="270" spans="1:7" ht="14.4">
      <c r="A270" s="413"/>
      <c r="B270" s="1345" t="s">
        <v>1498</v>
      </c>
      <c r="C270" s="1439"/>
      <c r="D270" s="1633" t="s">
        <v>2227</v>
      </c>
      <c r="E270" s="1633"/>
      <c r="F270" s="1633"/>
      <c r="G270" s="2"/>
    </row>
    <row r="271" spans="1:7" ht="14.4">
      <c r="A271" s="413"/>
      <c r="B271" s="1440"/>
      <c r="C271" s="1439"/>
      <c r="D271" s="1633"/>
      <c r="E271" s="1633"/>
      <c r="F271" s="1633"/>
      <c r="G271" s="2"/>
    </row>
    <row r="272" spans="1:7" ht="14.4">
      <c r="A272" s="413"/>
      <c r="B272" s="1440"/>
      <c r="C272" s="1439"/>
      <c r="D272" s="1633"/>
      <c r="E272" s="1633"/>
      <c r="F272" s="1633"/>
      <c r="G272" s="2"/>
    </row>
    <row r="273" spans="1:7" ht="14.4">
      <c r="A273" s="413"/>
      <c r="B273" s="1440"/>
      <c r="C273" s="1439"/>
      <c r="D273" s="1633"/>
      <c r="E273" s="1633"/>
      <c r="F273" s="1633"/>
      <c r="G273" s="2"/>
    </row>
    <row r="274" spans="1:7" ht="14.4">
      <c r="A274" s="413"/>
      <c r="B274" s="1440"/>
      <c r="C274" s="1439"/>
      <c r="D274" s="1633"/>
      <c r="E274" s="1633"/>
      <c r="F274" s="1633"/>
      <c r="G274" s="2"/>
    </row>
    <row r="275" spans="1:7" ht="14.4">
      <c r="A275" s="413"/>
      <c r="B275" s="1440"/>
      <c r="C275" s="1439"/>
      <c r="D275" s="1441"/>
      <c r="E275" s="1441"/>
      <c r="F275" s="1441"/>
      <c r="G275" s="2"/>
    </row>
    <row r="276" spans="1:7" ht="14.4">
      <c r="A276" s="413"/>
      <c r="B276" s="1440"/>
      <c r="C276" s="1439"/>
      <c r="D276" s="1633" t="s">
        <v>1703</v>
      </c>
      <c r="E276" s="1633"/>
      <c r="F276" s="1633"/>
      <c r="G276" s="2"/>
    </row>
    <row r="277" spans="1:7" ht="14.4">
      <c r="A277" s="413"/>
      <c r="B277" s="1440"/>
      <c r="C277" s="1439"/>
      <c r="D277" s="1633"/>
      <c r="E277" s="1633"/>
      <c r="F277" s="1633"/>
      <c r="G277" s="2"/>
    </row>
    <row r="278" spans="1:7" ht="14.4">
      <c r="A278" s="413"/>
      <c r="B278" s="1440"/>
      <c r="C278" s="1439"/>
      <c r="D278" s="1633"/>
      <c r="E278" s="1633"/>
      <c r="F278" s="1633"/>
      <c r="G278" s="2"/>
    </row>
    <row r="279" spans="1:7" ht="14.4">
      <c r="A279" s="413"/>
      <c r="B279" s="1440"/>
      <c r="C279" s="1439"/>
      <c r="D279" s="1633"/>
      <c r="E279" s="1633"/>
      <c r="F279" s="1633"/>
      <c r="G279" s="2"/>
    </row>
    <row r="280" spans="1:7" ht="14.4">
      <c r="A280" s="413"/>
      <c r="B280" s="1440"/>
      <c r="C280" s="1439"/>
      <c r="D280" s="1633"/>
      <c r="E280" s="1633"/>
      <c r="F280" s="1633"/>
      <c r="G280" s="2"/>
    </row>
    <row r="281" spans="1:7" ht="14.4">
      <c r="A281" s="413"/>
      <c r="B281" s="413"/>
      <c r="C281" s="14"/>
      <c r="D281" s="954"/>
      <c r="E281" s="954"/>
      <c r="F281" s="954"/>
      <c r="G281" s="2"/>
    </row>
    <row r="282" spans="1:7" s="747" customFormat="1" ht="14.4" customHeight="1">
      <c r="A282" s="1315"/>
      <c r="B282" s="1314" t="s">
        <v>135</v>
      </c>
      <c r="C282" s="1316"/>
      <c r="D282" s="1587" t="s">
        <v>2127</v>
      </c>
      <c r="E282" s="1587"/>
      <c r="F282" s="1587"/>
      <c r="G282" s="1317"/>
    </row>
    <row r="283" spans="1:7" s="747" customFormat="1" ht="14.4">
      <c r="A283" s="1315"/>
      <c r="B283" s="1316"/>
      <c r="C283" s="1316"/>
      <c r="D283" s="1587"/>
      <c r="E283" s="1587"/>
      <c r="F283" s="1587"/>
      <c r="G283" s="1317"/>
    </row>
    <row r="284" spans="1:7" s="747" customFormat="1" ht="14.4">
      <c r="A284" s="1315"/>
      <c r="B284" s="1316"/>
      <c r="C284" s="1316"/>
      <c r="D284" s="1587"/>
      <c r="E284" s="1587"/>
      <c r="F284" s="1587"/>
      <c r="G284" s="1317"/>
    </row>
    <row r="285" spans="1:7" s="747" customFormat="1" ht="13.2">
      <c r="A285" s="1316"/>
      <c r="B285" s="1316"/>
      <c r="C285" s="1316"/>
      <c r="D285" s="1504"/>
      <c r="E285" s="1505" t="s">
        <v>2306</v>
      </c>
      <c r="F285" s="1504"/>
      <c r="G285" s="1317"/>
    </row>
    <row r="286" spans="1:7" ht="14.4">
      <c r="A286" s="413"/>
      <c r="B286" s="413"/>
      <c r="C286" s="14"/>
      <c r="D286" s="287"/>
      <c r="E286" s="2"/>
      <c r="F286" s="2"/>
      <c r="G286" s="2"/>
    </row>
    <row r="287" spans="1:7" ht="14.4">
      <c r="A287" s="413"/>
      <c r="B287" s="924" t="s">
        <v>1498</v>
      </c>
      <c r="C287" s="14"/>
      <c r="D287" s="1550" t="s">
        <v>1200</v>
      </c>
      <c r="E287" s="1550"/>
      <c r="F287" s="1550"/>
      <c r="G287" s="2"/>
    </row>
    <row r="288" spans="1:7" ht="14.4">
      <c r="A288" s="413"/>
      <c r="B288" s="413"/>
      <c r="C288" s="14"/>
      <c r="D288" s="1550" t="s">
        <v>1704</v>
      </c>
      <c r="E288" s="1550"/>
      <c r="F288" s="1550"/>
      <c r="G288" s="2"/>
    </row>
    <row r="289" spans="1:7" ht="14.4">
      <c r="A289" s="413"/>
      <c r="B289" s="413"/>
      <c r="C289" s="14"/>
      <c r="D289" s="963" t="s">
        <v>1130</v>
      </c>
      <c r="E289" s="1505" t="s">
        <v>2307</v>
      </c>
      <c r="F289" s="963"/>
    </row>
    <row r="290" spans="1:7" ht="13.2">
      <c r="A290" s="140"/>
      <c r="B290" s="140"/>
      <c r="C290" s="14"/>
      <c r="D290" s="321"/>
      <c r="E290" s="282"/>
      <c r="F290" s="282"/>
    </row>
    <row r="291" spans="1:7" ht="14.4">
      <c r="A291" s="413"/>
      <c r="B291" s="924" t="s">
        <v>1498</v>
      </c>
      <c r="C291" s="14"/>
      <c r="D291" s="1547" t="s">
        <v>1705</v>
      </c>
      <c r="E291" s="1547"/>
      <c r="F291" s="1547"/>
    </row>
    <row r="292" spans="1:7" ht="14.4">
      <c r="A292" s="413"/>
      <c r="B292" s="413"/>
      <c r="C292" s="14"/>
      <c r="D292" s="1547"/>
      <c r="E292" s="1547"/>
      <c r="F292" s="1547"/>
    </row>
    <row r="293" spans="1:7" ht="13.2">
      <c r="A293" s="140"/>
      <c r="B293" s="140"/>
      <c r="C293" s="14"/>
      <c r="D293" s="321"/>
      <c r="E293" s="282"/>
      <c r="F293" s="282"/>
    </row>
    <row r="294" spans="1:7" ht="13.2">
      <c r="A294" s="1603" t="s">
        <v>1511</v>
      </c>
      <c r="B294" s="1603"/>
      <c r="C294" s="1603"/>
      <c r="D294" s="1603"/>
      <c r="E294" s="1603"/>
      <c r="F294" s="1603"/>
      <c r="G294" s="1603"/>
    </row>
    <row r="295" spans="1:7" ht="13.2">
      <c r="A295" s="140"/>
      <c r="B295" s="140"/>
      <c r="C295" s="14"/>
      <c r="D295" s="321"/>
      <c r="E295" s="282"/>
      <c r="F295" s="282"/>
    </row>
    <row r="296" spans="1:7" ht="13.2">
      <c r="A296" s="140"/>
      <c r="B296" s="140"/>
      <c r="C296" s="900"/>
      <c r="D296" s="1551" t="s">
        <v>1510</v>
      </c>
      <c r="E296" s="1551"/>
      <c r="F296" s="1551"/>
    </row>
    <row r="297" spans="1:7" ht="13.2">
      <c r="A297" s="414"/>
      <c r="B297" s="414"/>
      <c r="C297" s="298"/>
      <c r="D297" s="287"/>
      <c r="E297" s="282"/>
      <c r="F297" s="282"/>
    </row>
    <row r="298" spans="1:7" ht="13.2">
      <c r="A298" s="415"/>
      <c r="B298" s="415"/>
      <c r="C298" s="299"/>
      <c r="D298" s="1551" t="s">
        <v>233</v>
      </c>
      <c r="E298" s="1551"/>
      <c r="F298" s="1551"/>
    </row>
    <row r="299" spans="1:7" ht="14.4" customHeight="1">
      <c r="A299" s="413"/>
      <c r="B299" s="924" t="s">
        <v>1498</v>
      </c>
      <c r="C299" s="14"/>
      <c r="D299" s="1554" t="s">
        <v>2075</v>
      </c>
      <c r="E299" s="1547"/>
      <c r="F299" s="1547"/>
    </row>
    <row r="300" spans="1:7" ht="13.2">
      <c r="A300" s="140"/>
      <c r="B300" s="140"/>
      <c r="C300" s="14"/>
      <c r="D300" s="1547"/>
      <c r="E300" s="1547"/>
      <c r="F300" s="1547"/>
    </row>
    <row r="301" spans="1:7" ht="13.2">
      <c r="A301" s="140"/>
      <c r="B301" s="140"/>
      <c r="C301" s="14"/>
      <c r="D301" s="1547"/>
      <c r="E301" s="1547"/>
      <c r="F301" s="1547"/>
    </row>
    <row r="302" spans="1:7" ht="13.2">
      <c r="A302" s="1002"/>
      <c r="B302" s="1002"/>
      <c r="C302" s="14"/>
      <c r="D302" s="1313"/>
      <c r="E302" s="1313"/>
      <c r="F302" s="1313"/>
    </row>
    <row r="303" spans="1:7" s="747" customFormat="1" ht="14.4" customHeight="1">
      <c r="A303" s="1315"/>
      <c r="B303" s="1314" t="s">
        <v>135</v>
      </c>
      <c r="C303" s="1316"/>
      <c r="D303" s="1587" t="s">
        <v>2128</v>
      </c>
      <c r="E303" s="1587"/>
      <c r="F303" s="1587"/>
      <c r="G303" s="1317"/>
    </row>
    <row r="304" spans="1:7" s="747" customFormat="1" ht="13.2">
      <c r="A304" s="1316"/>
      <c r="B304" s="1316"/>
      <c r="C304" s="1316"/>
      <c r="D304" s="1587"/>
      <c r="E304" s="1587"/>
      <c r="F304" s="1587"/>
      <c r="G304" s="1317"/>
    </row>
    <row r="305" spans="1:7" s="747" customFormat="1" ht="13.2">
      <c r="A305" s="1316"/>
      <c r="B305" s="1316"/>
      <c r="C305" s="1316"/>
      <c r="D305" s="1587"/>
      <c r="E305" s="1587"/>
      <c r="F305" s="1587"/>
      <c r="G305" s="1317"/>
    </row>
    <row r="306" spans="1:7" s="747" customFormat="1" ht="13.2">
      <c r="A306" s="1316"/>
      <c r="B306" s="1316"/>
      <c r="C306" s="1316"/>
      <c r="E306" s="1506" t="s">
        <v>2308</v>
      </c>
      <c r="F306" s="1506"/>
      <c r="G306" s="1317"/>
    </row>
    <row r="307" spans="1:7" ht="13.2">
      <c r="A307" s="140"/>
      <c r="B307" s="140"/>
      <c r="C307" s="14"/>
      <c r="D307" s="332"/>
      <c r="E307" s="282"/>
      <c r="F307" s="282"/>
    </row>
    <row r="308" spans="1:7" ht="13.2">
      <c r="A308" s="1603" t="s">
        <v>1512</v>
      </c>
      <c r="B308" s="1603"/>
      <c r="C308" s="1603"/>
      <c r="D308" s="1603"/>
      <c r="E308" s="1603"/>
      <c r="F308" s="1603"/>
      <c r="G308" s="1603"/>
    </row>
    <row r="309" spans="1:7" ht="13.2">
      <c r="A309" s="140"/>
      <c r="B309" s="140"/>
      <c r="C309" s="14"/>
      <c r="D309" s="332"/>
      <c r="E309" s="282"/>
      <c r="F309" s="282"/>
    </row>
    <row r="310" spans="1:7" ht="13.2">
      <c r="A310" s="140"/>
      <c r="B310" s="140"/>
      <c r="C310" s="298"/>
      <c r="D310" s="1575" t="s">
        <v>1706</v>
      </c>
      <c r="E310" s="1575"/>
      <c r="F310" s="1575"/>
    </row>
    <row r="311" spans="1:7" ht="13.2">
      <c r="A311" s="140"/>
      <c r="B311" s="140"/>
      <c r="C311" s="298"/>
      <c r="D311" s="1575"/>
      <c r="E311" s="1575"/>
      <c r="F311" s="1575"/>
    </row>
    <row r="312" spans="1:7" ht="13.2">
      <c r="A312" s="415"/>
      <c r="B312" s="415"/>
      <c r="C312" s="299"/>
      <c r="D312" s="6"/>
      <c r="E312" s="282"/>
      <c r="F312" s="282"/>
    </row>
    <row r="313" spans="1:7" ht="13.2">
      <c r="A313" s="140"/>
      <c r="B313" s="140"/>
      <c r="C313" s="299"/>
      <c r="D313" s="1551" t="s">
        <v>178</v>
      </c>
      <c r="E313" s="1551"/>
      <c r="F313" s="1551"/>
    </row>
    <row r="314" spans="1:7" ht="14.4">
      <c r="A314" s="413"/>
      <c r="B314" s="413"/>
      <c r="C314" s="14"/>
      <c r="D314" s="1591" t="s">
        <v>1707</v>
      </c>
      <c r="E314" s="1591"/>
      <c r="F314" s="1591"/>
    </row>
    <row r="315" spans="1:7" ht="12" customHeight="1">
      <c r="A315" s="140"/>
      <c r="B315" s="140"/>
      <c r="C315" s="14"/>
      <c r="D315" s="282"/>
      <c r="E315" s="282"/>
      <c r="F315" s="282"/>
    </row>
    <row r="316" spans="1:7" ht="14.4" customHeight="1">
      <c r="A316" s="413"/>
      <c r="B316" s="924" t="s">
        <v>135</v>
      </c>
      <c r="C316" s="14"/>
      <c r="D316" s="1547" t="s">
        <v>1708</v>
      </c>
      <c r="E316" s="1547"/>
      <c r="F316" s="1547"/>
    </row>
    <row r="317" spans="1:7" ht="14.4">
      <c r="A317" s="413"/>
      <c r="B317" s="413"/>
      <c r="C317" s="14"/>
      <c r="D317" s="1547"/>
      <c r="E317" s="1547"/>
      <c r="F317" s="1547"/>
    </row>
    <row r="318" spans="1:7" ht="13.2">
      <c r="A318" s="140"/>
      <c r="B318" s="140"/>
      <c r="C318" s="14"/>
      <c r="D318" s="282"/>
      <c r="E318" s="282"/>
      <c r="F318" s="282"/>
    </row>
    <row r="319" spans="1:7" ht="14.4" customHeight="1">
      <c r="A319" s="413"/>
      <c r="B319" s="924" t="s">
        <v>135</v>
      </c>
      <c r="C319" s="14"/>
      <c r="D319" s="1632" t="s">
        <v>1709</v>
      </c>
      <c r="E319" s="1632"/>
      <c r="F319" s="1632"/>
    </row>
    <row r="320" spans="1:7" ht="14.4">
      <c r="A320" s="413"/>
      <c r="B320" s="413"/>
      <c r="C320" s="14"/>
      <c r="D320" s="1632"/>
      <c r="E320" s="1632"/>
      <c r="F320" s="1632"/>
    </row>
    <row r="321" spans="1:7" ht="14.4">
      <c r="A321" s="413"/>
      <c r="B321" s="413"/>
      <c r="C321" s="14"/>
      <c r="D321" s="1632"/>
      <c r="E321" s="1632"/>
      <c r="F321" s="1632"/>
    </row>
    <row r="322" spans="1:7" ht="13.2">
      <c r="A322" s="140"/>
      <c r="B322" s="140"/>
      <c r="C322" s="14"/>
      <c r="D322" s="143"/>
      <c r="E322"/>
      <c r="F322"/>
      <c r="G322"/>
    </row>
    <row r="323" spans="1:7" ht="14.4">
      <c r="A323" s="413"/>
      <c r="B323" s="924" t="s">
        <v>135</v>
      </c>
      <c r="C323" s="14"/>
      <c r="D323" s="1547" t="s">
        <v>1710</v>
      </c>
      <c r="E323" s="1547"/>
      <c r="F323" s="1547"/>
    </row>
    <row r="324" spans="1:7" ht="14.4">
      <c r="A324" s="413"/>
      <c r="B324" s="413"/>
      <c r="C324" s="14"/>
      <c r="D324" s="1547"/>
      <c r="E324" s="1547"/>
      <c r="F324" s="1547"/>
    </row>
    <row r="325" spans="1:7" ht="13.2">
      <c r="A325" s="33"/>
      <c r="B325" s="33"/>
      <c r="C325" s="14"/>
      <c r="D325" s="287"/>
      <c r="E325" s="282"/>
      <c r="F325" s="282"/>
    </row>
    <row r="326" spans="1:7" ht="13.2">
      <c r="A326" s="1603" t="s">
        <v>1499</v>
      </c>
      <c r="B326" s="1603"/>
      <c r="C326" s="1603"/>
      <c r="D326" s="1603"/>
      <c r="E326" s="1603"/>
      <c r="F326" s="1603"/>
      <c r="G326" s="1603"/>
    </row>
    <row r="327" spans="1:7" ht="13.2">
      <c r="A327" s="33"/>
      <c r="B327" s="33"/>
      <c r="C327" s="14"/>
      <c r="D327" s="287"/>
      <c r="E327" s="282"/>
      <c r="F327" s="282"/>
      <c r="G327" s="2"/>
    </row>
    <row r="328" spans="1:7" ht="13.2">
      <c r="A328" s="140"/>
      <c r="B328" s="140"/>
      <c r="C328" s="320"/>
      <c r="D328" s="1551" t="s">
        <v>179</v>
      </c>
      <c r="E328" s="1551"/>
      <c r="F328" s="1551"/>
      <c r="G328" s="2"/>
    </row>
    <row r="329" spans="1:7" ht="13.2">
      <c r="A329" s="140"/>
      <c r="B329" s="140"/>
      <c r="C329" s="320"/>
      <c r="D329" s="1550" t="s">
        <v>1542</v>
      </c>
      <c r="E329" s="1550"/>
      <c r="F329" s="1550"/>
      <c r="G329" s="2"/>
    </row>
    <row r="330" spans="1:7" ht="13.2">
      <c r="A330" s="140"/>
      <c r="B330" s="140"/>
      <c r="C330" s="320"/>
      <c r="D330" s="290"/>
      <c r="E330" s="282"/>
      <c r="F330" s="282"/>
      <c r="G330" s="2"/>
    </row>
    <row r="331" spans="1:7" ht="13.2">
      <c r="A331" s="140"/>
      <c r="B331" s="924" t="s">
        <v>1498</v>
      </c>
      <c r="C331" s="14"/>
      <c r="D331" s="1550" t="s">
        <v>1711</v>
      </c>
      <c r="E331" s="1550"/>
      <c r="F331" s="1550"/>
      <c r="G331" s="2"/>
    </row>
    <row r="332" spans="1:7" ht="14.4">
      <c r="A332" s="552"/>
      <c r="B332" s="552"/>
      <c r="D332" s="680"/>
      <c r="G332" s="2"/>
    </row>
    <row r="333" spans="1:7" ht="14.4">
      <c r="A333" s="413"/>
      <c r="B333" s="924" t="s">
        <v>1498</v>
      </c>
      <c r="C333" s="14"/>
      <c r="D333" s="1550" t="s">
        <v>1712</v>
      </c>
      <c r="E333" s="1550"/>
      <c r="F333" s="1550"/>
      <c r="G333" s="2"/>
    </row>
    <row r="334" spans="1:7" ht="13.2">
      <c r="A334" s="140"/>
      <c r="B334" s="140"/>
      <c r="C334" s="14"/>
      <c r="D334" s="282"/>
      <c r="E334" s="282"/>
      <c r="F334" s="282"/>
      <c r="G334" s="2"/>
    </row>
    <row r="335" spans="1:7" ht="14.4" customHeight="1">
      <c r="A335" s="413"/>
      <c r="B335" s="924" t="s">
        <v>135</v>
      </c>
      <c r="C335" s="14"/>
      <c r="D335" s="1632" t="s">
        <v>1718</v>
      </c>
      <c r="E335" s="1632"/>
      <c r="F335" s="1632"/>
      <c r="G335" s="2"/>
    </row>
    <row r="336" spans="1:7" ht="14.4">
      <c r="A336" s="413"/>
      <c r="B336" s="413"/>
      <c r="C336" s="14"/>
      <c r="D336" s="1632"/>
      <c r="E336" s="1632"/>
      <c r="F336" s="1632"/>
      <c r="G336" s="2"/>
    </row>
    <row r="337" spans="1:8" ht="14.4">
      <c r="A337" s="413"/>
      <c r="B337" s="413"/>
      <c r="C337" s="14"/>
      <c r="D337" s="1632"/>
      <c r="E337" s="1632"/>
      <c r="F337" s="1632"/>
      <c r="G337" s="2"/>
    </row>
    <row r="338" spans="1:8" ht="14.4">
      <c r="A338" s="413"/>
      <c r="B338" s="413"/>
      <c r="C338" s="14"/>
      <c r="D338" s="1632"/>
      <c r="E338" s="1632"/>
      <c r="F338" s="1632"/>
      <c r="G338" s="2"/>
    </row>
    <row r="339" spans="1:8" ht="14.4">
      <c r="A339" s="413"/>
      <c r="B339" s="413"/>
      <c r="C339" s="14"/>
      <c r="D339" s="1632"/>
      <c r="E339" s="1632"/>
      <c r="F339" s="1632"/>
      <c r="G339" s="2"/>
    </row>
    <row r="340" spans="1:8" ht="14.4">
      <c r="A340" s="413"/>
      <c r="B340" s="413"/>
      <c r="C340" s="14"/>
      <c r="D340" s="1632"/>
      <c r="E340" s="1632"/>
      <c r="F340" s="1632"/>
      <c r="G340" s="2"/>
    </row>
    <row r="341" spans="1:8" ht="14.4">
      <c r="A341" s="413"/>
      <c r="B341" s="413"/>
      <c r="C341" s="14"/>
      <c r="D341" s="1632"/>
      <c r="E341" s="1632"/>
      <c r="F341" s="1632"/>
      <c r="G341" s="2"/>
    </row>
    <row r="342" spans="1:8" ht="14.4">
      <c r="A342" s="413"/>
      <c r="B342" s="413"/>
      <c r="C342" s="14"/>
      <c r="D342" s="1632"/>
      <c r="E342" s="1632"/>
      <c r="F342" s="1632"/>
      <c r="G342" s="2"/>
    </row>
    <row r="343" spans="1:8" ht="14.4">
      <c r="A343" s="413"/>
      <c r="B343" s="413"/>
      <c r="C343" s="14"/>
      <c r="D343" s="1632"/>
      <c r="E343" s="1632"/>
      <c r="F343" s="1632"/>
    </row>
    <row r="344" spans="1:8" ht="14.4">
      <c r="A344" s="413"/>
      <c r="B344" s="413"/>
      <c r="C344" s="14"/>
      <c r="D344" s="1632"/>
      <c r="E344" s="1632"/>
      <c r="F344" s="1632"/>
    </row>
    <row r="345" spans="1:8" ht="14.4">
      <c r="A345" s="413"/>
      <c r="B345" s="413"/>
      <c r="C345" s="14"/>
      <c r="D345" s="1632"/>
      <c r="E345" s="1632"/>
      <c r="F345" s="1632"/>
    </row>
    <row r="346" spans="1:8" ht="14.4">
      <c r="A346" s="413"/>
      <c r="B346" s="413"/>
      <c r="C346" s="14"/>
      <c r="D346" s="1632"/>
      <c r="E346" s="1632"/>
      <c r="F346" s="1632"/>
    </row>
    <row r="347" spans="1:8" ht="14.4">
      <c r="A347" s="413"/>
      <c r="B347" s="413"/>
      <c r="C347" s="14"/>
      <c r="D347" s="1632"/>
      <c r="E347" s="1632"/>
      <c r="F347" s="1632"/>
    </row>
    <row r="348" spans="1:8" ht="14.4">
      <c r="A348" s="413"/>
      <c r="B348" s="413"/>
      <c r="C348" s="14"/>
      <c r="D348" s="1632"/>
      <c r="E348" s="1632"/>
      <c r="F348" s="1632"/>
    </row>
    <row r="349" spans="1:8" ht="14.4">
      <c r="A349" s="413"/>
      <c r="B349" s="413"/>
      <c r="C349" s="14"/>
      <c r="D349" s="1632"/>
      <c r="E349" s="1632"/>
      <c r="F349" s="1632"/>
    </row>
    <row r="350" spans="1:8" ht="13.2">
      <c r="A350" s="140"/>
      <c r="B350" s="140"/>
      <c r="C350" s="14"/>
      <c r="D350" s="282"/>
      <c r="E350" s="282"/>
      <c r="F350" s="282"/>
    </row>
    <row r="351" spans="1:8" s="50" customFormat="1" ht="14.4" customHeight="1">
      <c r="A351" s="413"/>
      <c r="B351" s="924" t="s">
        <v>135</v>
      </c>
      <c r="C351" s="140"/>
      <c r="D351" s="1632" t="s">
        <v>1713</v>
      </c>
      <c r="E351" s="1632"/>
      <c r="F351" s="1632"/>
      <c r="G351" s="8"/>
      <c r="H351" s="16"/>
    </row>
    <row r="352" spans="1:8" s="50" customFormat="1" ht="13.2">
      <c r="A352" s="140"/>
      <c r="B352" s="140"/>
      <c r="C352" s="140"/>
      <c r="D352" s="1632"/>
      <c r="E352" s="1632"/>
      <c r="F352" s="1632"/>
      <c r="G352" s="8"/>
      <c r="H352" s="16"/>
    </row>
    <row r="353" spans="1:8" s="50" customFormat="1" ht="13.2">
      <c r="A353" s="140"/>
      <c r="B353" s="140"/>
      <c r="C353" s="140"/>
      <c r="D353" s="1632"/>
      <c r="E353" s="1632"/>
      <c r="F353" s="1632"/>
      <c r="G353" s="8"/>
      <c r="H353" s="16"/>
    </row>
    <row r="354" spans="1:8" s="50" customFormat="1" ht="13.2">
      <c r="A354" s="140"/>
      <c r="B354" s="140"/>
      <c r="C354" s="140"/>
      <c r="D354" s="1632"/>
      <c r="E354" s="1632"/>
      <c r="F354" s="1632"/>
      <c r="G354" s="8"/>
      <c r="H354" s="16"/>
    </row>
    <row r="355" spans="1:8" s="50" customFormat="1" ht="13.2">
      <c r="A355" s="140"/>
      <c r="B355" s="140"/>
      <c r="C355" s="140"/>
      <c r="D355" s="1632"/>
      <c r="E355" s="1632"/>
      <c r="F355" s="1632"/>
      <c r="G355" s="8"/>
      <c r="H355" s="16"/>
    </row>
    <row r="356" spans="1:8" s="50" customFormat="1" ht="13.2">
      <c r="A356" s="140"/>
      <c r="B356" s="140"/>
      <c r="C356" s="140"/>
      <c r="D356" s="1632"/>
      <c r="E356" s="1632"/>
      <c r="F356" s="1632"/>
      <c r="G356" s="8"/>
      <c r="H356" s="16"/>
    </row>
    <row r="357" spans="1:8" s="50" customFormat="1" ht="13.2">
      <c r="A357" s="140"/>
      <c r="B357" s="140"/>
      <c r="C357" s="140"/>
      <c r="D357" s="1632"/>
      <c r="E357" s="1632"/>
      <c r="F357" s="1632"/>
      <c r="G357" s="8"/>
      <c r="H357" s="16"/>
    </row>
    <row r="358" spans="1:8" s="50" customFormat="1" ht="13.2">
      <c r="A358" s="140"/>
      <c r="B358" s="140"/>
      <c r="C358" s="140"/>
      <c r="D358" s="1632"/>
      <c r="E358" s="1632"/>
      <c r="F358" s="1632"/>
      <c r="G358" s="8"/>
      <c r="H358" s="16"/>
    </row>
    <row r="359" spans="1:8" s="50" customFormat="1" ht="13.2">
      <c r="A359" s="140"/>
      <c r="B359" s="140"/>
      <c r="C359" s="140"/>
      <c r="D359" s="1632"/>
      <c r="E359" s="1632"/>
      <c r="F359" s="1632"/>
      <c r="G359" s="8"/>
      <c r="H359" s="16"/>
    </row>
    <row r="360" spans="1:8" ht="13.2">
      <c r="A360" s="150"/>
      <c r="B360" s="150"/>
      <c r="E360" s="403"/>
      <c r="F360" s="403"/>
    </row>
    <row r="361" spans="1:8" ht="14.25" customHeight="1">
      <c r="A361" s="413"/>
      <c r="B361" s="924" t="s">
        <v>135</v>
      </c>
      <c r="C361" s="14"/>
      <c r="D361" s="1651" t="s">
        <v>2309</v>
      </c>
      <c r="E361" s="1651"/>
      <c r="F361" s="1651"/>
    </row>
    <row r="362" spans="1:8" ht="13.2">
      <c r="A362" s="140"/>
      <c r="B362" s="140"/>
      <c r="C362" s="14"/>
      <c r="D362" s="1651"/>
      <c r="E362" s="1651"/>
      <c r="F362" s="1651"/>
    </row>
    <row r="363" spans="1:8" ht="13.2">
      <c r="A363" s="140"/>
      <c r="B363" s="140"/>
      <c r="C363" s="14"/>
      <c r="D363" s="1651"/>
      <c r="E363" s="1651"/>
      <c r="F363" s="1651"/>
    </row>
    <row r="364" spans="1:8" ht="13.2">
      <c r="A364" s="140"/>
      <c r="B364" s="140"/>
      <c r="C364" s="14"/>
      <c r="D364" s="1651"/>
      <c r="E364" s="1651"/>
      <c r="F364" s="1651"/>
    </row>
    <row r="365" spans="1:8" ht="13.2">
      <c r="A365" s="960"/>
      <c r="B365" s="960"/>
      <c r="C365" s="14"/>
      <c r="D365" s="1651"/>
      <c r="E365" s="1651"/>
      <c r="F365" s="1651"/>
    </row>
    <row r="366" spans="1:8" ht="13.2">
      <c r="A366" s="140"/>
      <c r="B366" s="140"/>
      <c r="C366" s="14"/>
      <c r="D366" s="954"/>
      <c r="E366" s="930" t="s">
        <v>2310</v>
      </c>
      <c r="F366" s="954"/>
    </row>
    <row r="367" spans="1:8" ht="13.8" thickBot="1">
      <c r="A367" s="140"/>
      <c r="B367" s="140"/>
      <c r="C367" s="14"/>
      <c r="D367" s="1247"/>
      <c r="E367" s="785"/>
      <c r="F367" s="785"/>
      <c r="G367" s="288"/>
    </row>
    <row r="368" spans="1:8" ht="14.4" thickTop="1" thickBot="1">
      <c r="A368" s="140"/>
      <c r="B368" s="140"/>
      <c r="C368" s="140"/>
      <c r="D368" s="1636" t="s">
        <v>1368</v>
      </c>
      <c r="E368" s="1636"/>
      <c r="F368" s="1636"/>
      <c r="G368" s="71"/>
    </row>
    <row r="369" spans="1:7" ht="13.8" thickTop="1">
      <c r="A369" s="140"/>
      <c r="B369" s="140"/>
      <c r="C369" s="140"/>
      <c r="D369" s="1637" t="s">
        <v>1714</v>
      </c>
      <c r="E369" s="1637"/>
      <c r="F369" s="1637"/>
      <c r="G369" s="8"/>
    </row>
    <row r="370" spans="1:7" ht="13.2">
      <c r="A370" s="140"/>
      <c r="B370" s="140"/>
      <c r="C370" s="140"/>
      <c r="D370" s="287"/>
      <c r="E370" s="8"/>
      <c r="F370" s="8"/>
      <c r="G370" s="8"/>
    </row>
    <row r="371" spans="1:7" ht="14.4">
      <c r="A371" s="413"/>
      <c r="B371" s="924" t="s">
        <v>1498</v>
      </c>
      <c r="C371" s="579"/>
      <c r="D371" s="1635" t="s">
        <v>1719</v>
      </c>
      <c r="E371" s="1635"/>
      <c r="F371" s="1635"/>
      <c r="G371" s="8"/>
    </row>
    <row r="372" spans="1:7" ht="14.4">
      <c r="A372" s="413"/>
      <c r="B372" s="413"/>
      <c r="C372" s="579"/>
      <c r="D372" s="644"/>
      <c r="E372" s="8"/>
      <c r="F372" s="8"/>
      <c r="G372" s="8"/>
    </row>
    <row r="373" spans="1:7" ht="14.4">
      <c r="A373" s="413"/>
      <c r="B373" s="924" t="s">
        <v>135</v>
      </c>
      <c r="C373" s="579"/>
      <c r="D373" s="1646" t="s">
        <v>1721</v>
      </c>
      <c r="E373" s="1647"/>
      <c r="F373" s="1647"/>
      <c r="G373" s="8"/>
    </row>
    <row r="374" spans="1:7" ht="14.4">
      <c r="A374" s="413"/>
      <c r="B374" s="413"/>
      <c r="C374" s="579"/>
      <c r="D374" s="1647"/>
      <c r="E374" s="1647"/>
      <c r="F374" s="1647"/>
      <c r="G374" s="8"/>
    </row>
    <row r="375" spans="1:7" ht="14.4">
      <c r="A375" s="413"/>
      <c r="B375" s="413"/>
      <c r="C375" s="579"/>
      <c r="D375" s="1647"/>
      <c r="E375" s="1647"/>
      <c r="F375" s="1647"/>
      <c r="G375" s="8"/>
    </row>
    <row r="376" spans="1:7" ht="14.4">
      <c r="A376" s="413"/>
      <c r="B376" s="413"/>
      <c r="C376" s="579"/>
      <c r="D376" s="1647"/>
      <c r="E376" s="1647"/>
      <c r="F376" s="1647"/>
      <c r="G376" s="8"/>
    </row>
    <row r="377" spans="1:7" ht="14.4">
      <c r="A377" s="413"/>
      <c r="B377" s="413"/>
      <c r="C377" s="579"/>
      <c r="D377" s="1647"/>
      <c r="E377" s="1647"/>
      <c r="F377" s="1647"/>
      <c r="G377" s="8"/>
    </row>
    <row r="378" spans="1:7" ht="14.4">
      <c r="A378" s="413"/>
      <c r="B378" s="413"/>
      <c r="C378" s="579"/>
      <c r="D378" s="1647"/>
      <c r="E378" s="1647"/>
      <c r="F378" s="1647"/>
      <c r="G378" s="8"/>
    </row>
    <row r="379" spans="1:7" ht="14.4">
      <c r="A379" s="413"/>
      <c r="B379" s="413"/>
      <c r="C379" s="579"/>
      <c r="D379" s="1647"/>
      <c r="E379" s="1647"/>
      <c r="F379" s="1647"/>
      <c r="G379" s="8"/>
    </row>
    <row r="380" spans="1:7" ht="14.4">
      <c r="A380" s="413"/>
      <c r="B380" s="413"/>
      <c r="C380" s="579"/>
      <c r="D380" s="1647"/>
      <c r="E380" s="1647"/>
      <c r="F380" s="1647"/>
      <c r="G380" s="8"/>
    </row>
    <row r="381" spans="1:7" ht="14.4">
      <c r="A381" s="413"/>
      <c r="B381" s="413"/>
      <c r="C381" s="579"/>
      <c r="D381" s="1647"/>
      <c r="E381" s="1647"/>
      <c r="F381" s="1647"/>
      <c r="G381" s="8"/>
    </row>
    <row r="382" spans="1:7" ht="14.4">
      <c r="A382" s="413"/>
      <c r="B382" s="413"/>
      <c r="C382" s="579"/>
      <c r="D382" s="1647"/>
      <c r="E382" s="1647"/>
      <c r="F382" s="1647"/>
      <c r="G382" s="8"/>
    </row>
    <row r="383" spans="1:7" ht="14.4">
      <c r="A383" s="413"/>
      <c r="B383" s="413"/>
      <c r="C383" s="579"/>
      <c r="D383" s="965"/>
      <c r="E383" s="965"/>
      <c r="F383" s="965"/>
      <c r="G383" s="8"/>
    </row>
    <row r="384" spans="1:7" ht="14.4">
      <c r="A384" s="413"/>
      <c r="B384" s="924" t="s">
        <v>135</v>
      </c>
      <c r="C384" s="579"/>
      <c r="D384" s="1644" t="s">
        <v>1715</v>
      </c>
      <c r="E384" s="1644"/>
      <c r="F384" s="1644"/>
      <c r="G384" s="8"/>
    </row>
    <row r="385" spans="1:7" ht="13.2">
      <c r="A385" s="579"/>
      <c r="B385" s="579"/>
      <c r="C385" s="579"/>
      <c r="D385" s="1644"/>
      <c r="E385" s="1644"/>
      <c r="F385" s="1644"/>
      <c r="G385" s="8"/>
    </row>
    <row r="386" spans="1:7" ht="13.2">
      <c r="A386" s="579"/>
      <c r="B386" s="579"/>
      <c r="C386" s="579"/>
      <c r="D386" s="1644"/>
      <c r="E386" s="1644"/>
      <c r="F386" s="1644"/>
      <c r="G386" s="8"/>
    </row>
    <row r="387" spans="1:7" ht="13.2">
      <c r="A387" s="579"/>
      <c r="B387" s="579"/>
      <c r="C387" s="579"/>
      <c r="D387" s="1644"/>
      <c r="E387" s="1644"/>
      <c r="F387" s="1644"/>
      <c r="G387" s="8"/>
    </row>
    <row r="388" spans="1:7" ht="13.2">
      <c r="A388" s="579"/>
      <c r="B388" s="579"/>
      <c r="C388" s="579"/>
      <c r="D388" s="969"/>
      <c r="E388" s="969"/>
      <c r="F388" s="969"/>
      <c r="G388" s="8"/>
    </row>
    <row r="389" spans="1:7" ht="13.2">
      <c r="A389" s="579"/>
      <c r="B389" s="579"/>
      <c r="C389" s="579"/>
      <c r="D389" s="1644" t="s">
        <v>1716</v>
      </c>
      <c r="E389" s="1644"/>
      <c r="F389" s="1644"/>
      <c r="G389" s="8"/>
    </row>
    <row r="390" spans="1:7" ht="13.2">
      <c r="A390" s="579"/>
      <c r="B390" s="579"/>
      <c r="C390" s="579"/>
      <c r="D390" s="1644"/>
      <c r="E390" s="1644"/>
      <c r="F390" s="1644"/>
      <c r="G390" s="8"/>
    </row>
    <row r="391" spans="1:7" ht="13.2">
      <c r="A391" s="579"/>
      <c r="B391" s="579"/>
      <c r="C391" s="579"/>
      <c r="D391" s="1644"/>
      <c r="E391" s="1644"/>
      <c r="F391" s="1644"/>
      <c r="G391" s="8"/>
    </row>
    <row r="392" spans="1:7" ht="13.2">
      <c r="A392" s="579"/>
      <c r="B392" s="579"/>
      <c r="C392" s="579"/>
      <c r="D392" s="1644"/>
      <c r="E392" s="1644"/>
      <c r="F392" s="1644"/>
      <c r="G392" s="8"/>
    </row>
    <row r="393" spans="1:7" ht="13.2">
      <c r="A393" s="579"/>
      <c r="B393" s="579"/>
      <c r="C393" s="579"/>
      <c r="D393" s="1644"/>
      <c r="E393" s="1644"/>
      <c r="F393" s="1644"/>
      <c r="G393" s="8"/>
    </row>
    <row r="394" spans="1:7" ht="13.2">
      <c r="A394" s="579"/>
      <c r="B394" s="579"/>
      <c r="C394" s="579"/>
      <c r="D394" s="1644"/>
      <c r="E394" s="1644"/>
      <c r="F394" s="1644"/>
      <c r="G394" s="8"/>
    </row>
    <row r="395" spans="1:7" ht="13.2">
      <c r="A395" s="579"/>
      <c r="B395" s="579"/>
      <c r="C395" s="579"/>
      <c r="D395" s="1644"/>
      <c r="E395" s="1644"/>
      <c r="F395" s="1644"/>
      <c r="G395" s="8"/>
    </row>
    <row r="396" spans="1:7" ht="13.2">
      <c r="A396" s="579"/>
      <c r="B396" s="579"/>
      <c r="C396" s="579"/>
      <c r="D396" s="1644"/>
      <c r="E396" s="1644"/>
      <c r="F396" s="1644"/>
      <c r="G396" s="8"/>
    </row>
    <row r="397" spans="1:7" ht="13.2">
      <c r="A397" s="579"/>
      <c r="B397" s="579"/>
      <c r="C397" s="579"/>
      <c r="D397" s="1644"/>
      <c r="E397" s="1644"/>
      <c r="F397" s="1644"/>
      <c r="G397" s="8"/>
    </row>
    <row r="398" spans="1:7" ht="13.65" customHeight="1">
      <c r="A398" s="579"/>
      <c r="B398" s="579"/>
      <c r="C398" s="579"/>
      <c r="D398" s="1645" t="s">
        <v>1720</v>
      </c>
      <c r="E398" s="1645"/>
      <c r="F398" s="1645"/>
      <c r="G398" s="8"/>
    </row>
    <row r="399" spans="1:7" ht="13.65" customHeight="1">
      <c r="A399" s="579"/>
      <c r="B399" s="579"/>
      <c r="C399" s="579"/>
      <c r="D399" s="1645"/>
      <c r="E399" s="1645"/>
      <c r="F399" s="1645"/>
      <c r="G399" s="8"/>
    </row>
    <row r="400" spans="1:7" ht="13.65" customHeight="1">
      <c r="A400" s="579"/>
      <c r="B400" s="579"/>
      <c r="C400" s="579"/>
      <c r="D400" s="1645"/>
      <c r="E400" s="1645"/>
      <c r="F400" s="1645"/>
      <c r="G400" s="8"/>
    </row>
    <row r="401" spans="1:7" ht="13.65" customHeight="1">
      <c r="A401" s="579"/>
      <c r="B401" s="579"/>
      <c r="C401" s="579"/>
      <c r="D401" s="1645"/>
      <c r="E401" s="1645"/>
      <c r="F401" s="1645"/>
      <c r="G401" s="8"/>
    </row>
    <row r="402" spans="1:7" ht="13.65" customHeight="1">
      <c r="A402" s="579"/>
      <c r="B402" s="579"/>
      <c r="C402" s="579"/>
      <c r="D402" s="1645"/>
      <c r="E402" s="1645"/>
      <c r="F402" s="1645"/>
      <c r="G402" s="8"/>
    </row>
    <row r="403" spans="1:7" ht="13.65" customHeight="1">
      <c r="A403" s="579"/>
      <c r="B403" s="579"/>
      <c r="C403" s="579"/>
      <c r="D403" s="1645"/>
      <c r="E403" s="1645"/>
      <c r="F403" s="1645"/>
      <c r="G403" s="8"/>
    </row>
    <row r="404" spans="1:7" ht="13.65" customHeight="1">
      <c r="A404" s="579"/>
      <c r="B404" s="579"/>
      <c r="C404" s="579"/>
      <c r="D404" s="1645"/>
      <c r="E404" s="1645"/>
      <c r="F404" s="1645"/>
      <c r="G404" s="8"/>
    </row>
    <row r="405" spans="1:7" ht="13.65" customHeight="1">
      <c r="A405" s="579"/>
      <c r="B405" s="579"/>
      <c r="C405" s="579"/>
      <c r="D405" s="1645"/>
      <c r="E405" s="1645"/>
      <c r="F405" s="1645"/>
      <c r="G405" s="8"/>
    </row>
    <row r="406" spans="1:7" ht="13.65" customHeight="1">
      <c r="A406" s="579"/>
      <c r="B406" s="579"/>
      <c r="C406" s="579"/>
      <c r="D406" s="1645"/>
      <c r="E406" s="1645"/>
      <c r="F406" s="1645"/>
      <c r="G406" s="8"/>
    </row>
    <row r="407" spans="1:7" ht="13.65" customHeight="1">
      <c r="A407" s="579"/>
      <c r="B407" s="579"/>
      <c r="C407" s="579"/>
      <c r="D407" s="1645"/>
      <c r="E407" s="1645"/>
      <c r="F407" s="1645"/>
      <c r="G407" s="8"/>
    </row>
    <row r="408" spans="1:7" ht="13.65" customHeight="1">
      <c r="A408" s="579"/>
      <c r="B408" s="579"/>
      <c r="C408" s="579"/>
      <c r="D408" s="1645"/>
      <c r="E408" s="1645"/>
      <c r="F408" s="1645"/>
      <c r="G408" s="8"/>
    </row>
    <row r="409" spans="1:7" ht="13.65" customHeight="1">
      <c r="A409" s="579"/>
      <c r="B409" s="579"/>
      <c r="C409" s="579"/>
      <c r="D409" s="1645"/>
      <c r="E409" s="1645"/>
      <c r="F409" s="1645"/>
      <c r="G409" s="8"/>
    </row>
    <row r="410" spans="1:7" ht="13.65" customHeight="1">
      <c r="A410" s="579"/>
      <c r="B410" s="579"/>
      <c r="C410" s="579"/>
      <c r="D410" s="1645"/>
      <c r="E410" s="1645"/>
      <c r="F410" s="1645"/>
      <c r="G410" s="8"/>
    </row>
    <row r="411" spans="1:7" ht="13.65" customHeight="1">
      <c r="A411" s="579"/>
      <c r="B411" s="579"/>
      <c r="C411" s="579"/>
      <c r="D411" s="1645"/>
      <c r="E411" s="1645"/>
      <c r="F411" s="1645"/>
      <c r="G411" s="8"/>
    </row>
    <row r="412" spans="1:7" ht="13.65" customHeight="1">
      <c r="A412" s="579"/>
      <c r="B412" s="579"/>
      <c r="C412" s="579"/>
      <c r="D412" s="1645"/>
      <c r="E412" s="1645"/>
      <c r="F412" s="1645"/>
      <c r="G412" s="8"/>
    </row>
    <row r="413" spans="1:7" ht="13.65" customHeight="1">
      <c r="A413" s="579"/>
      <c r="B413" s="579"/>
      <c r="C413" s="579"/>
      <c r="D413" s="1645"/>
      <c r="E413" s="1645"/>
      <c r="F413" s="1645"/>
      <c r="G413" s="8"/>
    </row>
    <row r="414" spans="1:7" ht="13.65" customHeight="1">
      <c r="A414" s="579"/>
      <c r="B414" s="579"/>
      <c r="C414" s="579"/>
      <c r="D414" s="1645"/>
      <c r="E414" s="1645"/>
      <c r="F414" s="1645"/>
      <c r="G414" s="8"/>
    </row>
    <row r="415" spans="1:7" ht="13.65" customHeight="1">
      <c r="A415" s="579"/>
      <c r="B415" s="579"/>
      <c r="C415" s="579"/>
      <c r="D415" s="1645"/>
      <c r="E415" s="1645"/>
      <c r="F415" s="1645"/>
      <c r="G415" s="8"/>
    </row>
    <row r="416" spans="1:7" ht="13.2">
      <c r="A416" s="579"/>
      <c r="B416" s="579"/>
      <c r="C416" s="579"/>
      <c r="D416" s="782"/>
      <c r="E416" s="8"/>
      <c r="F416" s="8"/>
      <c r="G416" s="8"/>
    </row>
    <row r="417" spans="1:7" ht="13.65" customHeight="1">
      <c r="A417" s="579"/>
      <c r="B417" s="924" t="s">
        <v>1498</v>
      </c>
      <c r="C417" s="579"/>
      <c r="D417" s="1645" t="s">
        <v>1717</v>
      </c>
      <c r="E417" s="1645"/>
      <c r="F417" s="1645"/>
      <c r="G417" s="8"/>
    </row>
    <row r="418" spans="1:7" ht="13.2">
      <c r="A418" s="579"/>
      <c r="B418" s="579"/>
      <c r="C418" s="579"/>
      <c r="D418" s="1645"/>
      <c r="E418" s="1645"/>
      <c r="F418" s="1645"/>
      <c r="G418" s="8"/>
    </row>
    <row r="419" spans="1:7" ht="13.2">
      <c r="A419" s="579"/>
      <c r="B419" s="579"/>
      <c r="C419" s="579"/>
      <c r="D419" s="1302"/>
      <c r="E419" s="1302"/>
      <c r="F419" s="1302"/>
      <c r="G419" s="8"/>
    </row>
    <row r="420" spans="1:7" ht="13.2">
      <c r="A420" s="579"/>
      <c r="B420" s="1304" t="s">
        <v>1498</v>
      </c>
      <c r="C420" s="579"/>
      <c r="D420" s="1593" t="s">
        <v>2072</v>
      </c>
      <c r="E420" s="1593"/>
      <c r="F420" s="1593"/>
      <c r="G420" s="8"/>
    </row>
    <row r="421" spans="1:7" ht="13.2">
      <c r="A421" s="579"/>
      <c r="B421" s="579"/>
      <c r="C421" s="579"/>
      <c r="D421" s="1593"/>
      <c r="E421" s="1593"/>
      <c r="F421" s="1593"/>
      <c r="G421" s="8"/>
    </row>
    <row r="422" spans="1:7" ht="13.2">
      <c r="A422" s="579"/>
      <c r="B422" s="579"/>
      <c r="C422" s="579"/>
      <c r="D422" s="1593"/>
      <c r="E422" s="1593"/>
      <c r="F422" s="1593"/>
      <c r="G422" s="8"/>
    </row>
    <row r="423" spans="1:7" ht="13.2">
      <c r="A423" s="579"/>
      <c r="B423" s="579"/>
      <c r="C423" s="579"/>
      <c r="D423" s="1593"/>
      <c r="E423" s="1593"/>
      <c r="F423" s="1593"/>
      <c r="G423" s="8"/>
    </row>
    <row r="424" spans="1:7" ht="13.2">
      <c r="A424" s="579"/>
      <c r="B424" s="579"/>
      <c r="C424" s="579"/>
      <c r="D424" s="1593"/>
      <c r="E424" s="1593"/>
      <c r="F424" s="1593"/>
      <c r="G424" s="8"/>
    </row>
    <row r="425" spans="1:7" ht="13.2">
      <c r="A425" s="579"/>
      <c r="B425" s="579"/>
      <c r="C425" s="579"/>
      <c r="D425" s="1593"/>
      <c r="E425" s="1593"/>
      <c r="F425" s="1593"/>
      <c r="G425" s="8"/>
    </row>
    <row r="426" spans="1:7" ht="14.4" customHeight="1">
      <c r="A426" s="413"/>
      <c r="B426" s="924" t="s">
        <v>1498</v>
      </c>
      <c r="C426" s="579"/>
      <c r="D426" s="1593" t="s">
        <v>2050</v>
      </c>
      <c r="E426" s="1593"/>
      <c r="F426" s="1593"/>
      <c r="G426" s="8"/>
    </row>
    <row r="427" spans="1:7" ht="14.4">
      <c r="A427" s="783"/>
      <c r="B427" s="783"/>
      <c r="C427" s="579"/>
      <c r="D427" s="1593"/>
      <c r="E427" s="1593"/>
      <c r="F427" s="1593"/>
      <c r="G427" s="8"/>
    </row>
    <row r="428" spans="1:7" ht="14.4">
      <c r="A428" s="783"/>
      <c r="B428" s="783"/>
      <c r="C428" s="579"/>
      <c r="D428" s="1593"/>
      <c r="E428" s="1593"/>
      <c r="F428" s="1593"/>
      <c r="G428" s="8"/>
    </row>
    <row r="429" spans="1:7" ht="14.4">
      <c r="A429" s="783"/>
      <c r="B429" s="783"/>
      <c r="C429" s="579"/>
      <c r="D429" s="1593"/>
      <c r="E429" s="1593"/>
      <c r="F429" s="1593"/>
      <c r="G429" s="8"/>
    </row>
    <row r="430" spans="1:7" ht="14.25" customHeight="1">
      <c r="A430" s="783"/>
      <c r="B430" s="783"/>
      <c r="C430" s="579"/>
      <c r="D430" s="1654" t="s">
        <v>2068</v>
      </c>
      <c r="E430" s="1654"/>
      <c r="F430" s="1654"/>
      <c r="G430" s="8"/>
    </row>
    <row r="431" spans="1:7" ht="13.2">
      <c r="A431" s="140"/>
      <c r="B431" s="140"/>
      <c r="C431" s="140"/>
      <c r="D431" s="143"/>
      <c r="E431" s="8"/>
      <c r="F431" s="8"/>
      <c r="G431" s="8"/>
    </row>
    <row r="432" spans="1:7" ht="14.4" customHeight="1">
      <c r="A432" s="413"/>
      <c r="B432" s="924" t="s">
        <v>135</v>
      </c>
      <c r="C432" s="355"/>
      <c r="D432" s="1547" t="s">
        <v>1722</v>
      </c>
      <c r="E432" s="1547"/>
      <c r="F432" s="1547"/>
      <c r="G432" s="8"/>
    </row>
    <row r="433" spans="1:7" ht="14.4">
      <c r="A433" s="413"/>
      <c r="B433" s="413"/>
      <c r="C433" s="140"/>
      <c r="D433" s="1547"/>
      <c r="E433" s="1547"/>
      <c r="F433" s="1547"/>
      <c r="G433" s="8"/>
    </row>
    <row r="434" spans="1:7" ht="14.4">
      <c r="A434" s="413"/>
      <c r="B434" s="413"/>
      <c r="C434" s="966"/>
      <c r="D434" s="1547"/>
      <c r="E434" s="1547"/>
      <c r="F434" s="1547"/>
      <c r="G434" s="8"/>
    </row>
    <row r="435" spans="1:7" ht="14.4">
      <c r="A435" s="413"/>
      <c r="B435" s="413"/>
      <c r="C435" s="966"/>
      <c r="D435" s="1547"/>
      <c r="E435" s="1547"/>
      <c r="F435" s="1547"/>
      <c r="G435" s="8"/>
    </row>
    <row r="436" spans="1:7" ht="14.4">
      <c r="A436" s="413"/>
      <c r="B436" s="413"/>
      <c r="C436" s="966"/>
      <c r="D436" s="1547"/>
      <c r="E436" s="1547"/>
      <c r="F436" s="1547"/>
      <c r="G436" s="8"/>
    </row>
    <row r="437" spans="1:7" ht="14.4">
      <c r="A437" s="413"/>
      <c r="B437" s="413"/>
      <c r="C437" s="966"/>
      <c r="D437" s="1547"/>
      <c r="E437" s="1547"/>
      <c r="F437" s="1547"/>
      <c r="G437" s="8"/>
    </row>
    <row r="438" spans="1:7" ht="14.4">
      <c r="A438" s="413"/>
      <c r="B438" s="413"/>
      <c r="C438" s="966"/>
      <c r="D438" s="1547"/>
      <c r="E438" s="1547"/>
      <c r="F438" s="1547"/>
      <c r="G438" s="8"/>
    </row>
    <row r="439" spans="1:7" ht="14.4">
      <c r="A439" s="413"/>
      <c r="B439" s="413"/>
      <c r="C439" s="966"/>
      <c r="D439" s="1547"/>
      <c r="E439" s="1547"/>
      <c r="F439" s="1547"/>
      <c r="G439" s="8"/>
    </row>
    <row r="440" spans="1:7" ht="14.4">
      <c r="A440" s="413"/>
      <c r="B440" s="413"/>
      <c r="C440" s="966"/>
      <c r="D440" s="1547"/>
      <c r="E440" s="1547"/>
      <c r="F440" s="1547"/>
      <c r="G440" s="8"/>
    </row>
    <row r="441" spans="1:7" ht="14.4">
      <c r="A441" s="413"/>
      <c r="B441" s="413"/>
      <c r="C441" s="966"/>
      <c r="D441" s="1547"/>
      <c r="E441" s="1547"/>
      <c r="F441" s="1547"/>
      <c r="G441" s="8"/>
    </row>
    <row r="442" spans="1:7" ht="14.4">
      <c r="A442" s="413"/>
      <c r="B442" s="413"/>
      <c r="C442" s="966"/>
      <c r="D442" s="1547"/>
      <c r="E442" s="1547"/>
      <c r="F442" s="1547"/>
      <c r="G442" s="8"/>
    </row>
    <row r="443" spans="1:7" ht="14.4">
      <c r="A443" s="413"/>
      <c r="B443" s="413"/>
      <c r="C443" s="966"/>
      <c r="D443" s="1547"/>
      <c r="E443" s="1547"/>
      <c r="F443" s="1547"/>
      <c r="G443" s="8"/>
    </row>
    <row r="444" spans="1:7" ht="14.4">
      <c r="A444" s="413"/>
      <c r="B444" s="413"/>
      <c r="C444" s="966"/>
      <c r="D444" s="1547"/>
      <c r="E444" s="1547"/>
      <c r="F444" s="1547"/>
      <c r="G444" s="8"/>
    </row>
    <row r="445" spans="1:7" ht="14.4">
      <c r="A445" s="413"/>
      <c r="B445" s="413"/>
      <c r="C445" s="966"/>
      <c r="D445" s="1547"/>
      <c r="E445" s="1547"/>
      <c r="F445" s="1547"/>
      <c r="G445" s="8"/>
    </row>
    <row r="446" spans="1:7" ht="14.4">
      <c r="A446" s="413"/>
      <c r="B446" s="413"/>
      <c r="C446" s="966"/>
      <c r="D446" s="1547"/>
      <c r="E446" s="1547"/>
      <c r="F446" s="1547"/>
      <c r="G446" s="8"/>
    </row>
    <row r="447" spans="1:7" ht="14.4">
      <c r="A447" s="413"/>
      <c r="B447" s="413"/>
      <c r="C447" s="966"/>
      <c r="D447" s="1547"/>
      <c r="E447" s="1547"/>
      <c r="F447" s="1547"/>
      <c r="G447" s="8"/>
    </row>
    <row r="448" spans="1:7" ht="14.4">
      <c r="A448" s="413"/>
      <c r="B448" s="413"/>
      <c r="C448" s="966"/>
      <c r="D448" s="1547"/>
      <c r="E448" s="1547"/>
      <c r="F448" s="1547"/>
      <c r="G448" s="8"/>
    </row>
    <row r="449" spans="1:7" ht="14.4">
      <c r="A449" s="413"/>
      <c r="B449" s="413"/>
      <c r="C449" s="966"/>
      <c r="D449" s="1547"/>
      <c r="E449" s="1547"/>
      <c r="F449" s="1547"/>
      <c r="G449" s="8"/>
    </row>
    <row r="450" spans="1:7" ht="14.4">
      <c r="A450" s="413"/>
      <c r="B450" s="413"/>
      <c r="C450" s="966"/>
      <c r="D450" s="1547"/>
      <c r="E450" s="1547"/>
      <c r="F450" s="1547"/>
      <c r="G450" s="8"/>
    </row>
    <row r="451" spans="1:7" ht="14.4">
      <c r="A451" s="413"/>
      <c r="B451" s="413"/>
      <c r="C451" s="966"/>
      <c r="D451" s="1547"/>
      <c r="E451" s="1547"/>
      <c r="F451" s="1547"/>
      <c r="G451" s="8"/>
    </row>
    <row r="452" spans="1:7" ht="14.4">
      <c r="A452" s="413"/>
      <c r="B452" s="413"/>
      <c r="C452" s="966"/>
      <c r="D452" s="1547"/>
      <c r="E452" s="1547"/>
      <c r="F452" s="1547"/>
      <c r="G452" s="8"/>
    </row>
    <row r="453" spans="1:7" ht="14.4">
      <c r="A453" s="413"/>
      <c r="B453" s="413"/>
      <c r="C453" s="966"/>
      <c r="D453" s="1547"/>
      <c r="E453" s="1547"/>
      <c r="F453" s="1547"/>
      <c r="G453" s="8"/>
    </row>
    <row r="454" spans="1:7" ht="14.4">
      <c r="A454" s="413"/>
      <c r="B454" s="413"/>
      <c r="C454" s="966"/>
      <c r="D454" s="1547"/>
      <c r="E454" s="1547"/>
      <c r="F454" s="1547"/>
      <c r="G454" s="8"/>
    </row>
    <row r="455" spans="1:7" ht="14.4">
      <c r="A455" s="413"/>
      <c r="B455" s="413"/>
      <c r="C455" s="966"/>
      <c r="D455" s="1547"/>
      <c r="E455" s="1547"/>
      <c r="F455" s="1547"/>
      <c r="G455" s="8"/>
    </row>
    <row r="456" spans="1:7" ht="14.4">
      <c r="A456" s="413"/>
      <c r="B456" s="413"/>
      <c r="C456" s="966"/>
      <c r="D456" s="1547"/>
      <c r="E456" s="1547"/>
      <c r="F456" s="1547"/>
      <c r="G456" s="8"/>
    </row>
    <row r="457" spans="1:7" ht="14.4">
      <c r="A457" s="413"/>
      <c r="B457" s="413"/>
      <c r="C457" s="966"/>
      <c r="D457" s="1547"/>
      <c r="E457" s="1547"/>
      <c r="F457" s="1547"/>
      <c r="G457" s="8"/>
    </row>
    <row r="458" spans="1:7" ht="14.4">
      <c r="A458" s="413"/>
      <c r="B458" s="413"/>
      <c r="C458" s="966"/>
      <c r="D458" s="1547"/>
      <c r="E458" s="1547"/>
      <c r="F458" s="1547"/>
      <c r="G458" s="8"/>
    </row>
    <row r="459" spans="1:7" ht="14.4">
      <c r="A459" s="413"/>
      <c r="B459" s="413"/>
      <c r="C459" s="966"/>
      <c r="D459" s="1547"/>
      <c r="E459" s="1547"/>
      <c r="F459" s="1547"/>
      <c r="G459" s="8"/>
    </row>
    <row r="460" spans="1:7" ht="14.4">
      <c r="A460" s="413"/>
      <c r="B460" s="413"/>
      <c r="C460" s="966"/>
      <c r="D460" s="1547"/>
      <c r="E460" s="1547"/>
      <c r="F460" s="1547"/>
      <c r="G460" s="8"/>
    </row>
    <row r="461" spans="1:7" ht="14.4">
      <c r="A461" s="413"/>
      <c r="B461" s="413"/>
      <c r="C461" s="966"/>
      <c r="D461" s="1547"/>
      <c r="E461" s="1547"/>
      <c r="F461" s="1547"/>
      <c r="G461" s="8"/>
    </row>
    <row r="462" spans="1:7" ht="13.2" hidden="1">
      <c r="A462" s="140"/>
      <c r="B462" s="140"/>
      <c r="C462" s="140"/>
      <c r="D462" s="1547"/>
      <c r="E462" s="1547"/>
      <c r="F462" s="1547"/>
      <c r="G462" s="8"/>
    </row>
    <row r="463" spans="1:7" ht="13.2" hidden="1">
      <c r="A463" s="140"/>
      <c r="B463" s="140"/>
      <c r="C463" s="140"/>
      <c r="D463" s="143"/>
      <c r="E463" s="40"/>
      <c r="F463" s="40"/>
      <c r="G463" s="40"/>
    </row>
    <row r="464" spans="1:7" ht="14.4">
      <c r="A464" s="413"/>
      <c r="B464" s="924" t="s">
        <v>1498</v>
      </c>
      <c r="C464" s="355"/>
      <c r="D464" s="1553" t="s">
        <v>2312</v>
      </c>
      <c r="E464" s="1550"/>
      <c r="F464" s="1550"/>
      <c r="G464" s="8"/>
    </row>
    <row r="465" spans="1:7" ht="13.2">
      <c r="A465" s="140"/>
      <c r="B465" s="140"/>
      <c r="C465" s="140"/>
      <c r="D465" s="2"/>
      <c r="E465" s="1507" t="s">
        <v>2311</v>
      </c>
      <c r="F465" s="1507"/>
      <c r="G465" s="8"/>
    </row>
    <row r="466" spans="1:7" ht="13.65" customHeight="1">
      <c r="A466" s="140"/>
      <c r="B466" s="140"/>
      <c r="C466" s="140"/>
      <c r="D466" s="1653" t="s">
        <v>2047</v>
      </c>
      <c r="E466" s="1632"/>
      <c r="F466" s="1632"/>
      <c r="G466" s="8"/>
    </row>
    <row r="467" spans="1:7" ht="13.65" customHeight="1">
      <c r="A467" s="966"/>
      <c r="B467" s="966"/>
      <c r="C467" s="966"/>
      <c r="D467" s="1632"/>
      <c r="E467" s="1632"/>
      <c r="F467" s="1632"/>
      <c r="G467" s="8"/>
    </row>
    <row r="468" spans="1:7" ht="13.2">
      <c r="A468" s="140"/>
      <c r="B468" s="140"/>
      <c r="C468" s="140"/>
      <c r="D468" s="143"/>
      <c r="E468" s="8"/>
      <c r="F468" s="8"/>
      <c r="G468" s="8"/>
    </row>
    <row r="469" spans="1:7" ht="14.4" customHeight="1">
      <c r="A469" s="413"/>
      <c r="B469" s="924" t="s">
        <v>135</v>
      </c>
      <c r="C469" s="355"/>
      <c r="D469" s="1547" t="s">
        <v>1723</v>
      </c>
      <c r="E469" s="1547"/>
      <c r="F469" s="1547"/>
      <c r="G469" s="8"/>
    </row>
    <row r="470" spans="1:7" ht="13.2">
      <c r="A470" s="140"/>
      <c r="B470" s="140"/>
      <c r="C470" s="140"/>
      <c r="D470" s="1547"/>
      <c r="E470" s="1547"/>
      <c r="F470" s="1547"/>
      <c r="G470" s="8"/>
    </row>
    <row r="471" spans="1:7" ht="13.2">
      <c r="A471" s="140"/>
      <c r="B471" s="140"/>
      <c r="C471" s="140"/>
      <c r="D471" s="1547"/>
      <c r="E471" s="1547"/>
      <c r="F471" s="1547"/>
      <c r="G471" s="8"/>
    </row>
    <row r="472" spans="1:7" ht="13.2">
      <c r="A472" s="966"/>
      <c r="B472" s="966"/>
      <c r="C472" s="966"/>
      <c r="D472" s="964"/>
      <c r="E472" s="964"/>
      <c r="F472" s="964"/>
      <c r="G472" s="8"/>
    </row>
    <row r="473" spans="1:7" ht="14.4">
      <c r="A473" s="140"/>
      <c r="B473" s="924" t="s">
        <v>135</v>
      </c>
      <c r="C473" s="413"/>
      <c r="D473" s="1653" t="s">
        <v>1881</v>
      </c>
      <c r="E473" s="1632"/>
      <c r="F473" s="1632"/>
      <c r="G473" s="8"/>
    </row>
    <row r="474" spans="1:7" ht="13.2">
      <c r="A474" s="140"/>
      <c r="B474" s="140"/>
      <c r="C474" s="140"/>
      <c r="D474" s="1632"/>
      <c r="E474" s="1632"/>
      <c r="F474" s="1632"/>
      <c r="G474" s="8"/>
    </row>
    <row r="475" spans="1:7" ht="13.2">
      <c r="A475" s="140"/>
      <c r="B475" s="140"/>
      <c r="C475" s="140"/>
      <c r="D475" s="143"/>
      <c r="E475" s="679"/>
      <c r="F475" s="8"/>
      <c r="G475" s="8"/>
    </row>
    <row r="476" spans="1:7" ht="14.4">
      <c r="A476" s="140"/>
      <c r="B476" s="924" t="s">
        <v>135</v>
      </c>
      <c r="C476" s="413"/>
      <c r="D476" s="1632" t="s">
        <v>1724</v>
      </c>
      <c r="E476" s="1632"/>
      <c r="F476" s="1632"/>
      <c r="G476" s="8"/>
    </row>
    <row r="477" spans="1:7" ht="13.2">
      <c r="A477" s="140"/>
      <c r="B477" s="140"/>
      <c r="C477" s="140"/>
      <c r="D477" s="1632"/>
      <c r="E477" s="1632"/>
      <c r="F477" s="1632"/>
      <c r="G477" s="8"/>
    </row>
    <row r="478" spans="1:7" ht="13.2">
      <c r="A478" s="140"/>
      <c r="B478" s="140"/>
      <c r="C478" s="140"/>
      <c r="D478" s="1632"/>
      <c r="E478" s="1632"/>
      <c r="F478" s="1632"/>
      <c r="G478" s="8"/>
    </row>
    <row r="479" spans="1:7" ht="13.2">
      <c r="A479" s="966"/>
      <c r="B479" s="966"/>
      <c r="C479" s="966"/>
      <c r="D479" s="1632"/>
      <c r="E479" s="1632"/>
      <c r="F479" s="1632"/>
      <c r="G479" s="8"/>
    </row>
    <row r="480" spans="1:7" ht="13.2">
      <c r="A480" s="966"/>
      <c r="B480" s="924" t="s">
        <v>135</v>
      </c>
      <c r="C480" s="966"/>
      <c r="D480" s="1632"/>
      <c r="E480" s="1632"/>
      <c r="F480" s="1632"/>
      <c r="G480" s="8"/>
    </row>
    <row r="481" spans="1:7" ht="13.2">
      <c r="A481" s="966"/>
      <c r="B481" s="966"/>
      <c r="C481" s="966"/>
      <c r="D481" s="1632"/>
      <c r="E481" s="1632"/>
      <c r="F481" s="1632"/>
      <c r="G481" s="8"/>
    </row>
    <row r="482" spans="1:7" ht="13.2">
      <c r="A482" s="966"/>
      <c r="B482" s="966"/>
      <c r="C482" s="966"/>
      <c r="D482" s="1632"/>
      <c r="E482" s="1632"/>
      <c r="F482" s="1632"/>
      <c r="G482" s="8"/>
    </row>
    <row r="483" spans="1:7" ht="13.2">
      <c r="A483" s="966"/>
      <c r="B483" s="924" t="s">
        <v>135</v>
      </c>
      <c r="C483" s="966"/>
      <c r="D483" s="1632"/>
      <c r="E483" s="1632"/>
      <c r="F483" s="1632"/>
      <c r="G483" s="8"/>
    </row>
    <row r="484" spans="1:7" ht="13.2">
      <c r="A484" s="966"/>
      <c r="B484" s="966"/>
      <c r="C484" s="966"/>
      <c r="D484" s="1632"/>
      <c r="E484" s="1632"/>
      <c r="F484" s="1632"/>
      <c r="G484" s="8"/>
    </row>
    <row r="485" spans="1:7" ht="13.2">
      <c r="A485" s="966"/>
      <c r="B485" s="966"/>
      <c r="C485" s="966"/>
      <c r="D485" s="1632"/>
      <c r="E485" s="1632"/>
      <c r="F485" s="1632"/>
      <c r="G485" s="8"/>
    </row>
    <row r="486" spans="1:7" ht="13.2">
      <c r="A486" s="966"/>
      <c r="B486" s="966"/>
      <c r="C486" s="966"/>
      <c r="D486" s="1632"/>
      <c r="E486" s="1632"/>
      <c r="F486" s="1632"/>
      <c r="G486" s="8"/>
    </row>
    <row r="487" spans="1:7" ht="13.2">
      <c r="A487" s="966"/>
      <c r="B487" s="924" t="s">
        <v>135</v>
      </c>
      <c r="C487" s="966"/>
      <c r="D487" s="1632"/>
      <c r="E487" s="1632"/>
      <c r="F487" s="1632"/>
      <c r="G487" s="8"/>
    </row>
    <row r="488" spans="1:7" ht="13.2">
      <c r="A488" s="966"/>
      <c r="B488" s="966"/>
      <c r="C488" s="966"/>
      <c r="D488" s="1632"/>
      <c r="E488" s="1632"/>
      <c r="F488" s="1632"/>
      <c r="G488" s="8"/>
    </row>
    <row r="489" spans="1:7" ht="13.2">
      <c r="A489" s="966"/>
      <c r="B489" s="924" t="s">
        <v>135</v>
      </c>
      <c r="C489" s="966"/>
      <c r="D489" s="1632"/>
      <c r="E489" s="1632"/>
      <c r="F489" s="1632"/>
      <c r="G489" s="8"/>
    </row>
    <row r="490" spans="1:7" ht="13.2">
      <c r="A490" s="966"/>
      <c r="B490" s="14"/>
      <c r="C490" s="966"/>
      <c r="D490" s="1632"/>
      <c r="E490" s="1632"/>
      <c r="F490" s="1632"/>
      <c r="G490" s="8"/>
    </row>
    <row r="491" spans="1:7" ht="13.65" customHeight="1">
      <c r="A491" s="140"/>
      <c r="B491" s="967" t="s">
        <v>135</v>
      </c>
      <c r="C491" s="140"/>
      <c r="D491" s="1632" t="s">
        <v>1725</v>
      </c>
      <c r="E491" s="1632"/>
      <c r="F491" s="1632"/>
      <c r="G491" s="8"/>
    </row>
    <row r="492" spans="1:7" ht="13.2">
      <c r="A492" s="140"/>
      <c r="B492" s="140"/>
      <c r="C492" s="140"/>
      <c r="D492" s="1632"/>
      <c r="E492" s="1632"/>
      <c r="F492" s="1632"/>
      <c r="G492" s="8"/>
    </row>
    <row r="493" spans="1:7" ht="13.2">
      <c r="A493" s="140"/>
      <c r="B493" s="140"/>
      <c r="C493" s="140"/>
      <c r="D493" s="1632"/>
      <c r="E493" s="1632"/>
      <c r="F493" s="1632"/>
      <c r="G493" s="8"/>
    </row>
    <row r="494" spans="1:7" ht="13.2">
      <c r="A494" s="140"/>
      <c r="B494" s="140"/>
      <c r="C494" s="140"/>
      <c r="D494" s="1632"/>
      <c r="E494" s="1632"/>
      <c r="F494" s="1632"/>
      <c r="G494" s="8"/>
    </row>
    <row r="495" spans="1:7" ht="13.2">
      <c r="A495" s="140"/>
      <c r="B495" s="140"/>
      <c r="C495" s="140"/>
      <c r="D495" s="1632"/>
      <c r="E495" s="1632"/>
      <c r="F495" s="1632"/>
      <c r="G495" s="8"/>
    </row>
    <row r="496" spans="1:7" ht="13.2">
      <c r="A496" s="140"/>
      <c r="B496" s="140"/>
      <c r="C496" s="140"/>
      <c r="D496" s="143"/>
      <c r="E496" s="8"/>
      <c r="F496" s="8"/>
      <c r="G496" s="8"/>
    </row>
    <row r="497" spans="1:7" ht="13.2">
      <c r="A497" s="140"/>
      <c r="B497" s="924" t="s">
        <v>135</v>
      </c>
      <c r="C497" s="140"/>
      <c r="D497" s="1639" t="s">
        <v>1543</v>
      </c>
      <c r="E497" s="1639"/>
      <c r="F497" s="1639"/>
      <c r="G497" s="8"/>
    </row>
    <row r="498" spans="1:7" ht="13.2">
      <c r="A498" s="143"/>
      <c r="B498" s="143"/>
      <c r="C498" s="14"/>
      <c r="D498" s="282"/>
      <c r="E498" s="282"/>
      <c r="F498" s="282"/>
    </row>
    <row r="499" spans="1:7" ht="13.2">
      <c r="A499" s="1603" t="s">
        <v>1500</v>
      </c>
      <c r="B499" s="1603"/>
      <c r="C499" s="1603"/>
      <c r="D499" s="1603"/>
      <c r="E499" s="1603"/>
      <c r="F499" s="1603"/>
      <c r="G499" s="1603"/>
    </row>
    <row r="500" spans="1:7" ht="13.2">
      <c r="A500" s="143"/>
      <c r="B500" s="143"/>
      <c r="C500" s="14"/>
      <c r="D500" s="282"/>
      <c r="E500" s="282"/>
      <c r="F500" s="282"/>
    </row>
    <row r="501" spans="1:7" ht="13.2">
      <c r="A501" s="140"/>
      <c r="B501" s="140"/>
      <c r="C501" s="14"/>
      <c r="D501" s="1640" t="s">
        <v>1208</v>
      </c>
      <c r="E501" s="1640"/>
      <c r="F501" s="1640"/>
    </row>
    <row r="502" spans="1:7" ht="13.2">
      <c r="D502" s="1641" t="s">
        <v>1536</v>
      </c>
      <c r="E502" s="1641"/>
      <c r="F502" s="1641"/>
    </row>
    <row r="503" spans="1:7" ht="14.4">
      <c r="A503" s="413"/>
      <c r="B503" s="413"/>
      <c r="C503" s="14"/>
      <c r="D503" s="645"/>
      <c r="E503" s="282"/>
      <c r="F503" s="282"/>
    </row>
    <row r="504" spans="1:7" ht="14.4">
      <c r="A504" s="413"/>
      <c r="B504" s="924" t="s">
        <v>1498</v>
      </c>
      <c r="C504" s="14"/>
      <c r="D504" s="1642" t="s">
        <v>1726</v>
      </c>
      <c r="E504" s="1642"/>
      <c r="F504" s="1642"/>
    </row>
    <row r="505" spans="1:7" ht="14.4">
      <c r="A505" s="413"/>
      <c r="B505" s="413"/>
      <c r="C505" s="14"/>
      <c r="D505" s="1642"/>
      <c r="E505" s="1642"/>
      <c r="F505" s="1642"/>
    </row>
    <row r="506" spans="1:7" ht="14.4">
      <c r="A506" s="413"/>
      <c r="B506" s="413"/>
      <c r="C506" s="14"/>
      <c r="D506" s="287"/>
      <c r="E506" s="282"/>
      <c r="F506" s="282"/>
    </row>
    <row r="507" spans="1:7" ht="14.4">
      <c r="A507" s="552"/>
      <c r="B507" s="924" t="s">
        <v>1498</v>
      </c>
      <c r="D507" s="1643" t="s">
        <v>2069</v>
      </c>
      <c r="E507" s="1558"/>
      <c r="F507" s="1558"/>
    </row>
    <row r="508" spans="1:7" ht="14.4">
      <c r="A508" s="552"/>
      <c r="B508" s="552"/>
      <c r="D508" s="1558"/>
      <c r="E508" s="1558"/>
      <c r="F508" s="1558"/>
    </row>
    <row r="509" spans="1:7" ht="14.4">
      <c r="A509" s="552"/>
      <c r="B509" s="552"/>
      <c r="D509" s="1558"/>
      <c r="E509" s="1558"/>
      <c r="F509" s="1558"/>
      <c r="G509" s="2"/>
    </row>
    <row r="510" spans="1:7" ht="14.4">
      <c r="A510" s="552"/>
      <c r="B510" s="552"/>
      <c r="D510" s="1558"/>
      <c r="E510" s="1558"/>
      <c r="F510" s="1558"/>
      <c r="G510" s="2"/>
    </row>
    <row r="511" spans="1:7" ht="13.2">
      <c r="A511" s="150"/>
      <c r="B511" s="150"/>
      <c r="G511" s="2"/>
    </row>
    <row r="512" spans="1:7" ht="14.4">
      <c r="A512" s="413"/>
      <c r="B512" s="924" t="s">
        <v>1498</v>
      </c>
      <c r="C512" s="14"/>
      <c r="D512" s="1550" t="s">
        <v>1728</v>
      </c>
      <c r="E512" s="1550"/>
      <c r="F512" s="1550"/>
      <c r="G512" s="2"/>
    </row>
    <row r="513" spans="1:7" ht="13.2">
      <c r="A513" s="140"/>
      <c r="B513" s="140"/>
      <c r="C513" s="14"/>
      <c r="D513" s="287"/>
      <c r="E513" s="282"/>
      <c r="F513" s="282"/>
      <c r="G513" s="2"/>
    </row>
    <row r="514" spans="1:7" ht="14.4">
      <c r="A514" s="413"/>
      <c r="B514" s="924" t="s">
        <v>1498</v>
      </c>
      <c r="C514" s="14"/>
      <c r="D514" s="1547" t="s">
        <v>1729</v>
      </c>
      <c r="E514" s="1547"/>
      <c r="F514" s="1547"/>
      <c r="G514" s="2"/>
    </row>
    <row r="515" spans="1:7" ht="13.2">
      <c r="A515" s="140"/>
      <c r="B515" s="140"/>
      <c r="C515" s="14"/>
      <c r="D515" s="1547"/>
      <c r="E515" s="1547"/>
      <c r="F515" s="1547"/>
      <c r="G515" s="2"/>
    </row>
    <row r="516" spans="1:7" ht="13.2">
      <c r="A516" s="140"/>
      <c r="B516" s="140"/>
      <c r="C516" s="14"/>
      <c r="D516" s="680"/>
      <c r="E516" s="282"/>
      <c r="F516" s="282"/>
      <c r="G516" s="2"/>
    </row>
    <row r="517" spans="1:7" ht="14.4">
      <c r="A517" s="413"/>
      <c r="B517" s="924" t="s">
        <v>135</v>
      </c>
      <c r="C517" s="14"/>
      <c r="D517" s="1550" t="s">
        <v>1727</v>
      </c>
      <c r="E517" s="1550"/>
      <c r="F517" s="1550"/>
    </row>
    <row r="518" spans="1:7" ht="14.4">
      <c r="A518" s="413"/>
      <c r="B518" s="413"/>
      <c r="C518" s="14"/>
      <c r="D518" s="287"/>
      <c r="E518" s="282"/>
      <c r="F518" s="282"/>
    </row>
    <row r="519" spans="1:7" ht="13.2">
      <c r="A519" s="1603" t="s">
        <v>1501</v>
      </c>
      <c r="B519" s="1603"/>
      <c r="C519" s="1603"/>
      <c r="D519" s="1603"/>
      <c r="E519" s="1603"/>
      <c r="F519" s="1603"/>
      <c r="G519" s="1603"/>
    </row>
    <row r="520" spans="1:7" ht="12" customHeight="1">
      <c r="A520" s="413"/>
      <c r="B520" s="413"/>
      <c r="C520" s="14"/>
      <c r="D520" s="287"/>
      <c r="E520" s="282"/>
      <c r="F520" s="282"/>
    </row>
    <row r="521" spans="1:7" ht="13.2">
      <c r="A521" s="150"/>
      <c r="B521" s="924" t="s">
        <v>1498</v>
      </c>
      <c r="C521" s="406"/>
      <c r="D521" s="1564" t="s">
        <v>1663</v>
      </c>
      <c r="E521" s="1564"/>
      <c r="F521" s="1564"/>
    </row>
    <row r="522" spans="1:7" ht="13.2">
      <c r="A522" s="150"/>
      <c r="C522" s="406"/>
      <c r="D522" s="1564"/>
      <c r="E522" s="1564"/>
      <c r="F522" s="1564"/>
    </row>
    <row r="523" spans="1:7" ht="13.2">
      <c r="A523" s="555"/>
      <c r="B523" s="555"/>
      <c r="C523" s="553"/>
      <c r="D523" s="1564"/>
      <c r="E523" s="1564"/>
      <c r="F523" s="1564"/>
    </row>
    <row r="524" spans="1:7" ht="13.2">
      <c r="A524" s="555"/>
      <c r="B524" s="555"/>
      <c r="C524" s="553"/>
      <c r="D524" s="1564"/>
      <c r="E524" s="1564"/>
      <c r="F524" s="1564"/>
    </row>
    <row r="525" spans="1:7" ht="13.2">
      <c r="A525" s="555"/>
      <c r="B525" s="555"/>
      <c r="C525" s="553"/>
    </row>
    <row r="526" spans="1:7" ht="14.4">
      <c r="A526" s="413"/>
      <c r="B526" s="924" t="s">
        <v>135</v>
      </c>
      <c r="C526" s="322"/>
      <c r="D526" s="1585" t="s">
        <v>1677</v>
      </c>
      <c r="E526" s="1585"/>
      <c r="F526" s="1585"/>
      <c r="G526" s="2"/>
    </row>
    <row r="527" spans="1:7" ht="13.2">
      <c r="A527" s="355"/>
      <c r="B527" s="355"/>
      <c r="C527" s="322"/>
      <c r="D527" s="1585"/>
      <c r="E527" s="1585"/>
      <c r="F527" s="1585"/>
      <c r="G527" s="2"/>
    </row>
    <row r="528" spans="1:7" ht="13.2">
      <c r="A528" s="555"/>
      <c r="B528" s="555"/>
      <c r="C528" s="553"/>
      <c r="D528" s="403"/>
      <c r="G528" s="2"/>
    </row>
    <row r="529" spans="1:7" ht="13.2">
      <c r="A529" s="555"/>
      <c r="B529" s="924" t="s">
        <v>1498</v>
      </c>
      <c r="C529" s="553"/>
      <c r="D529" s="1508" t="s">
        <v>2313</v>
      </c>
      <c r="E529" s="1509"/>
      <c r="G529" s="2"/>
    </row>
    <row r="530" spans="1:7" ht="13.2">
      <c r="A530" s="555"/>
      <c r="B530" s="555"/>
      <c r="C530" s="553"/>
      <c r="D530" s="1509"/>
      <c r="E530" s="930" t="s">
        <v>2314</v>
      </c>
      <c r="G530" s="2"/>
    </row>
    <row r="531" spans="1:7" ht="14.4">
      <c r="A531" s="552"/>
      <c r="B531" s="2"/>
      <c r="D531" s="1610" t="s">
        <v>1655</v>
      </c>
      <c r="E531" s="1610"/>
      <c r="F531" s="1610"/>
      <c r="G531" s="2"/>
    </row>
    <row r="532" spans="1:7" ht="14.4">
      <c r="A532" s="552"/>
      <c r="B532" s="552"/>
      <c r="D532" s="1610"/>
      <c r="E532" s="1610"/>
      <c r="F532" s="1610"/>
      <c r="G532" s="2"/>
    </row>
    <row r="533" spans="1:7" ht="13.2">
      <c r="A533" s="150"/>
      <c r="B533" s="150"/>
      <c r="D533" s="1610"/>
      <c r="E533" s="1610"/>
      <c r="F533" s="1610"/>
    </row>
    <row r="534" spans="1:7" ht="12" customHeight="1">
      <c r="A534" s="679"/>
      <c r="B534" s="679"/>
      <c r="C534" s="405"/>
      <c r="E534" s="403"/>
    </row>
    <row r="535" spans="1:7" ht="13.2">
      <c r="A535" s="1603" t="s">
        <v>1513</v>
      </c>
      <c r="B535" s="1603"/>
      <c r="C535" s="1603"/>
      <c r="D535" s="1603"/>
      <c r="E535" s="1603"/>
      <c r="F535" s="1603"/>
      <c r="G535" s="1603"/>
    </row>
    <row r="536" spans="1:7" ht="12" customHeight="1">
      <c r="A536" s="143"/>
      <c r="B536" s="143"/>
      <c r="C536" s="322"/>
      <c r="D536" s="282"/>
      <c r="E536" s="287"/>
      <c r="F536" s="282"/>
    </row>
    <row r="537" spans="1:7" ht="13.2">
      <c r="A537" s="140"/>
      <c r="B537" s="140"/>
      <c r="C537" s="322"/>
      <c r="D537" s="1551" t="s">
        <v>1544</v>
      </c>
      <c r="E537" s="1551"/>
      <c r="F537" s="1551"/>
    </row>
    <row r="538" spans="1:7" ht="13.2">
      <c r="A538" s="140"/>
      <c r="B538" s="140"/>
      <c r="C538" s="14"/>
      <c r="D538" s="282"/>
      <c r="E538" s="282"/>
      <c r="F538" s="282"/>
    </row>
    <row r="539" spans="1:7" ht="13.2">
      <c r="A539" s="140"/>
      <c r="B539" s="924" t="s">
        <v>135</v>
      </c>
      <c r="C539" s="14"/>
      <c r="D539" s="1547" t="s">
        <v>1695</v>
      </c>
      <c r="E539" s="1547"/>
      <c r="F539" s="1547"/>
    </row>
    <row r="540" spans="1:7" ht="13.2">
      <c r="A540" s="140"/>
      <c r="B540" s="140"/>
      <c r="C540" s="14"/>
      <c r="D540" s="1547"/>
      <c r="E540" s="1547"/>
      <c r="F540" s="1547"/>
    </row>
    <row r="541" spans="1:7" ht="12" customHeight="1">
      <c r="A541" s="355"/>
      <c r="B541" s="355"/>
      <c r="C541" s="322"/>
      <c r="D541" s="287"/>
      <c r="E541" s="282"/>
      <c r="F541" s="282"/>
    </row>
    <row r="542" spans="1:7" ht="14.4">
      <c r="A542" s="413"/>
      <c r="B542" s="924" t="s">
        <v>135</v>
      </c>
      <c r="C542" s="322"/>
      <c r="D542" s="1547" t="s">
        <v>1696</v>
      </c>
      <c r="E542" s="1547"/>
      <c r="F542" s="1547"/>
    </row>
    <row r="543" spans="1:7" ht="13.2">
      <c r="A543" s="355"/>
      <c r="B543" s="355"/>
      <c r="C543" s="322"/>
      <c r="D543" s="1547"/>
      <c r="E543" s="1547"/>
      <c r="F543" s="1547"/>
    </row>
    <row r="544" spans="1:7" ht="12" customHeight="1">
      <c r="A544" s="355"/>
      <c r="B544" s="355"/>
      <c r="C544" s="322"/>
      <c r="D544" s="287"/>
      <c r="E544" s="282"/>
      <c r="F544" s="282"/>
    </row>
    <row r="545" spans="1:7" ht="13.2">
      <c r="A545" s="1568" t="s">
        <v>1553</v>
      </c>
      <c r="B545" s="1568"/>
      <c r="C545" s="1568"/>
      <c r="D545" s="1568"/>
      <c r="E545" s="1568"/>
      <c r="F545" s="1568"/>
      <c r="G545" s="1568"/>
    </row>
    <row r="546" spans="1:7" ht="12" customHeight="1">
      <c r="A546" s="143"/>
      <c r="B546" s="143"/>
      <c r="C546" s="322"/>
      <c r="D546" s="287"/>
      <c r="E546" s="282"/>
      <c r="F546" s="282"/>
    </row>
    <row r="547" spans="1:7" ht="13.2">
      <c r="A547" s="140"/>
      <c r="B547" s="140"/>
      <c r="C547" s="322"/>
      <c r="D547" s="1551" t="s">
        <v>180</v>
      </c>
      <c r="E547" s="1551"/>
      <c r="F547" s="1551"/>
    </row>
    <row r="548" spans="1:7" ht="13.2">
      <c r="A548" s="140"/>
      <c r="B548" s="140"/>
      <c r="C548" s="322"/>
      <c r="D548" s="1550" t="s">
        <v>1673</v>
      </c>
      <c r="E548" s="1550"/>
      <c r="F548" s="1550"/>
    </row>
    <row r="549" spans="1:7" ht="13.2">
      <c r="A549" s="140"/>
      <c r="B549" s="140"/>
      <c r="C549" s="322"/>
      <c r="D549" s="287"/>
      <c r="E549" s="287"/>
      <c r="F549" s="287"/>
    </row>
    <row r="550" spans="1:7" ht="14.4">
      <c r="A550" s="413"/>
      <c r="B550" s="924" t="s">
        <v>1498</v>
      </c>
      <c r="C550" s="322"/>
      <c r="D550" s="1550" t="s">
        <v>1201</v>
      </c>
      <c r="E550" s="1550"/>
      <c r="F550" s="1550"/>
    </row>
    <row r="551" spans="1:7" ht="12" customHeight="1">
      <c r="A551" s="355"/>
      <c r="B551" s="355"/>
      <c r="C551" s="322"/>
      <c r="D551" s="287"/>
      <c r="E551" s="2"/>
      <c r="F551" s="2"/>
      <c r="G551" s="2"/>
    </row>
    <row r="552" spans="1:7" ht="14.4" customHeight="1">
      <c r="A552" s="413"/>
      <c r="B552" s="924" t="s">
        <v>1498</v>
      </c>
      <c r="C552" s="322"/>
      <c r="D552" s="1547" t="s">
        <v>1672</v>
      </c>
      <c r="E552" s="1547"/>
      <c r="F552" s="1547"/>
      <c r="G552" s="2"/>
    </row>
    <row r="553" spans="1:7" ht="13.2">
      <c r="A553" s="355"/>
      <c r="B553" s="355"/>
      <c r="C553" s="322"/>
      <c r="D553" s="1547"/>
      <c r="E553" s="1547"/>
      <c r="F553" s="1547"/>
      <c r="G553" s="2"/>
    </row>
    <row r="554" spans="1:7" ht="12" customHeight="1">
      <c r="A554" s="355"/>
      <c r="B554" s="355"/>
      <c r="C554" s="322"/>
      <c r="D554" s="287"/>
      <c r="E554" s="2"/>
      <c r="F554" s="2"/>
      <c r="G554" s="2"/>
    </row>
    <row r="555" spans="1:7" ht="14.4">
      <c r="A555" s="413"/>
      <c r="B555" s="924" t="s">
        <v>1498</v>
      </c>
      <c r="C555" s="322"/>
      <c r="D555" s="1547" t="s">
        <v>1674</v>
      </c>
      <c r="E555" s="1547"/>
      <c r="F555" s="1547"/>
      <c r="G555" s="2"/>
    </row>
    <row r="556" spans="1:7" ht="13.2">
      <c r="A556" s="355"/>
      <c r="B556" s="355"/>
      <c r="C556" s="322"/>
      <c r="D556" s="1547"/>
      <c r="E556" s="1547"/>
      <c r="F556" s="1547"/>
      <c r="G556" s="2"/>
    </row>
    <row r="557" spans="1:7" ht="12" customHeight="1">
      <c r="A557" s="355"/>
      <c r="B557" s="355"/>
      <c r="C557" s="322"/>
      <c r="D557" s="287"/>
      <c r="E557" s="2"/>
      <c r="F557" s="2"/>
      <c r="G557" s="2"/>
    </row>
    <row r="558" spans="1:7" ht="14.4">
      <c r="A558" s="413"/>
      <c r="B558" s="924" t="s">
        <v>1498</v>
      </c>
      <c r="C558" s="322"/>
      <c r="D558" s="1547" t="s">
        <v>1675</v>
      </c>
      <c r="E558" s="1547"/>
      <c r="F558" s="1547"/>
      <c r="G558" s="2"/>
    </row>
    <row r="559" spans="1:7" ht="13.2">
      <c r="A559" s="355"/>
      <c r="B559" s="355"/>
      <c r="C559" s="322"/>
      <c r="D559" s="1547"/>
      <c r="E559" s="1547"/>
      <c r="F559" s="1547"/>
      <c r="G559" s="2"/>
    </row>
    <row r="560" spans="1:7" ht="12" customHeight="1">
      <c r="A560" s="355"/>
      <c r="B560" s="355"/>
      <c r="C560" s="322"/>
      <c r="D560" s="287"/>
      <c r="E560" s="2"/>
      <c r="F560" s="2"/>
      <c r="G560" s="2"/>
    </row>
    <row r="561" spans="1:7" ht="14.4" customHeight="1">
      <c r="A561" s="413"/>
      <c r="B561" s="924" t="s">
        <v>1498</v>
      </c>
      <c r="C561" s="322"/>
      <c r="D561" s="1547" t="s">
        <v>1676</v>
      </c>
      <c r="E561" s="1547"/>
      <c r="F561" s="1547"/>
      <c r="G561" s="2"/>
    </row>
    <row r="562" spans="1:7" ht="13.2">
      <c r="A562" s="355"/>
      <c r="B562" s="355"/>
      <c r="C562" s="322"/>
      <c r="D562" s="1547"/>
      <c r="E562" s="1547"/>
      <c r="F562" s="1547"/>
      <c r="G562" s="2"/>
    </row>
    <row r="563" spans="1:7" ht="13.2">
      <c r="A563" s="355"/>
      <c r="B563" s="355"/>
      <c r="C563" s="322"/>
      <c r="D563" s="1547"/>
      <c r="E563" s="1547"/>
      <c r="F563" s="1547"/>
      <c r="G563" s="2"/>
    </row>
    <row r="564" spans="1:7" ht="13.2">
      <c r="A564" s="355"/>
      <c r="B564" s="355"/>
      <c r="C564" s="322"/>
      <c r="D564" s="287"/>
      <c r="E564" s="2"/>
      <c r="F564" s="2"/>
      <c r="G564" s="2"/>
    </row>
    <row r="565" spans="1:7" ht="14.4">
      <c r="A565" s="413"/>
      <c r="B565" s="924" t="s">
        <v>135</v>
      </c>
      <c r="C565" s="322"/>
      <c r="D565" s="1586" t="s">
        <v>1784</v>
      </c>
      <c r="E565" s="1585"/>
      <c r="F565" s="1585"/>
      <c r="G565" s="2"/>
    </row>
    <row r="566" spans="1:7" ht="13.2">
      <c r="A566" s="355"/>
      <c r="B566" s="355"/>
      <c r="C566" s="322"/>
      <c r="D566" s="1585"/>
      <c r="E566" s="1585"/>
      <c r="F566" s="1585"/>
      <c r="G566" s="2"/>
    </row>
    <row r="567" spans="1:7" ht="13.2">
      <c r="A567" s="355"/>
      <c r="B567" s="355"/>
      <c r="C567" s="322"/>
      <c r="D567" s="679"/>
      <c r="E567" s="282"/>
      <c r="F567" s="282"/>
      <c r="G567" s="2"/>
    </row>
    <row r="568" spans="1:7" ht="14.4">
      <c r="A568" s="413"/>
      <c r="B568" s="924" t="s">
        <v>135</v>
      </c>
      <c r="C568" s="322"/>
      <c r="D568" s="1547" t="s">
        <v>1678</v>
      </c>
      <c r="E568" s="1547"/>
      <c r="F568" s="1547"/>
      <c r="G568" s="2"/>
    </row>
    <row r="569" spans="1:7" ht="13.2">
      <c r="A569" s="355"/>
      <c r="B569" s="355"/>
      <c r="C569" s="322"/>
      <c r="D569" s="1547"/>
      <c r="E569" s="1547"/>
      <c r="F569" s="1547"/>
      <c r="G569" s="2"/>
    </row>
    <row r="570" spans="1:7" ht="12" customHeight="1">
      <c r="A570" s="355"/>
      <c r="B570" s="355"/>
      <c r="C570" s="322"/>
      <c r="D570" s="287"/>
      <c r="E570" s="282"/>
      <c r="F570" s="282"/>
      <c r="G570" s="2"/>
    </row>
    <row r="571" spans="1:7" ht="14.4">
      <c r="A571" s="413"/>
      <c r="B571" s="924" t="s">
        <v>1498</v>
      </c>
      <c r="C571" s="322"/>
      <c r="D571" s="1550" t="s">
        <v>1679</v>
      </c>
      <c r="E571" s="1550"/>
      <c r="F571" s="1550"/>
      <c r="G571" s="2"/>
    </row>
    <row r="572" spans="1:7" ht="14.4">
      <c r="A572" s="413"/>
      <c r="B572" s="413"/>
      <c r="C572" s="322"/>
      <c r="D572" s="1615" t="s">
        <v>2315</v>
      </c>
      <c r="E572" s="1615"/>
      <c r="F572" s="1615"/>
      <c r="G572" s="2"/>
    </row>
    <row r="573" spans="1:7" ht="13.2">
      <c r="A573" s="410"/>
      <c r="B573" s="410"/>
      <c r="C573" s="405"/>
      <c r="D573" s="1510"/>
      <c r="E573" s="930" t="s">
        <v>2316</v>
      </c>
      <c r="F573" s="1511"/>
      <c r="G573" s="2"/>
    </row>
    <row r="574" spans="1:7" ht="15" customHeight="1">
      <c r="A574" s="410"/>
      <c r="B574" s="410"/>
      <c r="C574" s="405"/>
      <c r="D574" s="1555" t="s">
        <v>1917</v>
      </c>
      <c r="E574" s="1552"/>
      <c r="F574" s="1552"/>
      <c r="G574" s="2"/>
    </row>
    <row r="575" spans="1:7" ht="13.2">
      <c r="A575" s="410"/>
      <c r="B575" s="410"/>
      <c r="C575" s="405"/>
      <c r="D575" s="1552"/>
      <c r="E575" s="1552"/>
      <c r="F575" s="1552"/>
      <c r="G575" s="2"/>
    </row>
    <row r="576" spans="1:7" ht="13.2">
      <c r="A576" s="410"/>
      <c r="B576" s="410"/>
      <c r="C576" s="405"/>
      <c r="D576" s="1552"/>
      <c r="E576" s="1552"/>
      <c r="F576" s="1552"/>
      <c r="G576" s="2"/>
    </row>
    <row r="577" spans="1:7" ht="13.2">
      <c r="A577" s="410"/>
      <c r="B577" s="410"/>
      <c r="C577" s="405"/>
      <c r="D577" s="1552"/>
      <c r="E577" s="1552"/>
      <c r="F577" s="1552"/>
      <c r="G577" s="2"/>
    </row>
    <row r="578" spans="1:7" ht="13.2">
      <c r="A578" s="410"/>
      <c r="B578" s="410"/>
      <c r="C578" s="405"/>
      <c r="D578" s="1552"/>
      <c r="E578" s="1552"/>
      <c r="F578" s="1552"/>
      <c r="G578" s="2"/>
    </row>
    <row r="579" spans="1:7" ht="13.2">
      <c r="A579" s="410"/>
      <c r="B579" s="410"/>
      <c r="C579" s="405"/>
      <c r="D579" s="1552"/>
      <c r="E579" s="1552"/>
      <c r="F579" s="1552"/>
      <c r="G579" s="2"/>
    </row>
    <row r="580" spans="1:7" ht="13.2">
      <c r="A580" s="410"/>
      <c r="B580" s="410"/>
      <c r="C580" s="405"/>
      <c r="D580" s="1552"/>
      <c r="E580" s="1552"/>
      <c r="F580" s="1552"/>
      <c r="G580" s="2"/>
    </row>
    <row r="581" spans="1:7" ht="13.2">
      <c r="A581" s="410"/>
      <c r="B581" s="410"/>
      <c r="C581" s="405"/>
      <c r="D581" s="1552"/>
      <c r="E581" s="1552"/>
      <c r="F581" s="1552"/>
      <c r="G581" s="2"/>
    </row>
    <row r="582" spans="1:7" ht="13.2">
      <c r="A582" s="410"/>
      <c r="B582" s="410"/>
      <c r="C582" s="405"/>
      <c r="D582" s="1552"/>
      <c r="E582" s="1552"/>
      <c r="F582" s="1552"/>
      <c r="G582" s="2"/>
    </row>
    <row r="583" spans="1:7" ht="13.2">
      <c r="A583" s="410"/>
      <c r="B583" s="410"/>
      <c r="C583" s="405"/>
      <c r="D583" s="928"/>
      <c r="E583" s="928"/>
      <c r="F583" s="928"/>
      <c r="G583" s="2"/>
    </row>
    <row r="584" spans="1:7" ht="14.4">
      <c r="A584" s="552"/>
      <c r="B584" s="924" t="s">
        <v>1498</v>
      </c>
      <c r="C584" s="405"/>
      <c r="D584" s="1589" t="s">
        <v>1680</v>
      </c>
      <c r="E584" s="1589"/>
      <c r="F584" s="1589"/>
      <c r="G584" s="2"/>
    </row>
    <row r="585" spans="1:7" ht="13.65" customHeight="1">
      <c r="A585" s="140"/>
      <c r="B585" s="140"/>
      <c r="C585" s="322"/>
      <c r="D585" s="1547" t="s">
        <v>1681</v>
      </c>
      <c r="E585" s="1547"/>
      <c r="F585" s="1547"/>
      <c r="G585" s="2"/>
    </row>
    <row r="586" spans="1:7" ht="13.2">
      <c r="A586" s="355"/>
      <c r="B586" s="355"/>
      <c r="C586" s="322"/>
      <c r="D586" s="1547"/>
      <c r="E586" s="1547"/>
      <c r="F586" s="1547"/>
      <c r="G586" s="2"/>
    </row>
    <row r="587" spans="1:7" ht="13.2">
      <c r="A587" s="355"/>
      <c r="B587" s="355"/>
      <c r="C587" s="322"/>
      <c r="D587" s="1547"/>
      <c r="E587" s="1547"/>
      <c r="F587" s="1547"/>
      <c r="G587" s="2"/>
    </row>
    <row r="588" spans="1:7" ht="13.2">
      <c r="A588" s="355"/>
      <c r="B588" s="355"/>
      <c r="C588" s="322"/>
      <c r="D588" s="954"/>
      <c r="E588" s="954"/>
      <c r="F588" s="954"/>
      <c r="G588" s="2"/>
    </row>
    <row r="589" spans="1:7" ht="14.4" customHeight="1">
      <c r="A589" s="413"/>
      <c r="B589" s="924" t="s">
        <v>1498</v>
      </c>
      <c r="C589" s="322"/>
      <c r="D589" s="1547" t="s">
        <v>1682</v>
      </c>
      <c r="E589" s="1547"/>
      <c r="F589" s="1547"/>
      <c r="G589" s="2"/>
    </row>
    <row r="590" spans="1:7" ht="14.4">
      <c r="A590" s="413"/>
      <c r="B590" s="413"/>
      <c r="C590" s="322"/>
      <c r="D590" s="1547"/>
      <c r="E590" s="1547"/>
      <c r="F590" s="1547"/>
      <c r="G590" s="2"/>
    </row>
    <row r="591" spans="1:7" ht="14.4">
      <c r="A591" s="413"/>
      <c r="B591" s="413"/>
      <c r="C591" s="322"/>
      <c r="D591" s="1547"/>
      <c r="E591" s="1547"/>
      <c r="F591" s="1547"/>
    </row>
    <row r="592" spans="1:7" ht="13.2">
      <c r="A592" s="355"/>
      <c r="B592" s="355"/>
      <c r="C592" s="322"/>
      <c r="D592" s="1547"/>
      <c r="E592" s="1547"/>
      <c r="F592" s="1547"/>
    </row>
    <row r="593" spans="1:7" ht="13.2">
      <c r="A593" s="355"/>
      <c r="B593" s="355"/>
      <c r="C593" s="322"/>
      <c r="D593" s="287"/>
      <c r="E593" s="282"/>
      <c r="F593" s="282"/>
    </row>
    <row r="594" spans="1:7" ht="13.2">
      <c r="A594" s="415"/>
      <c r="B594" s="924" t="s">
        <v>135</v>
      </c>
      <c r="C594" s="299"/>
      <c r="D594" s="1622" t="s">
        <v>1985</v>
      </c>
      <c r="E594" s="1566"/>
      <c r="F594" s="1566"/>
      <c r="G594" s="288"/>
    </row>
    <row r="595" spans="1:7" ht="13.2">
      <c r="A595" s="415"/>
      <c r="B595" s="415"/>
      <c r="C595" s="299"/>
      <c r="D595" s="282"/>
      <c r="E595" s="282"/>
      <c r="F595" s="282"/>
      <c r="G595" s="288"/>
    </row>
    <row r="596" spans="1:7" ht="13.2">
      <c r="A596" s="355"/>
      <c r="B596" s="355"/>
      <c r="C596" s="322"/>
      <c r="D596" s="933"/>
      <c r="E596" s="933"/>
      <c r="F596" s="933"/>
    </row>
    <row r="597" spans="1:7" ht="13.2">
      <c r="A597" s="1603" t="s">
        <v>1515</v>
      </c>
      <c r="B597" s="1603"/>
      <c r="C597" s="1603"/>
      <c r="D597" s="1603"/>
      <c r="E597" s="1603"/>
      <c r="F597" s="1603"/>
      <c r="G597" s="1603"/>
    </row>
    <row r="598" spans="1:7" ht="13.2">
      <c r="A598" s="355"/>
      <c r="B598" s="355"/>
      <c r="C598" s="322"/>
      <c r="D598" s="282"/>
      <c r="E598" s="282"/>
      <c r="F598" s="282"/>
    </row>
    <row r="599" spans="1:7" ht="13.2">
      <c r="A599" s="140"/>
      <c r="B599" s="140"/>
      <c r="C599" s="298"/>
      <c r="D599" s="1575" t="s">
        <v>181</v>
      </c>
      <c r="E599" s="1575"/>
      <c r="F599" s="1575"/>
      <c r="G599" s="288"/>
    </row>
    <row r="600" spans="1:7" ht="13.2">
      <c r="A600" s="140"/>
      <c r="B600" s="140"/>
      <c r="C600" s="298"/>
      <c r="D600" s="1588" t="s">
        <v>1570</v>
      </c>
      <c r="E600" s="1588"/>
      <c r="F600" s="1588"/>
      <c r="G600" s="288"/>
    </row>
    <row r="601" spans="1:7" ht="13.2">
      <c r="A601" s="140"/>
      <c r="B601" s="140"/>
      <c r="C601" s="298"/>
      <c r="D601" s="575"/>
      <c r="E601" s="282"/>
      <c r="F601" s="282"/>
      <c r="G601" s="288"/>
    </row>
    <row r="602" spans="1:7" ht="14.4">
      <c r="A602" s="413"/>
      <c r="B602" s="924" t="s">
        <v>1498</v>
      </c>
      <c r="C602" s="14"/>
      <c r="D602" s="1588" t="s">
        <v>1202</v>
      </c>
      <c r="E602" s="1588"/>
      <c r="F602" s="1588"/>
      <c r="G602" s="288"/>
    </row>
    <row r="603" spans="1:7" ht="13.2">
      <c r="A603" s="33"/>
      <c r="B603" s="33"/>
      <c r="C603" s="14"/>
      <c r="D603" s="579"/>
      <c r="E603" s="282"/>
      <c r="F603" s="282"/>
      <c r="G603" s="288"/>
    </row>
    <row r="604" spans="1:7" ht="14.4" customHeight="1">
      <c r="A604" s="413"/>
      <c r="B604" s="924" t="s">
        <v>1498</v>
      </c>
      <c r="C604" s="14"/>
      <c r="D604" s="1558" t="s">
        <v>1572</v>
      </c>
      <c r="E604" s="1558"/>
      <c r="F604" s="1558"/>
      <c r="G604" s="288"/>
    </row>
    <row r="605" spans="1:7" ht="14.4" customHeight="1">
      <c r="A605" s="413"/>
      <c r="B605" s="413"/>
      <c r="C605" s="14"/>
      <c r="D605" s="1558"/>
      <c r="E605" s="1558"/>
      <c r="F605" s="1558"/>
      <c r="G605" s="288"/>
    </row>
    <row r="606" spans="1:7" ht="14.4">
      <c r="A606" s="413"/>
      <c r="B606" s="413"/>
      <c r="C606" s="14"/>
      <c r="D606" s="1558"/>
      <c r="E606" s="1558"/>
      <c r="F606" s="1558"/>
      <c r="G606" s="288"/>
    </row>
    <row r="607" spans="1:7" ht="14.4">
      <c r="A607" s="413"/>
      <c r="B607" s="413"/>
      <c r="C607" s="14"/>
      <c r="D607" s="932"/>
      <c r="E607" s="932"/>
      <c r="F607" s="932"/>
      <c r="G607" s="288"/>
    </row>
    <row r="608" spans="1:7" ht="14.4">
      <c r="A608" s="413"/>
      <c r="B608" s="924" t="s">
        <v>135</v>
      </c>
      <c r="C608" s="14"/>
      <c r="D608" s="1558" t="s">
        <v>1571</v>
      </c>
      <c r="E608" s="1558"/>
      <c r="F608" s="1558"/>
      <c r="G608" s="288"/>
    </row>
    <row r="609" spans="1:7" ht="14.4">
      <c r="A609" s="413"/>
      <c r="B609" s="413"/>
      <c r="C609" s="14"/>
      <c r="D609" s="1558"/>
      <c r="E609" s="1558"/>
      <c r="F609" s="1558"/>
      <c r="G609" s="288"/>
    </row>
    <row r="610" spans="1:7" ht="14.4">
      <c r="A610" s="413"/>
      <c r="B610" s="413"/>
      <c r="C610" s="14"/>
      <c r="D610" s="1558"/>
      <c r="E610" s="1558"/>
      <c r="F610" s="1558"/>
      <c r="G610" s="288"/>
    </row>
    <row r="611" spans="1:7" ht="14.4">
      <c r="A611" s="413"/>
      <c r="B611" s="413"/>
      <c r="C611" s="14"/>
      <c r="D611" s="1558"/>
      <c r="E611" s="1558"/>
      <c r="F611" s="1558"/>
      <c r="G611" s="288"/>
    </row>
    <row r="612" spans="1:7" ht="14.4">
      <c r="A612" s="413"/>
      <c r="B612" s="413"/>
      <c r="C612" s="14"/>
      <c r="D612" s="575"/>
      <c r="E612" s="282"/>
      <c r="F612" s="282"/>
      <c r="G612" s="288"/>
    </row>
    <row r="613" spans="1:7" ht="14.4">
      <c r="A613" s="552"/>
      <c r="B613" s="924" t="s">
        <v>1498</v>
      </c>
      <c r="D613" s="1558" t="s">
        <v>1573</v>
      </c>
      <c r="E613" s="1558"/>
      <c r="F613" s="1558"/>
      <c r="G613" s="288"/>
    </row>
    <row r="614" spans="1:7" ht="14.4">
      <c r="A614" s="552"/>
      <c r="B614" s="552"/>
      <c r="D614" s="1558"/>
      <c r="E614" s="1558"/>
      <c r="F614" s="1558"/>
      <c r="G614" s="288"/>
    </row>
    <row r="615" spans="1:7" ht="14.4">
      <c r="A615" s="413"/>
      <c r="B615" s="413"/>
      <c r="C615" s="14"/>
      <c r="D615" s="575"/>
      <c r="E615" s="282"/>
      <c r="F615" s="282"/>
      <c r="G615" s="288"/>
    </row>
    <row r="616" spans="1:7" ht="14.4" customHeight="1">
      <c r="A616" s="413"/>
      <c r="B616" s="924" t="s">
        <v>135</v>
      </c>
      <c r="C616" s="14"/>
      <c r="D616" s="1588" t="s">
        <v>1578</v>
      </c>
      <c r="E616" s="1588"/>
      <c r="F616" s="1588"/>
      <c r="G616" s="288"/>
    </row>
    <row r="617" spans="1:7" ht="14.4">
      <c r="A617" s="413"/>
      <c r="B617" s="413"/>
      <c r="C617" s="14"/>
      <c r="D617" s="1588"/>
      <c r="E617" s="1588"/>
      <c r="F617" s="1588"/>
      <c r="G617" s="288"/>
    </row>
    <row r="618" spans="1:7" ht="14.4">
      <c r="A618" s="413"/>
      <c r="B618" s="413"/>
      <c r="C618" s="14"/>
      <c r="D618" s="575"/>
      <c r="E618" s="282"/>
      <c r="F618" s="282"/>
      <c r="G618" s="288"/>
    </row>
    <row r="619" spans="1:7" ht="14.4">
      <c r="A619" s="413"/>
      <c r="B619" s="924" t="s">
        <v>1498</v>
      </c>
      <c r="C619" s="14"/>
      <c r="D619" s="1588" t="s">
        <v>1203</v>
      </c>
      <c r="E619" s="1588"/>
      <c r="F619" s="1588"/>
      <c r="G619" s="288"/>
    </row>
    <row r="620" spans="1:7" ht="13.2">
      <c r="A620" s="33"/>
      <c r="B620" s="33"/>
      <c r="C620" s="14"/>
      <c r="D620" s="282"/>
      <c r="E620" s="282"/>
      <c r="F620" s="282"/>
      <c r="G620" s="288"/>
    </row>
    <row r="621" spans="1:7" ht="13.2">
      <c r="A621" s="1603" t="s">
        <v>1517</v>
      </c>
      <c r="B621" s="1603"/>
      <c r="C621" s="1603"/>
      <c r="D621" s="1603"/>
      <c r="E621" s="1603"/>
      <c r="F621" s="1603"/>
      <c r="G621" s="1603"/>
    </row>
    <row r="622" spans="1:7" ht="13.2">
      <c r="A622" s="107"/>
      <c r="B622" s="107"/>
      <c r="C622" s="302"/>
      <c r="D622" s="283"/>
      <c r="E622" s="283"/>
      <c r="F622" s="283"/>
      <c r="G622" s="288"/>
    </row>
    <row r="623" spans="1:7" ht="13.2">
      <c r="A623" s="140"/>
      <c r="B623" s="140"/>
      <c r="C623" s="299"/>
      <c r="D623" s="1598" t="s">
        <v>1516</v>
      </c>
      <c r="E623" s="1598"/>
      <c r="F623" s="1598"/>
    </row>
    <row r="624" spans="1:7" ht="13.2">
      <c r="A624" s="140"/>
      <c r="B624" s="140"/>
      <c r="C624" s="299"/>
      <c r="D624" s="1566" t="s">
        <v>1545</v>
      </c>
      <c r="E624" s="1566"/>
      <c r="F624" s="1566"/>
    </row>
    <row r="625" spans="1:7" ht="13.2">
      <c r="A625" s="958"/>
      <c r="B625" s="958"/>
      <c r="C625" s="299"/>
      <c r="D625" s="956"/>
      <c r="E625" s="956"/>
      <c r="F625" s="956"/>
    </row>
    <row r="626" spans="1:7" ht="14.25" customHeight="1">
      <c r="A626" s="552"/>
      <c r="B626" s="924" t="s">
        <v>1498</v>
      </c>
      <c r="D626" s="1648" t="s">
        <v>2318</v>
      </c>
      <c r="E626" s="1649"/>
      <c r="F626" s="1649"/>
    </row>
    <row r="627" spans="1:7" ht="13.2">
      <c r="A627" s="140"/>
      <c r="B627" s="140"/>
      <c r="C627" s="14"/>
      <c r="D627" s="1649"/>
      <c r="E627" s="1649"/>
      <c r="F627" s="1649"/>
    </row>
    <row r="628" spans="1:7" ht="13.2">
      <c r="A628" s="140"/>
      <c r="B628" s="140"/>
      <c r="C628" s="14"/>
      <c r="D628" s="1512"/>
      <c r="E628" s="1505" t="s">
        <v>2317</v>
      </c>
      <c r="F628" s="1512"/>
    </row>
    <row r="629" spans="1:7" ht="13.2">
      <c r="A629" s="107"/>
      <c r="B629" s="107"/>
      <c r="C629" s="302"/>
      <c r="D629" s="283"/>
      <c r="E629" s="283"/>
      <c r="F629" s="283"/>
      <c r="G629" s="288"/>
    </row>
    <row r="630" spans="1:7" ht="12" customHeight="1">
      <c r="A630" s="1603" t="s">
        <v>1519</v>
      </c>
      <c r="B630" s="1603"/>
      <c r="C630" s="1603"/>
      <c r="D630" s="1603"/>
      <c r="E630" s="1603"/>
      <c r="F630" s="1603"/>
      <c r="G630" s="1603"/>
    </row>
    <row r="631" spans="1:7" ht="13.2">
      <c r="A631" s="143"/>
      <c r="B631" s="143"/>
      <c r="C631" s="14"/>
      <c r="D631" s="282"/>
      <c r="E631" s="282"/>
      <c r="F631" s="282"/>
      <c r="G631" s="288"/>
    </row>
    <row r="632" spans="1:7" ht="13.2">
      <c r="A632" s="140"/>
      <c r="B632" s="140"/>
      <c r="C632" s="303"/>
      <c r="D632" s="1551" t="s">
        <v>1518</v>
      </c>
      <c r="E632" s="1551"/>
      <c r="F632" s="1551"/>
      <c r="G632" s="288"/>
    </row>
    <row r="633" spans="1:7" ht="13.2">
      <c r="A633" s="415"/>
      <c r="B633" s="415"/>
      <c r="C633" s="299"/>
      <c r="D633" s="1550" t="s">
        <v>1697</v>
      </c>
      <c r="E633" s="1550"/>
      <c r="F633" s="1550"/>
      <c r="G633" s="288"/>
    </row>
    <row r="634" spans="1:7" ht="13.2">
      <c r="A634" s="415"/>
      <c r="B634" s="415"/>
      <c r="C634" s="299"/>
      <c r="D634" s="282"/>
      <c r="E634" s="282"/>
      <c r="F634" s="282"/>
      <c r="G634" s="288"/>
    </row>
    <row r="635" spans="1:7" ht="14.4">
      <c r="A635" s="413"/>
      <c r="B635" s="413"/>
      <c r="C635" s="14"/>
      <c r="D635" s="1598" t="s">
        <v>948</v>
      </c>
      <c r="E635" s="1598"/>
      <c r="F635" s="1598"/>
      <c r="G635" s="288"/>
    </row>
    <row r="636" spans="1:7" ht="14.4">
      <c r="A636" s="413"/>
      <c r="B636" s="924" t="s">
        <v>1498</v>
      </c>
      <c r="C636" s="14"/>
      <c r="D636" s="1566" t="s">
        <v>1698</v>
      </c>
      <c r="E636" s="1566"/>
      <c r="F636" s="1566"/>
      <c r="G636" s="288"/>
    </row>
    <row r="637" spans="1:7" ht="14.4">
      <c r="A637" s="413"/>
      <c r="B637" s="413"/>
      <c r="C637" s="14"/>
      <c r="D637" s="287"/>
      <c r="E637" s="282"/>
      <c r="F637" s="282"/>
      <c r="G637" s="288"/>
    </row>
    <row r="638" spans="1:7" ht="14.4">
      <c r="A638" s="413"/>
      <c r="B638" s="924" t="s">
        <v>135</v>
      </c>
      <c r="C638" s="14"/>
      <c r="D638" s="1547" t="s">
        <v>1699</v>
      </c>
      <c r="E638" s="1547"/>
      <c r="F638" s="1547"/>
      <c r="G638" s="288"/>
    </row>
    <row r="639" spans="1:7" ht="14.4">
      <c r="A639" s="413"/>
      <c r="B639" s="413"/>
      <c r="C639" s="14"/>
      <c r="D639" s="1547"/>
      <c r="E639" s="1547"/>
      <c r="F639" s="1547"/>
      <c r="G639" s="288"/>
    </row>
    <row r="640" spans="1:7" ht="14.4">
      <c r="A640" s="413"/>
      <c r="B640" s="413"/>
      <c r="C640" s="14"/>
      <c r="D640" s="287"/>
      <c r="E640" s="282"/>
      <c r="F640" s="282"/>
      <c r="G640" s="288"/>
    </row>
    <row r="641" spans="1:7" ht="14.4">
      <c r="A641" s="552"/>
      <c r="B641" s="924" t="s">
        <v>1498</v>
      </c>
      <c r="D641" s="1555" t="s">
        <v>2123</v>
      </c>
      <c r="E641" s="1555"/>
      <c r="F641" s="1555"/>
      <c r="G641" s="288"/>
    </row>
    <row r="642" spans="1:7" ht="13.65" customHeight="1">
      <c r="D642" s="1555"/>
      <c r="E642" s="1555"/>
      <c r="F642" s="1555"/>
    </row>
    <row r="643" spans="1:7" ht="13.2">
      <c r="A643" s="140"/>
      <c r="B643" s="140"/>
      <c r="C643" s="14"/>
      <c r="D643" s="282"/>
      <c r="E643" s="282"/>
      <c r="F643" s="282"/>
      <c r="G643" s="288"/>
    </row>
    <row r="644" spans="1:7" ht="14.4">
      <c r="A644" s="413"/>
      <c r="B644" s="924" t="s">
        <v>135</v>
      </c>
      <c r="C644" s="14"/>
      <c r="D644" s="1566" t="s">
        <v>1700</v>
      </c>
      <c r="E644" s="1566"/>
      <c r="F644" s="1566"/>
      <c r="G644" s="288"/>
    </row>
    <row r="645" spans="1:7" ht="13.2">
      <c r="A645" s="418"/>
      <c r="B645" s="418"/>
      <c r="C645" s="303"/>
      <c r="D645" s="282"/>
      <c r="E645" s="282"/>
      <c r="F645" s="282"/>
      <c r="G645" s="288"/>
    </row>
    <row r="646" spans="1:7" ht="13.2">
      <c r="A646" s="1603" t="s">
        <v>1520</v>
      </c>
      <c r="B646" s="1603"/>
      <c r="C646" s="1603"/>
      <c r="D646" s="1603"/>
      <c r="E646" s="1603"/>
      <c r="F646" s="1603"/>
      <c r="G646" s="1603"/>
    </row>
    <row r="647" spans="1:7" ht="13.2">
      <c r="A647" s="418"/>
      <c r="B647" s="418"/>
      <c r="C647" s="303"/>
      <c r="D647" s="282"/>
      <c r="E647" s="282"/>
      <c r="F647" s="282"/>
      <c r="G647" s="288"/>
    </row>
    <row r="648" spans="1:7" ht="13.2">
      <c r="A648" s="140"/>
      <c r="B648" s="140"/>
      <c r="C648" s="320"/>
      <c r="D648" s="1577" t="s">
        <v>1546</v>
      </c>
      <c r="E648" s="1577"/>
      <c r="F648" s="1577"/>
      <c r="G648" s="288"/>
    </row>
    <row r="649" spans="1:7" ht="13.2">
      <c r="A649" s="33"/>
      <c r="B649" s="33"/>
      <c r="C649" s="302"/>
      <c r="D649" s="6"/>
      <c r="E649" s="283"/>
      <c r="F649" s="283"/>
      <c r="G649" s="288"/>
    </row>
    <row r="650" spans="1:7" ht="14.25" customHeight="1">
      <c r="A650" s="413"/>
      <c r="B650" s="924" t="s">
        <v>1498</v>
      </c>
      <c r="C650" s="302"/>
      <c r="D650" s="1650" t="s">
        <v>2319</v>
      </c>
      <c r="E650" s="1650"/>
      <c r="F650" s="1650"/>
      <c r="G650" s="288"/>
    </row>
    <row r="651" spans="1:7" ht="14.4">
      <c r="A651" s="413"/>
      <c r="B651" s="413"/>
      <c r="C651" s="302"/>
      <c r="D651" s="1650"/>
      <c r="E651" s="1650"/>
      <c r="F651" s="1650"/>
      <c r="G651" s="288"/>
    </row>
    <row r="652" spans="1:7" ht="13.2">
      <c r="A652" s="140"/>
      <c r="B652" s="140"/>
      <c r="C652" s="302"/>
      <c r="D652" s="1513"/>
      <c r="E652" s="1505" t="s">
        <v>2321</v>
      </c>
      <c r="F652" s="1513"/>
      <c r="G652" s="288"/>
    </row>
    <row r="653" spans="1:7" ht="13.2">
      <c r="A653" s="140"/>
      <c r="B653" s="140"/>
      <c r="C653" s="302"/>
      <c r="D653" s="1546" t="s">
        <v>2320</v>
      </c>
      <c r="E653" s="1546"/>
      <c r="F653" s="1546"/>
      <c r="G653" s="288"/>
    </row>
    <row r="654" spans="1:7" ht="12.75" customHeight="1">
      <c r="A654" s="140"/>
      <c r="B654" s="140"/>
      <c r="C654" s="302"/>
      <c r="D654" s="1546"/>
      <c r="E654" s="1546"/>
      <c r="F654" s="1546"/>
      <c r="G654" s="288"/>
    </row>
    <row r="655" spans="1:7" ht="13.2">
      <c r="A655" s="140"/>
      <c r="B655" s="2"/>
      <c r="C655" s="302"/>
      <c r="D655" s="1546"/>
      <c r="E655" s="1546"/>
      <c r="F655" s="1546"/>
      <c r="G655" s="288"/>
    </row>
    <row r="656" spans="1:7" ht="13.2">
      <c r="A656" s="140"/>
      <c r="B656" s="1002"/>
      <c r="C656" s="302"/>
      <c r="D656" s="282"/>
      <c r="E656" s="283"/>
      <c r="F656" s="283"/>
      <c r="G656" s="288"/>
    </row>
    <row r="657" spans="1:9" ht="14.4">
      <c r="A657" s="468"/>
      <c r="B657" s="924" t="s">
        <v>135</v>
      </c>
      <c r="C657" s="302"/>
      <c r="D657" s="1578" t="s">
        <v>1701</v>
      </c>
      <c r="E657" s="1578"/>
      <c r="F657" s="1578"/>
      <c r="G657" s="284"/>
    </row>
    <row r="658" spans="1:9" ht="14.4">
      <c r="A658" s="468"/>
      <c r="B658" s="468"/>
      <c r="C658" s="302"/>
      <c r="D658" s="1578"/>
      <c r="E658" s="1578"/>
      <c r="F658" s="1578"/>
      <c r="G658" s="284"/>
    </row>
    <row r="659" spans="1:9" ht="14.4">
      <c r="A659" s="468"/>
      <c r="B659" s="468"/>
      <c r="C659" s="302"/>
      <c r="D659" s="287"/>
      <c r="E659" s="286"/>
      <c r="F659" s="286"/>
      <c r="G659" s="284"/>
    </row>
    <row r="660" spans="1:9" ht="13.65" customHeight="1">
      <c r="A660" s="468"/>
      <c r="B660" s="924" t="s">
        <v>135</v>
      </c>
      <c r="C660" s="302"/>
      <c r="D660" s="1580" t="s">
        <v>1986</v>
      </c>
      <c r="E660" s="1580"/>
      <c r="F660" s="1580"/>
      <c r="G660" s="284"/>
    </row>
    <row r="661" spans="1:9" ht="14.4">
      <c r="A661" s="468"/>
      <c r="B661" s="468"/>
      <c r="C661" s="302"/>
      <c r="D661" s="1580"/>
      <c r="E661" s="1580"/>
      <c r="F661" s="1580"/>
      <c r="G661" s="284"/>
    </row>
    <row r="662" spans="1:9" ht="14.4">
      <c r="A662" s="552"/>
      <c r="B662" s="552"/>
      <c r="C662" s="285"/>
      <c r="D662" s="962"/>
      <c r="E662" s="962"/>
      <c r="F662" s="962"/>
      <c r="G662" s="284"/>
    </row>
    <row r="663" spans="1:9" ht="14.4">
      <c r="A663" s="413"/>
      <c r="B663" s="924" t="s">
        <v>135</v>
      </c>
      <c r="C663" s="322"/>
      <c r="D663" s="1579" t="s">
        <v>1702</v>
      </c>
      <c r="E663" s="1579"/>
      <c r="F663" s="1579"/>
      <c r="G663" s="284"/>
    </row>
    <row r="664" spans="1:9" ht="13.2">
      <c r="A664" s="143"/>
      <c r="B664" s="143"/>
      <c r="C664" s="322"/>
      <c r="D664" s="286"/>
      <c r="E664" s="286"/>
      <c r="F664" s="286"/>
      <c r="G664" s="284"/>
      <c r="H664" s="404"/>
      <c r="I664" s="404"/>
    </row>
    <row r="665" spans="1:9" ht="13.2">
      <c r="A665" s="1603" t="s">
        <v>1522</v>
      </c>
      <c r="B665" s="1603"/>
      <c r="C665" s="1603"/>
      <c r="D665" s="1603"/>
      <c r="E665" s="1603"/>
      <c r="F665" s="1603"/>
      <c r="G665" s="1603"/>
    </row>
    <row r="666" spans="1:9" ht="13.2">
      <c r="A666" s="143"/>
      <c r="B666" s="143"/>
      <c r="C666" s="322"/>
      <c r="D666" s="286"/>
      <c r="E666" s="286"/>
      <c r="F666" s="286"/>
      <c r="G666" s="284"/>
    </row>
    <row r="667" spans="1:9" ht="13.2">
      <c r="A667" s="140"/>
      <c r="B667" s="140"/>
      <c r="C667" s="303"/>
      <c r="D667" s="1581" t="s">
        <v>1521</v>
      </c>
      <c r="E667" s="1581"/>
      <c r="F667" s="1581"/>
      <c r="G667" s="284"/>
    </row>
    <row r="668" spans="1:9" ht="13.2">
      <c r="A668" s="415"/>
      <c r="B668" s="415"/>
      <c r="C668" s="299"/>
      <c r="D668" s="1582" t="s">
        <v>1547</v>
      </c>
      <c r="E668" s="1582"/>
      <c r="F668" s="1582"/>
      <c r="G668" s="284"/>
    </row>
    <row r="669" spans="1:9" ht="13.2">
      <c r="A669" s="415"/>
      <c r="B669" s="415"/>
      <c r="C669" s="299"/>
      <c r="D669" s="968"/>
      <c r="E669" s="968"/>
      <c r="F669" s="968"/>
      <c r="G669" s="284"/>
    </row>
    <row r="670" spans="1:9" ht="14.4" customHeight="1">
      <c r="A670" s="413"/>
      <c r="B670" s="924" t="s">
        <v>1498</v>
      </c>
      <c r="C670" s="322"/>
      <c r="D670" s="1519" t="s">
        <v>2071</v>
      </c>
      <c r="E670" s="1519"/>
      <c r="F670" s="1519"/>
      <c r="G670" s="284"/>
    </row>
    <row r="671" spans="1:9" ht="14.4">
      <c r="A671" s="413"/>
      <c r="B671" s="413"/>
      <c r="C671" s="322"/>
      <c r="D671" s="1519"/>
      <c r="E671" s="1519"/>
      <c r="F671" s="1519"/>
      <c r="G671" s="284"/>
    </row>
    <row r="672" spans="1:9" ht="14.4">
      <c r="A672" s="413"/>
      <c r="B672" s="413"/>
      <c r="C672" s="322"/>
      <c r="D672" s="1519"/>
      <c r="E672" s="1519"/>
      <c r="F672" s="1519"/>
      <c r="G672" s="284"/>
    </row>
    <row r="673" spans="1:7" ht="14.4">
      <c r="A673" s="413"/>
      <c r="B673" s="413"/>
      <c r="C673" s="322"/>
      <c r="D673" s="1519"/>
      <c r="E673" s="1519"/>
      <c r="F673" s="1519"/>
      <c r="G673" s="284"/>
    </row>
    <row r="674" spans="1:7" ht="14.4">
      <c r="A674" s="413"/>
      <c r="B674" s="413"/>
      <c r="C674" s="322"/>
      <c r="D674" s="1519"/>
      <c r="E674" s="1519"/>
      <c r="F674" s="1519"/>
      <c r="G674" s="284"/>
    </row>
    <row r="675" spans="1:7" ht="14.4">
      <c r="A675" s="413"/>
      <c r="B675" s="413"/>
      <c r="C675" s="322"/>
      <c r="D675" s="1519"/>
      <c r="E675" s="1519"/>
      <c r="F675" s="1519"/>
      <c r="G675" s="284"/>
    </row>
    <row r="676" spans="1:7" ht="14.4" hidden="1">
      <c r="A676" s="552"/>
      <c r="B676" s="552"/>
      <c r="C676" s="405"/>
      <c r="D676" s="688"/>
      <c r="F676" s="284"/>
      <c r="G676" s="284"/>
    </row>
    <row r="677" spans="1:7" ht="14.4" hidden="1">
      <c r="A677" s="552"/>
      <c r="B677" s="924" t="s">
        <v>86</v>
      </c>
      <c r="C677" s="405"/>
      <c r="D677" s="1559" t="s">
        <v>1568</v>
      </c>
      <c r="E677" s="1559"/>
      <c r="F677" s="1559"/>
      <c r="G677" s="284"/>
    </row>
    <row r="678" spans="1:7" ht="14.4" hidden="1">
      <c r="A678" s="552"/>
      <c r="B678" s="552"/>
      <c r="C678" s="405"/>
      <c r="D678" s="1583" t="s">
        <v>1730</v>
      </c>
      <c r="E678" s="1583"/>
      <c r="F678" s="1583"/>
      <c r="G678" s="284"/>
    </row>
    <row r="679" spans="1:7" ht="14.4" hidden="1">
      <c r="A679" s="552"/>
      <c r="B679" s="552"/>
      <c r="C679" s="405"/>
      <c r="D679" s="1583"/>
      <c r="E679" s="1583"/>
      <c r="F679" s="1583"/>
      <c r="G679" s="284"/>
    </row>
    <row r="680" spans="1:7" ht="14.4" hidden="1">
      <c r="A680" s="552"/>
      <c r="B680" s="552"/>
      <c r="C680" s="405"/>
      <c r="D680" s="1583"/>
      <c r="E680" s="1583"/>
      <c r="F680" s="1583"/>
      <c r="G680" s="284"/>
    </row>
    <row r="681" spans="1:7" ht="14.4" hidden="1">
      <c r="A681" s="552"/>
      <c r="B681" s="552"/>
      <c r="C681" s="405"/>
      <c r="D681" s="1583"/>
      <c r="E681" s="1583"/>
      <c r="F681" s="1583"/>
      <c r="G681" s="284"/>
    </row>
    <row r="682" spans="1:7" ht="14.4" hidden="1">
      <c r="A682" s="552"/>
      <c r="B682" s="552"/>
      <c r="C682" s="405"/>
      <c r="D682" s="1583"/>
      <c r="E682" s="1583"/>
      <c r="F682" s="1583"/>
      <c r="G682" s="284"/>
    </row>
    <row r="683" spans="1:7" ht="14.4" hidden="1">
      <c r="A683" s="552"/>
      <c r="B683" s="552"/>
      <c r="C683" s="405"/>
      <c r="D683" s="1584" t="s">
        <v>2070</v>
      </c>
      <c r="E683" s="1584"/>
      <c r="F683" s="1584"/>
      <c r="G683" s="284"/>
    </row>
    <row r="684" spans="1:7" ht="13.2">
      <c r="A684" s="143"/>
      <c r="B684" s="143"/>
      <c r="C684" s="322"/>
      <c r="D684" s="286"/>
      <c r="E684" s="286"/>
      <c r="F684" s="286"/>
      <c r="G684" s="284"/>
    </row>
    <row r="685" spans="1:7" ht="13.2">
      <c r="A685" s="1603" t="s">
        <v>1523</v>
      </c>
      <c r="B685" s="1603"/>
      <c r="C685" s="1603"/>
      <c r="D685" s="1603"/>
      <c r="E685" s="1603"/>
      <c r="F685" s="1603"/>
      <c r="G685" s="1603"/>
    </row>
    <row r="686" spans="1:7" ht="13.2">
      <c r="A686" s="143"/>
      <c r="B686" s="143"/>
      <c r="C686" s="322"/>
      <c r="D686" s="286"/>
      <c r="E686" s="286"/>
      <c r="F686" s="286"/>
      <c r="G686" s="284"/>
    </row>
    <row r="687" spans="1:7" ht="13.2">
      <c r="A687" s="140"/>
      <c r="B687" s="140"/>
      <c r="C687" s="303"/>
      <c r="D687" s="1551" t="s">
        <v>848</v>
      </c>
      <c r="E687" s="1551"/>
      <c r="F687" s="1551"/>
      <c r="G687" s="284"/>
    </row>
    <row r="688" spans="1:7" ht="13.2">
      <c r="A688" s="418"/>
      <c r="B688" s="418"/>
      <c r="C688" s="303"/>
      <c r="D688" s="1551" t="s">
        <v>949</v>
      </c>
      <c r="E688" s="1551"/>
      <c r="F688" s="1551"/>
      <c r="G688" s="284"/>
    </row>
    <row r="689" spans="1:7" ht="13.2">
      <c r="A689" s="415"/>
      <c r="B689" s="415"/>
      <c r="C689" s="299"/>
      <c r="D689" s="1550" t="s">
        <v>1662</v>
      </c>
      <c r="E689" s="1550"/>
      <c r="F689" s="1550"/>
      <c r="G689" s="288"/>
    </row>
    <row r="690" spans="1:7" ht="14.25" customHeight="1">
      <c r="A690" s="415"/>
      <c r="B690" s="415"/>
      <c r="C690" s="299"/>
      <c r="D690" s="282"/>
      <c r="E690" s="282"/>
      <c r="F690" s="282"/>
      <c r="G690" s="288"/>
    </row>
    <row r="691" spans="1:7" ht="14.4">
      <c r="A691" s="413"/>
      <c r="B691" s="924" t="s">
        <v>1498</v>
      </c>
      <c r="C691" s="299"/>
      <c r="D691" s="1550" t="s">
        <v>1204</v>
      </c>
      <c r="E691" s="1550"/>
      <c r="F691" s="1550"/>
      <c r="G691" s="288"/>
    </row>
    <row r="692" spans="1:7" ht="13.2">
      <c r="A692" s="415"/>
      <c r="B692" s="415"/>
      <c r="C692" s="299"/>
      <c r="D692" s="1550" t="s">
        <v>1225</v>
      </c>
      <c r="E692" s="1550"/>
      <c r="F692" s="1550"/>
      <c r="G692" s="288"/>
    </row>
    <row r="693" spans="1:7" ht="12.75" customHeight="1">
      <c r="A693" s="415"/>
      <c r="B693" s="415"/>
      <c r="C693" s="299"/>
      <c r="D693" s="282"/>
      <c r="E693" s="1505" t="s">
        <v>2323</v>
      </c>
      <c r="F693" s="22"/>
      <c r="G693" s="288"/>
    </row>
    <row r="694" spans="1:7" ht="13.2">
      <c r="A694" s="415"/>
      <c r="B694" s="415"/>
      <c r="C694" s="299"/>
      <c r="D694" s="282"/>
      <c r="E694" s="1514" t="s">
        <v>2322</v>
      </c>
      <c r="F694" s="22"/>
      <c r="G694" s="288"/>
    </row>
    <row r="695" spans="1:7" ht="13.2">
      <c r="A695" s="415"/>
      <c r="B695" s="415"/>
      <c r="C695" s="299"/>
      <c r="D695" s="332"/>
      <c r="E695" s="332"/>
      <c r="F695" s="332"/>
      <c r="G695" s="288"/>
    </row>
    <row r="696" spans="1:7" ht="14.4">
      <c r="A696" s="413"/>
      <c r="B696" s="924" t="s">
        <v>1498</v>
      </c>
      <c r="C696" s="299"/>
      <c r="D696" s="1547" t="s">
        <v>1664</v>
      </c>
      <c r="E696" s="1547"/>
      <c r="F696" s="1547"/>
      <c r="G696" s="288"/>
    </row>
    <row r="697" spans="1:7" ht="13.2">
      <c r="A697" s="33"/>
      <c r="B697" s="33"/>
      <c r="C697" s="299"/>
      <c r="D697" s="1547"/>
      <c r="E697" s="1547"/>
      <c r="F697" s="1547"/>
      <c r="G697" s="288"/>
    </row>
    <row r="698" spans="1:7" ht="13.2">
      <c r="A698" s="415"/>
      <c r="B698" s="415"/>
      <c r="C698" s="299"/>
      <c r="D698" s="1547"/>
      <c r="E698" s="1547"/>
      <c r="F698" s="1547"/>
      <c r="G698" s="288"/>
    </row>
    <row r="699" spans="1:7" ht="13.2">
      <c r="A699" s="415"/>
      <c r="B699" s="415"/>
      <c r="C699" s="299"/>
      <c r="D699" s="282"/>
      <c r="E699" s="282"/>
      <c r="F699" s="282"/>
      <c r="G699" s="288"/>
    </row>
    <row r="700" spans="1:7" ht="14.4">
      <c r="A700" s="413"/>
      <c r="B700" s="924" t="s">
        <v>135</v>
      </c>
      <c r="C700" s="299"/>
      <c r="D700" s="1550" t="s">
        <v>1268</v>
      </c>
      <c r="E700" s="1550"/>
      <c r="F700" s="1550"/>
      <c r="G700" s="288"/>
    </row>
    <row r="701" spans="1:7" ht="14.4">
      <c r="A701" s="413"/>
      <c r="B701" s="413"/>
      <c r="C701" s="299"/>
      <c r="D701" s="1550" t="s">
        <v>1225</v>
      </c>
      <c r="E701" s="1550"/>
      <c r="F701" s="1550"/>
      <c r="G701" s="288"/>
    </row>
    <row r="702" spans="1:7" ht="13.2">
      <c r="A702" s="415"/>
      <c r="B702" s="415"/>
      <c r="C702" s="299"/>
      <c r="D702" s="282"/>
      <c r="E702" s="1591" t="s">
        <v>2324</v>
      </c>
      <c r="F702" s="1591"/>
      <c r="G702" s="288"/>
    </row>
    <row r="703" spans="1:7" ht="13.2">
      <c r="A703" s="415"/>
      <c r="B703" s="415"/>
      <c r="C703" s="299"/>
      <c r="D703" s="6"/>
      <c r="E703" s="282"/>
      <c r="F703" s="282"/>
      <c r="G703" s="288"/>
    </row>
    <row r="704" spans="1:7" ht="14.4">
      <c r="A704" s="413"/>
      <c r="B704" s="924" t="s">
        <v>1498</v>
      </c>
      <c r="C704" s="299"/>
      <c r="D704" s="1585" t="s">
        <v>1665</v>
      </c>
      <c r="E704" s="1585"/>
      <c r="F704" s="1585"/>
      <c r="G704" s="288"/>
    </row>
    <row r="705" spans="1:7" ht="13.2">
      <c r="A705" s="415"/>
      <c r="B705" s="415"/>
      <c r="C705" s="299"/>
      <c r="D705" s="1585"/>
      <c r="E705" s="1585"/>
      <c r="F705" s="1585"/>
      <c r="G705" s="288"/>
    </row>
    <row r="706" spans="1:7" ht="13.2">
      <c r="A706" s="415"/>
      <c r="B706" s="415"/>
      <c r="C706" s="299"/>
      <c r="D706" s="1585"/>
      <c r="E706" s="1585"/>
      <c r="F706" s="1585"/>
      <c r="G706" s="288"/>
    </row>
    <row r="707" spans="1:7" ht="13.2">
      <c r="A707" s="415"/>
      <c r="B707" s="415"/>
      <c r="C707" s="299"/>
      <c r="D707" s="1585"/>
      <c r="E707" s="1585"/>
      <c r="F707" s="1585"/>
      <c r="G707" s="288"/>
    </row>
    <row r="708" spans="1:7" ht="13.2">
      <c r="A708" s="415"/>
      <c r="B708" s="415"/>
      <c r="C708" s="299"/>
      <c r="D708" s="1585"/>
      <c r="E708" s="1585"/>
      <c r="F708" s="1585"/>
      <c r="G708" s="288"/>
    </row>
    <row r="709" spans="1:7" ht="13.2">
      <c r="A709" s="415"/>
      <c r="B709" s="415"/>
      <c r="C709" s="299"/>
      <c r="D709" s="1585"/>
      <c r="E709" s="1585"/>
      <c r="F709" s="1585"/>
      <c r="G709" s="288"/>
    </row>
    <row r="710" spans="1:7" ht="13.2">
      <c r="A710" s="415"/>
      <c r="B710" s="415"/>
      <c r="C710" s="299"/>
      <c r="D710" s="1585"/>
      <c r="E710" s="1585"/>
      <c r="F710" s="1585"/>
      <c r="G710" s="288"/>
    </row>
    <row r="711" spans="1:7" ht="13.2">
      <c r="A711" s="415"/>
      <c r="B711" s="924" t="s">
        <v>1498</v>
      </c>
      <c r="C711" s="299"/>
      <c r="D711" s="1586" t="s">
        <v>1896</v>
      </c>
      <c r="E711" s="1585"/>
      <c r="F711" s="1585"/>
      <c r="G711" s="288"/>
    </row>
    <row r="712" spans="1:7" ht="13.2">
      <c r="A712" s="415"/>
      <c r="B712" s="415"/>
      <c r="C712" s="299"/>
      <c r="D712" s="1585"/>
      <c r="E712" s="1585"/>
      <c r="F712" s="1585"/>
      <c r="G712" s="288"/>
    </row>
    <row r="713" spans="1:7" ht="13.2">
      <c r="A713" s="415"/>
      <c r="B713" s="415"/>
      <c r="C713" s="299"/>
      <c r="D713" s="136"/>
      <c r="E713" s="282"/>
      <c r="F713" s="282"/>
      <c r="G713" s="288"/>
    </row>
    <row r="714" spans="1:7" ht="14.4" customHeight="1">
      <c r="A714" s="413"/>
      <c r="B714" s="924" t="s">
        <v>135</v>
      </c>
      <c r="C714" s="299"/>
      <c r="D714" s="1585" t="s">
        <v>1666</v>
      </c>
      <c r="E714" s="1585"/>
      <c r="F714" s="1585"/>
      <c r="G714" s="288"/>
    </row>
    <row r="715" spans="1:7" ht="13.2">
      <c r="A715" s="415"/>
      <c r="B715" s="415"/>
      <c r="C715" s="299"/>
      <c r="D715" s="1585"/>
      <c r="E715" s="1585"/>
      <c r="F715" s="1585"/>
      <c r="G715" s="288"/>
    </row>
    <row r="716" spans="1:7" ht="13.2">
      <c r="A716" s="415"/>
      <c r="B716" s="415"/>
      <c r="C716" s="299"/>
      <c r="D716" s="1585"/>
      <c r="E716" s="1585"/>
      <c r="F716" s="1585"/>
      <c r="G716" s="288"/>
    </row>
    <row r="717" spans="1:7" ht="13.2">
      <c r="A717" s="415"/>
      <c r="B717" s="415"/>
      <c r="C717" s="299"/>
      <c r="D717" s="1585"/>
      <c r="E717" s="1585"/>
      <c r="F717" s="1585"/>
      <c r="G717" s="288"/>
    </row>
    <row r="718" spans="1:7" ht="13.2">
      <c r="A718" s="415"/>
      <c r="B718" s="415"/>
      <c r="C718" s="299"/>
      <c r="D718" s="1585"/>
      <c r="E718" s="1585"/>
      <c r="F718" s="1585"/>
      <c r="G718" s="288"/>
    </row>
    <row r="719" spans="1:7" ht="13.2">
      <c r="A719" s="415"/>
      <c r="B719" s="415"/>
      <c r="C719" s="299"/>
      <c r="D719" s="1585"/>
      <c r="E719" s="1585"/>
      <c r="F719" s="1585"/>
      <c r="G719" s="288"/>
    </row>
    <row r="720" spans="1:7" ht="13.2">
      <c r="A720" s="415"/>
      <c r="B720" s="415"/>
      <c r="C720" s="299"/>
      <c r="D720" s="1585"/>
      <c r="E720" s="1585"/>
      <c r="F720" s="1585"/>
      <c r="G720" s="288"/>
    </row>
    <row r="721" spans="1:9" ht="13.2">
      <c r="A721" s="415"/>
      <c r="B721" s="415"/>
      <c r="C721" s="299"/>
      <c r="D721" s="1585"/>
      <c r="E721" s="1585"/>
      <c r="F721" s="1585"/>
      <c r="G721" s="288"/>
    </row>
    <row r="722" spans="1:9" ht="13.2">
      <c r="A722" s="415"/>
      <c r="B722" s="415"/>
      <c r="C722" s="299"/>
      <c r="D722" s="1585"/>
      <c r="E722" s="1585"/>
      <c r="F722" s="1585"/>
      <c r="G722" s="288"/>
    </row>
    <row r="723" spans="1:9" ht="13.2">
      <c r="A723" s="415"/>
      <c r="B723" s="415"/>
      <c r="C723" s="299"/>
      <c r="D723" s="1585"/>
      <c r="E723" s="1585"/>
      <c r="F723" s="1585"/>
      <c r="G723" s="288"/>
    </row>
    <row r="724" spans="1:9" ht="13.2">
      <c r="A724" s="415"/>
      <c r="B724" s="415"/>
      <c r="C724" s="299"/>
      <c r="D724" s="1585"/>
      <c r="E724" s="1585"/>
      <c r="F724" s="1585"/>
      <c r="G724" s="288"/>
    </row>
    <row r="725" spans="1:9" ht="13.2">
      <c r="A725" s="415"/>
      <c r="B725" s="415"/>
      <c r="C725" s="299"/>
      <c r="D725" s="1585"/>
      <c r="E725" s="1585"/>
      <c r="F725" s="1585"/>
      <c r="G725" s="288"/>
    </row>
    <row r="726" spans="1:9" ht="13.2">
      <c r="A726" s="415"/>
      <c r="B726" s="415"/>
      <c r="C726" s="299"/>
      <c r="D726" s="1585"/>
      <c r="E726" s="1585"/>
      <c r="F726" s="1585"/>
      <c r="G726" s="288"/>
    </row>
    <row r="727" spans="1:9" s="50" customFormat="1" ht="13.2">
      <c r="A727" s="415"/>
      <c r="B727" s="924" t="s">
        <v>135</v>
      </c>
      <c r="C727" s="415"/>
      <c r="D727" s="1585" t="s">
        <v>1670</v>
      </c>
      <c r="E727" s="1585"/>
      <c r="F727" s="1585"/>
      <c r="G727" s="71"/>
      <c r="H727" s="860"/>
      <c r="I727" s="1060"/>
    </row>
    <row r="728" spans="1:9" s="50" customFormat="1" ht="13.2">
      <c r="A728" s="415"/>
      <c r="B728" s="415"/>
      <c r="C728" s="415"/>
      <c r="D728" s="1585"/>
      <c r="E728" s="1585"/>
      <c r="F728" s="1585"/>
      <c r="G728" s="71"/>
      <c r="H728" s="860"/>
      <c r="I728" s="1060"/>
    </row>
    <row r="729" spans="1:9" s="50" customFormat="1" ht="13.2">
      <c r="A729" s="415"/>
      <c r="B729" s="415"/>
      <c r="C729" s="415"/>
      <c r="D729" s="952"/>
      <c r="E729" s="952"/>
      <c r="F729" s="952"/>
      <c r="G729" s="71"/>
      <c r="H729" s="860"/>
      <c r="I729" s="1060"/>
    </row>
    <row r="730" spans="1:9" s="50" customFormat="1" ht="13.2">
      <c r="A730" s="415"/>
      <c r="B730" s="924" t="s">
        <v>135</v>
      </c>
      <c r="C730" s="415"/>
      <c r="D730" s="1585" t="s">
        <v>1671</v>
      </c>
      <c r="E730" s="1585"/>
      <c r="F730" s="1585"/>
      <c r="G730" s="71"/>
      <c r="H730" s="860"/>
      <c r="I730" s="1060"/>
    </row>
    <row r="731" spans="1:9" s="50" customFormat="1" ht="13.2">
      <c r="A731" s="415"/>
      <c r="B731" s="415"/>
      <c r="C731" s="415"/>
      <c r="D731" s="1585"/>
      <c r="E731" s="1585"/>
      <c r="F731" s="1585"/>
      <c r="G731" s="71"/>
      <c r="H731" s="860"/>
      <c r="I731" s="1060"/>
    </row>
    <row r="732" spans="1:9" s="50" customFormat="1" ht="13.2">
      <c r="A732" s="415"/>
      <c r="B732" s="415"/>
      <c r="C732" s="415"/>
      <c r="D732" s="1585"/>
      <c r="E732" s="1585"/>
      <c r="F732" s="1585"/>
      <c r="G732" s="71"/>
      <c r="H732" s="860"/>
      <c r="I732" s="1060"/>
    </row>
    <row r="733" spans="1:9" s="50" customFormat="1" ht="13.2">
      <c r="A733" s="415"/>
      <c r="B733" s="415"/>
      <c r="C733" s="415"/>
      <c r="D733" s="952"/>
      <c r="E733" s="952"/>
      <c r="F733" s="952"/>
      <c r="G733" s="71"/>
      <c r="H733" s="860"/>
      <c r="I733" s="1060"/>
    </row>
    <row r="734" spans="1:9" ht="14.4" customHeight="1">
      <c r="A734" s="413"/>
      <c r="B734" s="924" t="s">
        <v>135</v>
      </c>
      <c r="C734" s="299"/>
      <c r="D734" s="1586" t="s">
        <v>2124</v>
      </c>
      <c r="E734" s="1585"/>
      <c r="F734" s="1585"/>
      <c r="G734" s="288"/>
    </row>
    <row r="735" spans="1:9" ht="13.2">
      <c r="A735" s="415"/>
      <c r="B735" s="415"/>
      <c r="C735" s="299"/>
      <c r="D735" s="1585"/>
      <c r="E735" s="1585"/>
      <c r="F735" s="1585"/>
      <c r="G735" s="288"/>
    </row>
    <row r="736" spans="1:9" ht="13.2">
      <c r="A736" s="415"/>
      <c r="B736" s="415"/>
      <c r="C736" s="299"/>
      <c r="D736" s="1585"/>
      <c r="E736" s="1585"/>
      <c r="F736" s="1585"/>
      <c r="G736" s="288"/>
    </row>
    <row r="737" spans="1:9" ht="13.2">
      <c r="A737" s="415"/>
      <c r="B737" s="415"/>
      <c r="C737" s="299"/>
      <c r="D737" s="136"/>
      <c r="E737" s="282"/>
      <c r="F737" s="282"/>
      <c r="G737" s="288"/>
    </row>
    <row r="738" spans="1:9" ht="14.4" customHeight="1">
      <c r="A738" s="413"/>
      <c r="B738" s="924" t="s">
        <v>135</v>
      </c>
      <c r="C738" s="299"/>
      <c r="D738" s="1585" t="s">
        <v>1667</v>
      </c>
      <c r="E738" s="1585"/>
      <c r="F738" s="1585"/>
      <c r="G738" s="288"/>
    </row>
    <row r="739" spans="1:9" ht="13.2">
      <c r="A739" s="415"/>
      <c r="B739" s="415"/>
      <c r="C739" s="299"/>
      <c r="D739" s="1585"/>
      <c r="E739" s="1585"/>
      <c r="F739" s="1585"/>
      <c r="G739" s="288"/>
    </row>
    <row r="740" spans="1:9" ht="13.2">
      <c r="A740" s="415"/>
      <c r="B740" s="415"/>
      <c r="C740" s="299"/>
      <c r="D740" s="1585"/>
      <c r="E740" s="1585"/>
      <c r="F740" s="1585"/>
      <c r="G740" s="288"/>
    </row>
    <row r="741" spans="1:9" ht="13.2">
      <c r="A741" s="415"/>
      <c r="B741" s="415"/>
      <c r="C741" s="299"/>
      <c r="D741" s="332"/>
      <c r="E741" s="282"/>
      <c r="F741" s="282"/>
      <c r="G741" s="288"/>
      <c r="H741" s="404"/>
      <c r="I741" s="404"/>
    </row>
    <row r="742" spans="1:9" ht="14.4">
      <c r="A742" s="413"/>
      <c r="B742" s="924" t="s">
        <v>135</v>
      </c>
      <c r="C742" s="299"/>
      <c r="D742" s="1547" t="s">
        <v>1669</v>
      </c>
      <c r="E742" s="1547"/>
      <c r="F742" s="1547"/>
      <c r="G742" s="288"/>
    </row>
    <row r="743" spans="1:9" ht="13.2">
      <c r="A743" s="415"/>
      <c r="B743" s="415"/>
      <c r="C743" s="299"/>
      <c r="D743" s="1547"/>
      <c r="E743" s="1547"/>
      <c r="F743" s="1547"/>
      <c r="G743" s="288"/>
    </row>
    <row r="744" spans="1:9" ht="13.2">
      <c r="A744" s="415"/>
      <c r="B744" s="415"/>
      <c r="C744" s="299"/>
      <c r="D744" s="1547"/>
      <c r="E744" s="1547"/>
      <c r="F744" s="1547"/>
      <c r="G744" s="288"/>
    </row>
    <row r="745" spans="1:9" ht="13.2">
      <c r="A745" s="415"/>
      <c r="B745" s="415"/>
      <c r="C745" s="299"/>
      <c r="D745" s="1547"/>
      <c r="E745" s="1547"/>
      <c r="F745" s="1547"/>
      <c r="G745" s="288"/>
    </row>
    <row r="746" spans="1:9" ht="13.2">
      <c r="A746" s="415"/>
      <c r="B746" s="415"/>
      <c r="C746" s="299"/>
      <c r="D746" s="933"/>
      <c r="E746" s="933"/>
      <c r="F746" s="933"/>
      <c r="G746" s="288"/>
    </row>
    <row r="747" spans="1:9" s="50" customFormat="1" ht="14.4">
      <c r="A747" s="413"/>
      <c r="B747" s="924" t="s">
        <v>1498</v>
      </c>
      <c r="C747" s="415"/>
      <c r="D747" s="1585" t="s">
        <v>1838</v>
      </c>
      <c r="E747" s="1585"/>
      <c r="F747" s="1585"/>
      <c r="G747" s="71"/>
      <c r="H747" s="860"/>
      <c r="I747" s="1060"/>
    </row>
    <row r="748" spans="1:9" s="50" customFormat="1" ht="13.2">
      <c r="A748" s="415"/>
      <c r="B748" s="415"/>
      <c r="C748" s="415"/>
      <c r="D748" s="1585"/>
      <c r="E748" s="1585"/>
      <c r="F748" s="1585"/>
      <c r="G748" s="71"/>
      <c r="H748" s="860"/>
      <c r="I748" s="1060"/>
    </row>
    <row r="749" spans="1:9" s="50" customFormat="1" ht="13.2">
      <c r="A749" s="415"/>
      <c r="B749" s="415"/>
      <c r="C749" s="415"/>
      <c r="D749" s="1585"/>
      <c r="E749" s="1585"/>
      <c r="F749" s="1585"/>
      <c r="G749" s="71"/>
      <c r="H749" s="860"/>
      <c r="I749" s="1060"/>
    </row>
    <row r="750" spans="1:9" s="50" customFormat="1" ht="13.2">
      <c r="A750" s="415"/>
      <c r="B750" s="415"/>
      <c r="C750" s="415"/>
      <c r="D750" s="1585"/>
      <c r="E750" s="1585"/>
      <c r="F750" s="1585"/>
      <c r="G750" s="71"/>
      <c r="H750" s="860"/>
      <c r="I750" s="1060"/>
    </row>
    <row r="751" spans="1:9" s="50" customFormat="1" ht="13.2">
      <c r="A751" s="415"/>
      <c r="B751" s="415"/>
      <c r="C751" s="415"/>
      <c r="D751" s="1585"/>
      <c r="E751" s="1585"/>
      <c r="F751" s="1585"/>
      <c r="G751" s="71"/>
      <c r="H751" s="860"/>
      <c r="I751" s="1060"/>
    </row>
    <row r="752" spans="1:9" s="50" customFormat="1" ht="13.2">
      <c r="A752" s="415"/>
      <c r="B752" s="415"/>
      <c r="C752" s="415"/>
      <c r="D752" s="1585"/>
      <c r="E752" s="1585"/>
      <c r="F752" s="1585"/>
      <c r="G752" s="71"/>
      <c r="H752" s="860"/>
      <c r="I752" s="1060"/>
    </row>
    <row r="753" spans="1:9" s="50" customFormat="1" ht="13.2">
      <c r="A753" s="415"/>
      <c r="B753" s="415"/>
      <c r="C753" s="415"/>
      <c r="D753" s="1585"/>
      <c r="E753" s="1585"/>
      <c r="F753" s="1585"/>
      <c r="G753" s="71"/>
      <c r="H753" s="860"/>
      <c r="I753" s="1060"/>
    </row>
    <row r="754" spans="1:9" s="50" customFormat="1" ht="13.2">
      <c r="A754" s="415"/>
      <c r="B754" s="415"/>
      <c r="C754" s="415"/>
      <c r="D754" s="1590" t="s">
        <v>1668</v>
      </c>
      <c r="E754" s="1590"/>
      <c r="F754" s="1590"/>
      <c r="G754" s="71"/>
      <c r="H754" s="860"/>
      <c r="I754" s="1060"/>
    </row>
    <row r="755" spans="1:9" s="50" customFormat="1" ht="13.2">
      <c r="A755" s="415"/>
      <c r="B755" s="415"/>
      <c r="C755" s="415"/>
      <c r="D755" s="865"/>
      <c r="E755" s="8"/>
      <c r="F755" s="8"/>
      <c r="G755" s="71"/>
      <c r="H755" s="860"/>
      <c r="I755" s="1060"/>
    </row>
    <row r="756" spans="1:9" ht="13.2">
      <c r="A756" s="1568" t="s">
        <v>1554</v>
      </c>
      <c r="B756" s="1568"/>
      <c r="C756" s="1568"/>
      <c r="D756" s="1568"/>
      <c r="E756" s="1568"/>
      <c r="F756" s="1568"/>
      <c r="G756" s="1568"/>
      <c r="H756" s="404"/>
      <c r="I756" s="404"/>
    </row>
    <row r="757" spans="1:9" ht="13.2">
      <c r="A757" s="415"/>
      <c r="B757" s="415"/>
      <c r="C757" s="299"/>
      <c r="D757" s="332"/>
      <c r="E757" s="282"/>
      <c r="F757" s="282"/>
      <c r="G757" s="288"/>
      <c r="H757" s="404"/>
      <c r="I757" s="404"/>
    </row>
    <row r="758" spans="1:9" ht="13.2">
      <c r="A758" s="140"/>
      <c r="B758" s="140"/>
      <c r="C758" s="299"/>
      <c r="D758" s="1575" t="s">
        <v>1579</v>
      </c>
      <c r="E758" s="1575"/>
      <c r="F758" s="1575"/>
      <c r="G758" s="288"/>
      <c r="H758" s="404"/>
      <c r="I758" s="404"/>
    </row>
    <row r="759" spans="1:9" ht="13.2">
      <c r="A759" s="414"/>
      <c r="B759" s="414"/>
      <c r="C759" s="298"/>
      <c r="D759" s="1566" t="s">
        <v>1582</v>
      </c>
      <c r="E759" s="1566"/>
      <c r="F759" s="1566"/>
      <c r="G759" s="288"/>
      <c r="H759" s="404"/>
      <c r="I759" s="404"/>
    </row>
    <row r="760" spans="1:9" ht="13.2">
      <c r="A760" s="415"/>
      <c r="B760" s="415"/>
      <c r="C760" s="299"/>
      <c r="D760" s="282"/>
      <c r="E760" s="282"/>
      <c r="F760" s="282"/>
      <c r="G760" s="288"/>
      <c r="H760" s="404"/>
      <c r="I760" s="404"/>
    </row>
    <row r="761" spans="1:9" ht="14.25" customHeight="1">
      <c r="A761" s="413"/>
      <c r="B761" s="924" t="s">
        <v>1498</v>
      </c>
      <c r="C761" s="14"/>
      <c r="D761" s="1547" t="s">
        <v>1580</v>
      </c>
      <c r="E761" s="1547"/>
      <c r="F761" s="1547"/>
      <c r="G761" s="288"/>
      <c r="H761" s="404"/>
      <c r="I761" s="404"/>
    </row>
    <row r="762" spans="1:9" ht="11.25" customHeight="1">
      <c r="A762" s="140"/>
      <c r="B762" s="140"/>
      <c r="C762" s="14"/>
      <c r="D762" s="1547"/>
      <c r="E762" s="1547"/>
      <c r="F762" s="1547"/>
      <c r="G762" s="288"/>
      <c r="H762" s="404"/>
      <c r="I762" s="404"/>
    </row>
    <row r="763" spans="1:9" ht="13.2">
      <c r="A763" s="140"/>
      <c r="B763" s="140"/>
      <c r="C763" s="14"/>
      <c r="D763" s="1547"/>
      <c r="E763" s="1547"/>
      <c r="F763" s="1547"/>
      <c r="G763" s="288"/>
      <c r="H763" s="404"/>
      <c r="I763" s="404"/>
    </row>
    <row r="764" spans="1:9" ht="13.2">
      <c r="A764" s="140"/>
      <c r="B764" s="140"/>
      <c r="C764" s="14"/>
      <c r="D764" s="1547"/>
      <c r="E764" s="1547"/>
      <c r="F764" s="1547"/>
      <c r="G764" s="288"/>
      <c r="H764" s="404"/>
      <c r="I764" s="404"/>
    </row>
    <row r="765" spans="1:9" ht="13.2">
      <c r="A765" s="150"/>
      <c r="B765" s="150"/>
      <c r="D765" s="1547"/>
      <c r="E765" s="1547"/>
      <c r="F765" s="1547"/>
      <c r="G765" s="288"/>
      <c r="H765" s="404"/>
      <c r="I765" s="404"/>
    </row>
    <row r="766" spans="1:9" ht="17.25" customHeight="1">
      <c r="A766" s="150"/>
      <c r="B766" s="150"/>
      <c r="D766" s="1547"/>
      <c r="E766" s="1547"/>
      <c r="F766" s="1547"/>
      <c r="G766" s="288"/>
      <c r="H766" s="404"/>
      <c r="I766" s="404"/>
    </row>
    <row r="767" spans="1:9" ht="13.2">
      <c r="A767" s="150"/>
      <c r="B767" s="150"/>
      <c r="D767" s="403"/>
      <c r="E767" s="403"/>
      <c r="F767" s="403"/>
      <c r="G767" s="288"/>
      <c r="H767" s="404"/>
      <c r="I767" s="404"/>
    </row>
    <row r="768" spans="1:9" ht="12.75" customHeight="1">
      <c r="A768" s="140"/>
      <c r="B768" s="924" t="s">
        <v>135</v>
      </c>
      <c r="C768" s="14"/>
      <c r="D768" s="1580" t="s">
        <v>2054</v>
      </c>
      <c r="E768" s="1580"/>
      <c r="F768" s="1580"/>
      <c r="G768" s="288"/>
      <c r="H768" s="404"/>
      <c r="I768" s="404"/>
    </row>
    <row r="769" spans="1:9" ht="13.2">
      <c r="A769" s="140"/>
      <c r="B769" s="140"/>
      <c r="C769" s="14"/>
      <c r="D769" s="1580"/>
      <c r="E769" s="1580"/>
      <c r="F769" s="1580"/>
      <c r="G769" s="288"/>
      <c r="H769" s="404"/>
      <c r="I769" s="404"/>
    </row>
    <row r="770" spans="1:9" ht="13.2">
      <c r="A770" s="140"/>
      <c r="B770" s="140"/>
      <c r="C770" s="14"/>
      <c r="D770" s="1580"/>
      <c r="E770" s="1580"/>
      <c r="F770" s="1580"/>
      <c r="G770" s="288"/>
      <c r="H770" s="404"/>
      <c r="I770" s="404"/>
    </row>
    <row r="771" spans="1:9" ht="13.2">
      <c r="A771" s="140"/>
      <c r="B771" s="140"/>
      <c r="C771" s="14"/>
      <c r="D771" s="1580"/>
      <c r="E771" s="1580"/>
      <c r="F771" s="1580"/>
      <c r="G771" s="288"/>
      <c r="H771" s="404"/>
      <c r="I771" s="404"/>
    </row>
    <row r="772" spans="1:9" ht="13.2">
      <c r="A772" s="140"/>
      <c r="B772" s="140"/>
      <c r="C772" s="14"/>
      <c r="D772" s="403"/>
      <c r="G772" s="288"/>
      <c r="H772" s="404"/>
      <c r="I772" s="404"/>
    </row>
    <row r="773" spans="1:9" ht="13.2">
      <c r="A773" s="140"/>
      <c r="B773" s="924" t="s">
        <v>135</v>
      </c>
      <c r="C773" s="667"/>
      <c r="D773" s="1621" t="s">
        <v>2055</v>
      </c>
      <c r="E773" s="1548"/>
      <c r="F773" s="1548"/>
      <c r="G773" s="689"/>
      <c r="H773" s="404"/>
      <c r="I773" s="404"/>
    </row>
    <row r="774" spans="1:9" ht="13.2">
      <c r="A774" s="667"/>
      <c r="B774" s="667"/>
      <c r="C774" s="667"/>
      <c r="D774" s="1548"/>
      <c r="E774" s="1548"/>
      <c r="F774" s="1548"/>
      <c r="G774" s="689"/>
      <c r="H774" s="404"/>
      <c r="I774" s="404"/>
    </row>
    <row r="775" spans="1:9" ht="13.2">
      <c r="A775" s="667"/>
      <c r="B775" s="667"/>
      <c r="C775" s="667"/>
      <c r="D775" s="1548"/>
      <c r="E775" s="1548"/>
      <c r="F775" s="1548"/>
      <c r="G775" s="689"/>
      <c r="H775" s="404"/>
      <c r="I775" s="404"/>
    </row>
    <row r="776" spans="1:9" ht="13.2">
      <c r="A776" s="150"/>
      <c r="B776" s="150"/>
      <c r="D776" s="403"/>
      <c r="E776" s="403"/>
      <c r="F776" s="403"/>
      <c r="G776" s="288"/>
      <c r="H776" s="404"/>
      <c r="I776" s="404"/>
    </row>
    <row r="777" spans="1:9" ht="13.2">
      <c r="A777" s="150"/>
      <c r="B777" s="924" t="s">
        <v>135</v>
      </c>
      <c r="D777" s="1552" t="s">
        <v>1581</v>
      </c>
      <c r="E777" s="1552"/>
      <c r="F777" s="1552"/>
      <c r="G777" s="288"/>
      <c r="H777" s="404"/>
      <c r="I777" s="404"/>
    </row>
    <row r="778" spans="1:9" ht="13.2">
      <c r="A778" s="150"/>
      <c r="B778" s="150"/>
      <c r="D778" s="1552"/>
      <c r="E778" s="1552"/>
      <c r="F778" s="1552"/>
      <c r="G778" s="288"/>
      <c r="H778" s="404"/>
      <c r="I778" s="404"/>
    </row>
    <row r="779" spans="1:9" ht="13.2">
      <c r="A779" s="150"/>
      <c r="B779" s="150"/>
      <c r="D779" s="931"/>
      <c r="E779" s="931"/>
      <c r="F779" s="931"/>
      <c r="G779" s="288"/>
      <c r="H779" s="404"/>
      <c r="I779" s="404"/>
    </row>
    <row r="780" spans="1:9" ht="13.65" customHeight="1">
      <c r="A780" s="150"/>
      <c r="B780" s="924" t="s">
        <v>135</v>
      </c>
      <c r="D780" s="1555" t="s">
        <v>1920</v>
      </c>
      <c r="E780" s="1552"/>
      <c r="F780" s="1552"/>
      <c r="G780" s="288"/>
      <c r="H780" s="404"/>
      <c r="I780" s="404"/>
    </row>
    <row r="781" spans="1:9" ht="13.2">
      <c r="A781" s="150"/>
      <c r="B781" s="150"/>
      <c r="D781" s="1552"/>
      <c r="E781" s="1552"/>
      <c r="F781" s="1552"/>
      <c r="G781" s="288"/>
      <c r="H781" s="404"/>
      <c r="I781" s="404"/>
    </row>
    <row r="782" spans="1:9" ht="13.2">
      <c r="A782" s="150"/>
      <c r="B782" s="150"/>
      <c r="D782" s="1552"/>
      <c r="E782" s="1552"/>
      <c r="F782" s="1552"/>
      <c r="G782" s="288"/>
      <c r="H782" s="404"/>
      <c r="I782" s="404"/>
    </row>
    <row r="783" spans="1:9" ht="13.2">
      <c r="A783" s="150"/>
      <c r="B783" s="150"/>
      <c r="D783" s="931"/>
      <c r="E783" s="931"/>
      <c r="F783" s="931"/>
      <c r="G783" s="288"/>
      <c r="H783" s="404"/>
      <c r="I783" s="404"/>
    </row>
    <row r="784" spans="1:9" ht="12" customHeight="1">
      <c r="A784" s="1568" t="s">
        <v>1741</v>
      </c>
      <c r="B784" s="1568"/>
      <c r="C784" s="1568"/>
      <c r="D784" s="1568"/>
      <c r="E784" s="1568"/>
      <c r="F784" s="1568"/>
      <c r="G784" s="1568"/>
      <c r="H784" s="404"/>
      <c r="I784" s="404"/>
    </row>
    <row r="785" spans="1:9" ht="13.2">
      <c r="A785" s="107"/>
      <c r="B785" s="107"/>
      <c r="C785" s="302"/>
      <c r="D785" s="283"/>
      <c r="E785" s="283"/>
      <c r="F785" s="283"/>
      <c r="G785" s="288"/>
      <c r="H785" s="404"/>
      <c r="I785" s="404"/>
    </row>
    <row r="786" spans="1:9" ht="13.65" customHeight="1">
      <c r="A786" s="107"/>
      <c r="B786" s="107"/>
      <c r="C786" s="302"/>
      <c r="D786" s="1573" t="s">
        <v>1742</v>
      </c>
      <c r="E786" s="1573"/>
      <c r="F786" s="1573"/>
      <c r="G786" s="288"/>
      <c r="H786" s="404"/>
      <c r="I786" s="404"/>
    </row>
    <row r="787" spans="1:9" ht="13.2">
      <c r="A787" s="107"/>
      <c r="B787" s="107"/>
      <c r="C787" s="302"/>
      <c r="D787" s="1574" t="s">
        <v>1743</v>
      </c>
      <c r="E787" s="1574"/>
      <c r="F787" s="1574"/>
      <c r="G787" s="288"/>
      <c r="H787" s="404"/>
      <c r="I787" s="404"/>
    </row>
    <row r="788" spans="1:9" ht="13.2">
      <c r="A788" s="107"/>
      <c r="B788" s="107"/>
      <c r="C788" s="302"/>
      <c r="D788" s="970"/>
      <c r="E788" s="970"/>
      <c r="F788" s="970"/>
      <c r="G788" s="288"/>
      <c r="H788" s="404"/>
      <c r="I788" s="404"/>
    </row>
    <row r="789" spans="1:9" ht="13.2">
      <c r="A789" s="107"/>
      <c r="B789" s="924" t="s">
        <v>1498</v>
      </c>
      <c r="C789" s="302"/>
      <c r="D789" s="1583" t="s">
        <v>1744</v>
      </c>
      <c r="E789" s="1583"/>
      <c r="F789" s="1583"/>
      <c r="G789" s="288"/>
      <c r="H789" s="404"/>
      <c r="I789" s="404"/>
    </row>
    <row r="790" spans="1:9" ht="13.2">
      <c r="A790" s="107"/>
      <c r="B790" s="107"/>
      <c r="C790" s="302"/>
      <c r="D790" s="1583"/>
      <c r="E790" s="1583"/>
      <c r="F790" s="1583"/>
      <c r="G790" s="288"/>
      <c r="H790" s="404"/>
      <c r="I790" s="404"/>
    </row>
    <row r="791" spans="1:9" ht="13.2">
      <c r="A791" s="415"/>
      <c r="B791" s="415"/>
      <c r="C791" s="299"/>
      <c r="D791" s="1583"/>
      <c r="E791" s="1583"/>
      <c r="F791" s="1583"/>
      <c r="G791" s="284"/>
      <c r="H791" s="404"/>
      <c r="I791" s="404"/>
    </row>
    <row r="792" spans="1:9" ht="13.2">
      <c r="A792" s="150"/>
      <c r="B792" s="150"/>
      <c r="C792" s="285"/>
      <c r="D792" s="411"/>
      <c r="E792" s="288"/>
      <c r="F792" s="288"/>
      <c r="G792" s="288"/>
      <c r="H792" s="404"/>
      <c r="I792" s="404"/>
    </row>
    <row r="793" spans="1:9" ht="13.2">
      <c r="A793" s="418"/>
      <c r="B793" s="924" t="s">
        <v>135</v>
      </c>
      <c r="C793" s="303"/>
      <c r="D793" s="1583" t="s">
        <v>1745</v>
      </c>
      <c r="E793" s="1583"/>
      <c r="F793" s="1583"/>
      <c r="G793" s="288"/>
      <c r="H793" s="404"/>
      <c r="I793" s="404"/>
    </row>
    <row r="794" spans="1:9" ht="13.2">
      <c r="A794" s="718"/>
      <c r="B794" s="718"/>
      <c r="C794" s="719"/>
      <c r="D794" s="1583"/>
      <c r="E794" s="1583"/>
      <c r="F794" s="1583"/>
      <c r="G794" s="288"/>
      <c r="H794" s="404"/>
      <c r="I794" s="404"/>
    </row>
    <row r="795" spans="1:9" ht="13.2">
      <c r="A795" s="418"/>
      <c r="B795" s="418"/>
      <c r="C795" s="303"/>
      <c r="D795" s="1583"/>
      <c r="E795" s="1583"/>
      <c r="F795" s="1583"/>
      <c r="G795" s="288"/>
      <c r="H795" s="404"/>
      <c r="I795" s="404"/>
    </row>
    <row r="796" spans="1:9" ht="13.2">
      <c r="A796" s="415"/>
      <c r="B796" s="415"/>
      <c r="C796" s="299"/>
      <c r="D796" s="282"/>
      <c r="E796" s="296"/>
      <c r="F796" s="296"/>
      <c r="G796" s="554"/>
      <c r="H796" s="404"/>
      <c r="I796" s="404"/>
    </row>
    <row r="797" spans="1:9" ht="14.4" customHeight="1">
      <c r="A797" s="413"/>
      <c r="B797" s="924" t="s">
        <v>135</v>
      </c>
      <c r="C797" s="322"/>
      <c r="D797" s="1587" t="s">
        <v>1859</v>
      </c>
      <c r="E797" s="1587"/>
      <c r="F797" s="1587"/>
      <c r="G797" s="554"/>
      <c r="H797" s="404"/>
      <c r="I797" s="404"/>
    </row>
    <row r="798" spans="1:9" ht="14.4">
      <c r="A798" s="413"/>
      <c r="B798" s="413"/>
      <c r="C798" s="322"/>
      <c r="D798" s="1587"/>
      <c r="E798" s="1587"/>
      <c r="F798" s="1587"/>
      <c r="G798" s="554"/>
      <c r="H798" s="404"/>
      <c r="I798" s="404"/>
    </row>
    <row r="799" spans="1:9" ht="14.4">
      <c r="A799" s="413"/>
      <c r="B799" s="413"/>
      <c r="C799" s="322"/>
      <c r="D799" s="1587"/>
      <c r="E799" s="1587"/>
      <c r="F799" s="1587"/>
      <c r="G799" s="554"/>
      <c r="H799" s="404"/>
      <c r="I799" s="404"/>
    </row>
    <row r="800" spans="1:9" ht="14.4">
      <c r="A800" s="413"/>
      <c r="B800" s="413"/>
      <c r="C800" s="322"/>
      <c r="D800" s="1029"/>
      <c r="E800" s="282"/>
      <c r="F800" s="282"/>
      <c r="G800" s="554"/>
      <c r="H800" s="404"/>
      <c r="I800" s="404"/>
    </row>
    <row r="801" spans="1:9" ht="14.25" customHeight="1">
      <c r="A801" s="413"/>
      <c r="B801" s="924" t="s">
        <v>1498</v>
      </c>
      <c r="C801" s="322"/>
      <c r="D801" s="1583" t="s">
        <v>1746</v>
      </c>
      <c r="E801" s="1583"/>
      <c r="F801" s="1583"/>
      <c r="G801" s="554"/>
      <c r="H801" s="404"/>
      <c r="I801" s="404"/>
    </row>
    <row r="802" spans="1:9" ht="14.4">
      <c r="A802" s="413"/>
      <c r="B802" s="413"/>
      <c r="C802" s="322"/>
      <c r="D802" s="1583"/>
      <c r="E802" s="1583"/>
      <c r="F802" s="1583"/>
      <c r="G802" s="554"/>
      <c r="H802" s="404"/>
      <c r="I802" s="404"/>
    </row>
    <row r="803" spans="1:9" ht="14.4">
      <c r="A803" s="413"/>
      <c r="B803" s="413"/>
      <c r="C803" s="322"/>
      <c r="D803" s="1583"/>
      <c r="E803" s="1583"/>
      <c r="F803" s="1583"/>
      <c r="G803" s="554"/>
      <c r="H803" s="404"/>
      <c r="I803" s="404"/>
    </row>
    <row r="804" spans="1:9" ht="14.4">
      <c r="A804" s="413"/>
      <c r="B804" s="413"/>
      <c r="C804" s="322"/>
      <c r="D804" s="1583"/>
      <c r="E804" s="1583"/>
      <c r="F804" s="1583"/>
      <c r="G804" s="554"/>
      <c r="H804" s="404"/>
      <c r="I804" s="404"/>
    </row>
    <row r="805" spans="1:9" ht="14.4">
      <c r="A805" s="413"/>
      <c r="B805" s="413"/>
      <c r="C805" s="322"/>
      <c r="D805" s="1583"/>
      <c r="E805" s="1583"/>
      <c r="F805" s="1583"/>
      <c r="G805" s="554"/>
      <c r="H805" s="404"/>
      <c r="I805" s="404"/>
    </row>
    <row r="806" spans="1:9" ht="14.4">
      <c r="A806" s="413"/>
      <c r="B806" s="413"/>
      <c r="C806" s="322"/>
      <c r="D806" s="1587" t="s">
        <v>2228</v>
      </c>
      <c r="E806" s="1587"/>
      <c r="F806" s="1587"/>
      <c r="G806" s="554"/>
      <c r="H806" s="404"/>
      <c r="I806" s="404"/>
    </row>
    <row r="807" spans="1:9" ht="14.4">
      <c r="A807" s="413"/>
      <c r="B807" s="413"/>
      <c r="C807" s="322"/>
      <c r="D807" s="1587"/>
      <c r="E807" s="1587"/>
      <c r="F807" s="1587"/>
      <c r="G807" s="554"/>
      <c r="H807" s="404"/>
      <c r="I807" s="404"/>
    </row>
    <row r="808" spans="1:9" ht="14.4">
      <c r="A808" s="413"/>
      <c r="B808" s="413"/>
      <c r="C808" s="322"/>
      <c r="D808" s="1587"/>
      <c r="E808" s="1587"/>
      <c r="F808" s="1587"/>
      <c r="G808" s="554"/>
      <c r="H808" s="404"/>
      <c r="I808" s="404"/>
    </row>
    <row r="809" spans="1:9" ht="14.4">
      <c r="A809" s="413"/>
      <c r="B809" s="14"/>
      <c r="C809" s="322"/>
      <c r="D809" s="1298"/>
      <c r="E809" s="1298"/>
      <c r="F809" s="1298"/>
      <c r="G809" s="554"/>
      <c r="H809" s="404"/>
      <c r="I809" s="404"/>
    </row>
    <row r="810" spans="1:9" ht="14.4">
      <c r="A810" s="413"/>
      <c r="B810" s="924" t="s">
        <v>135</v>
      </c>
      <c r="C810" s="322"/>
      <c r="D810" s="1583" t="s">
        <v>1748</v>
      </c>
      <c r="E810" s="1583"/>
      <c r="F810" s="1583"/>
      <c r="G810" s="554"/>
      <c r="H810" s="404"/>
      <c r="I810" s="404"/>
    </row>
    <row r="811" spans="1:9" ht="14.4">
      <c r="A811" s="413"/>
      <c r="B811" s="413"/>
      <c r="C811" s="322"/>
      <c r="D811" s="1583"/>
      <c r="E811" s="1583"/>
      <c r="F811" s="1583"/>
      <c r="G811" s="554"/>
      <c r="H811" s="404"/>
      <c r="I811" s="404"/>
    </row>
    <row r="812" spans="1:9" ht="14.4">
      <c r="A812" s="413"/>
      <c r="B812" s="413"/>
      <c r="C812" s="322"/>
      <c r="D812" s="1583"/>
      <c r="E812" s="1583"/>
      <c r="F812" s="1583"/>
      <c r="G812" s="554"/>
      <c r="H812" s="404"/>
      <c r="I812" s="404"/>
    </row>
    <row r="813" spans="1:9" ht="14.4">
      <c r="A813" s="413"/>
      <c r="B813" s="413"/>
      <c r="C813" s="322"/>
      <c r="D813" s="1583"/>
      <c r="E813" s="1583"/>
      <c r="F813" s="1583"/>
      <c r="G813" s="554"/>
      <c r="H813" s="404"/>
      <c r="I813" s="404"/>
    </row>
    <row r="814" spans="1:9" ht="14.4">
      <c r="A814" s="413"/>
      <c r="B814" s="413"/>
      <c r="C814" s="322"/>
      <c r="D814" s="1583"/>
      <c r="E814" s="1583"/>
      <c r="F814" s="1583"/>
      <c r="G814" s="554"/>
      <c r="H814" s="404"/>
      <c r="I814" s="404"/>
    </row>
    <row r="815" spans="1:9" ht="14.4">
      <c r="A815" s="413"/>
      <c r="B815" s="413"/>
      <c r="C815" s="322"/>
      <c r="D815" s="1583"/>
      <c r="E815" s="1583"/>
      <c r="F815" s="1583"/>
      <c r="G815" s="554"/>
      <c r="H815" s="404"/>
      <c r="I815" s="404"/>
    </row>
    <row r="816" spans="1:9" ht="14.4">
      <c r="A816" s="413"/>
      <c r="B816" s="413"/>
      <c r="C816" s="322"/>
      <c r="D816" s="1286"/>
      <c r="E816" s="1286"/>
      <c r="F816" s="1286"/>
      <c r="G816" s="554"/>
      <c r="H816" s="404"/>
      <c r="I816" s="404"/>
    </row>
    <row r="817" spans="1:9" ht="14.4">
      <c r="A817" s="413"/>
      <c r="B817" s="1287" t="s">
        <v>135</v>
      </c>
      <c r="C817" s="322"/>
      <c r="D817" s="1587" t="s">
        <v>2056</v>
      </c>
      <c r="E817" s="1583"/>
      <c r="F817" s="1583"/>
      <c r="G817" s="554"/>
      <c r="H817" s="404"/>
      <c r="I817" s="404"/>
    </row>
    <row r="818" spans="1:9" ht="14.4">
      <c r="A818" s="413"/>
      <c r="B818" s="413"/>
      <c r="C818" s="322"/>
      <c r="D818" s="1583"/>
      <c r="E818" s="1583"/>
      <c r="F818" s="1583"/>
      <c r="G818" s="554"/>
      <c r="H818" s="404"/>
      <c r="I818" s="404"/>
    </row>
    <row r="819" spans="1:9" ht="14.4">
      <c r="A819" s="413"/>
      <c r="B819" s="413"/>
      <c r="C819" s="322"/>
      <c r="D819" s="1583"/>
      <c r="E819" s="1583"/>
      <c r="F819" s="1583"/>
      <c r="G819" s="554"/>
      <c r="H819" s="404"/>
      <c r="I819" s="404"/>
    </row>
    <row r="820" spans="1:9" ht="14.4">
      <c r="A820" s="413"/>
      <c r="B820" s="413"/>
      <c r="C820" s="322"/>
      <c r="D820" s="1583"/>
      <c r="E820" s="1583"/>
      <c r="F820" s="1583"/>
      <c r="G820" s="554"/>
      <c r="H820" s="404"/>
      <c r="I820" s="404"/>
    </row>
    <row r="821" spans="1:9" ht="14.4">
      <c r="A821" s="413"/>
      <c r="B821" s="413"/>
      <c r="C821" s="322"/>
      <c r="D821" s="1583"/>
      <c r="E821" s="1583"/>
      <c r="F821" s="1583"/>
      <c r="G821" s="554"/>
      <c r="H821" s="404"/>
      <c r="I821" s="404"/>
    </row>
    <row r="822" spans="1:9" ht="14.4">
      <c r="A822" s="413"/>
      <c r="B822" s="413"/>
      <c r="C822" s="322"/>
      <c r="D822" s="1031"/>
      <c r="E822" s="1031"/>
      <c r="F822" s="1031"/>
      <c r="G822" s="554"/>
      <c r="H822" s="404"/>
      <c r="I822" s="404"/>
    </row>
    <row r="823" spans="1:9" ht="14.4">
      <c r="A823" s="413"/>
      <c r="B823" s="924" t="s">
        <v>135</v>
      </c>
      <c r="C823" s="322"/>
      <c r="D823" s="1583" t="s">
        <v>1747</v>
      </c>
      <c r="E823" s="1583"/>
      <c r="F823" s="1583"/>
      <c r="G823" s="554"/>
      <c r="H823" s="404"/>
      <c r="I823" s="404"/>
    </row>
    <row r="824" spans="1:9" ht="14.4">
      <c r="A824" s="413"/>
      <c r="B824" s="413"/>
      <c r="C824" s="322"/>
      <c r="D824" s="1583"/>
      <c r="E824" s="1583"/>
      <c r="F824" s="1583"/>
      <c r="G824" s="554"/>
      <c r="H824" s="404"/>
      <c r="I824" s="404"/>
    </row>
    <row r="825" spans="1:9" ht="14.4">
      <c r="A825" s="413"/>
      <c r="B825" s="413"/>
      <c r="C825" s="322"/>
      <c r="D825" s="1583"/>
      <c r="E825" s="1583"/>
      <c r="F825" s="1583"/>
      <c r="G825" s="554"/>
      <c r="H825" s="404"/>
      <c r="I825" s="404"/>
    </row>
    <row r="826" spans="1:9" ht="14.4">
      <c r="A826" s="413"/>
      <c r="B826" s="413"/>
      <c r="C826" s="322"/>
      <c r="D826" s="1583"/>
      <c r="E826" s="1583"/>
      <c r="F826" s="1583"/>
      <c r="G826" s="554"/>
      <c r="H826" s="404"/>
      <c r="I826" s="404"/>
    </row>
    <row r="827" spans="1:9" ht="14.4">
      <c r="A827" s="413"/>
      <c r="B827" s="413"/>
      <c r="C827" s="322"/>
      <c r="D827" s="296"/>
      <c r="E827" s="282"/>
      <c r="F827" s="282"/>
      <c r="G827" s="554"/>
      <c r="H827" s="404"/>
      <c r="I827" s="404"/>
    </row>
    <row r="828" spans="1:9" ht="14.4">
      <c r="A828" s="413"/>
      <c r="B828" s="924" t="s">
        <v>135</v>
      </c>
      <c r="C828" s="322"/>
      <c r="D828" s="1561" t="s">
        <v>1750</v>
      </c>
      <c r="E828" s="1561"/>
      <c r="F828" s="1561"/>
      <c r="G828" s="554"/>
      <c r="H828" s="404"/>
      <c r="I828" s="404"/>
    </row>
    <row r="829" spans="1:9" ht="14.4">
      <c r="A829" s="413"/>
      <c r="B829" s="413"/>
      <c r="C829" s="322"/>
      <c r="D829" s="1561"/>
      <c r="E829" s="1561"/>
      <c r="F829" s="1561"/>
      <c r="G829" s="554"/>
      <c r="H829" s="404"/>
      <c r="I829" s="404"/>
    </row>
    <row r="830" spans="1:9" ht="13.2">
      <c r="A830" s="33"/>
      <c r="B830" s="33"/>
      <c r="C830" s="322"/>
      <c r="D830" s="1561"/>
      <c r="E830" s="1561"/>
      <c r="F830" s="1561"/>
      <c r="G830" s="554"/>
      <c r="H830" s="404"/>
      <c r="I830" s="404"/>
    </row>
    <row r="831" spans="1:9" ht="14.4">
      <c r="A831" s="413"/>
      <c r="B831" s="971"/>
      <c r="C831" s="322"/>
      <c r="D831" s="1561"/>
      <c r="E831" s="1561"/>
      <c r="F831" s="1561"/>
      <c r="G831" s="554"/>
      <c r="H831" s="404"/>
      <c r="I831" s="404"/>
    </row>
    <row r="832" spans="1:9" ht="14.4">
      <c r="A832" s="413"/>
      <c r="B832" s="971"/>
      <c r="C832" s="322"/>
      <c r="D832" s="1561"/>
      <c r="E832" s="1561"/>
      <c r="F832" s="1561"/>
      <c r="G832" s="554"/>
      <c r="H832" s="404"/>
      <c r="I832" s="404"/>
    </row>
    <row r="833" spans="1:9" ht="14.4">
      <c r="A833" s="413"/>
      <c r="B833" s="971"/>
      <c r="C833" s="322"/>
      <c r="D833" s="1561"/>
      <c r="E833" s="1561"/>
      <c r="F833" s="1561"/>
      <c r="G833" s="554"/>
      <c r="H833" s="404"/>
      <c r="I833" s="404"/>
    </row>
    <row r="834" spans="1:9" ht="14.4">
      <c r="A834" s="413"/>
      <c r="B834" s="1032"/>
      <c r="C834" s="322"/>
      <c r="D834" s="1030"/>
      <c r="E834" s="1030"/>
      <c r="F834" s="1030"/>
      <c r="G834" s="554"/>
      <c r="H834" s="404"/>
      <c r="I834" s="404"/>
    </row>
    <row r="835" spans="1:9" ht="14.4">
      <c r="A835" s="413"/>
      <c r="B835" s="924" t="s">
        <v>135</v>
      </c>
      <c r="C835" s="322"/>
      <c r="D835" s="1583" t="s">
        <v>1749</v>
      </c>
      <c r="E835" s="1583"/>
      <c r="F835" s="1583"/>
      <c r="G835" s="554"/>
      <c r="H835" s="404"/>
      <c r="I835" s="404"/>
    </row>
    <row r="836" spans="1:9" ht="14.4">
      <c r="A836" s="413"/>
      <c r="B836" s="413"/>
      <c r="C836" s="322"/>
      <c r="D836" s="1583"/>
      <c r="E836" s="1583"/>
      <c r="F836" s="1583"/>
      <c r="G836" s="554"/>
      <c r="H836" s="404"/>
      <c r="I836" s="404"/>
    </row>
    <row r="837" spans="1:9" ht="14.4">
      <c r="A837" s="413"/>
      <c r="B837" s="413"/>
      <c r="C837" s="322"/>
      <c r="D837" s="296"/>
      <c r="E837" s="282"/>
      <c r="F837" s="282"/>
      <c r="G837" s="554"/>
      <c r="H837" s="404"/>
      <c r="I837" s="404"/>
    </row>
    <row r="838" spans="1:9" ht="14.4">
      <c r="A838" s="413"/>
      <c r="B838" s="924" t="s">
        <v>135</v>
      </c>
      <c r="C838" s="322"/>
      <c r="D838" s="1561" t="s">
        <v>1751</v>
      </c>
      <c r="E838" s="1561"/>
      <c r="F838" s="1561"/>
      <c r="G838" s="554"/>
      <c r="H838" s="404"/>
      <c r="I838" s="404"/>
    </row>
    <row r="839" spans="1:9" ht="14.4">
      <c r="A839" s="413"/>
      <c r="B839" s="413"/>
      <c r="C839" s="322"/>
      <c r="D839" s="1561"/>
      <c r="E839" s="1561"/>
      <c r="F839" s="1561"/>
      <c r="G839" s="554"/>
      <c r="H839" s="404"/>
      <c r="I839" s="404"/>
    </row>
    <row r="840" spans="1:9" ht="13.2">
      <c r="A840" s="33"/>
      <c r="B840" s="33"/>
      <c r="C840" s="322"/>
      <c r="D840" s="296"/>
      <c r="E840" s="282"/>
      <c r="F840" s="282"/>
      <c r="G840" s="554"/>
      <c r="H840" s="404"/>
      <c r="I840" s="404"/>
    </row>
    <row r="841" spans="1:9" ht="13.2">
      <c r="A841" s="1603" t="s">
        <v>2076</v>
      </c>
      <c r="B841" s="1603"/>
      <c r="C841" s="1603"/>
      <c r="D841" s="1603"/>
      <c r="E841" s="1603"/>
      <c r="F841" s="1603"/>
      <c r="G841" s="1603"/>
      <c r="H841" s="404"/>
      <c r="I841" s="404"/>
    </row>
    <row r="842" spans="1:9" ht="13.2">
      <c r="A842" s="414"/>
      <c r="B842" s="414"/>
      <c r="C842" s="322"/>
      <c r="D842" s="296"/>
      <c r="E842" s="296"/>
      <c r="F842" s="296"/>
      <c r="G842" s="554"/>
      <c r="H842" s="404"/>
      <c r="I842" s="404"/>
    </row>
    <row r="843" spans="1:9" ht="14.4">
      <c r="A843" s="413"/>
      <c r="B843" s="413"/>
      <c r="C843" s="14"/>
      <c r="D843" s="1575" t="s">
        <v>1654</v>
      </c>
      <c r="E843" s="1575"/>
      <c r="F843" s="1575"/>
      <c r="H843" s="404"/>
      <c r="I843" s="404"/>
    </row>
    <row r="844" spans="1:9" ht="14.4">
      <c r="A844" s="413"/>
      <c r="B844" s="413"/>
      <c r="C844" s="14"/>
      <c r="D844" s="1554" t="s">
        <v>2073</v>
      </c>
      <c r="E844" s="1554"/>
      <c r="F844" s="1554"/>
      <c r="H844" s="404"/>
      <c r="I844" s="404"/>
    </row>
    <row r="845" spans="1:9" ht="14.4">
      <c r="A845" s="413"/>
      <c r="B845" s="413"/>
      <c r="C845" s="14"/>
      <c r="D845" s="1301"/>
      <c r="E845" s="1303"/>
      <c r="F845" s="1303"/>
      <c r="H845" s="404"/>
      <c r="I845" s="404"/>
    </row>
    <row r="846" spans="1:9" ht="13.2">
      <c r="A846" s="140"/>
      <c r="B846" s="924" t="s">
        <v>1498</v>
      </c>
      <c r="C846" s="322"/>
      <c r="D846" s="1547" t="s">
        <v>1585</v>
      </c>
      <c r="E846" s="1547"/>
      <c r="F846" s="1547"/>
      <c r="H846" s="404"/>
      <c r="I846" s="404"/>
    </row>
    <row r="847" spans="1:9" ht="13.2">
      <c r="A847" s="33"/>
      <c r="B847" s="33"/>
      <c r="C847" s="322"/>
      <c r="D847" s="6" t="s">
        <v>1558</v>
      </c>
      <c r="E847" s="1576" t="s">
        <v>2306</v>
      </c>
      <c r="F847" s="1576"/>
      <c r="H847" s="404"/>
      <c r="I847" s="404"/>
    </row>
    <row r="848" spans="1:9" ht="13.2">
      <c r="A848" s="33"/>
      <c r="B848" s="33"/>
      <c r="C848" s="322"/>
      <c r="D848" s="333"/>
      <c r="E848" s="282"/>
      <c r="F848" s="282"/>
      <c r="H848" s="404"/>
      <c r="I848" s="404"/>
    </row>
    <row r="849" spans="1:9" ht="13.2">
      <c r="A849" s="1008"/>
      <c r="B849" s="1007" t="s">
        <v>135</v>
      </c>
      <c r="C849" s="322"/>
      <c r="D849" s="1592" t="s">
        <v>1836</v>
      </c>
      <c r="E849" s="1592"/>
      <c r="F849" s="1592"/>
      <c r="H849" s="404"/>
      <c r="I849" s="404"/>
    </row>
    <row r="850" spans="1:9" ht="13.2">
      <c r="A850" s="1008"/>
      <c r="B850" s="1008"/>
      <c r="C850" s="322"/>
      <c r="D850" s="1592"/>
      <c r="E850" s="1592"/>
      <c r="F850" s="1592"/>
      <c r="H850" s="404"/>
      <c r="I850" s="404"/>
    </row>
    <row r="851" spans="1:9" ht="13.2">
      <c r="A851" s="1008"/>
      <c r="B851" s="1008"/>
      <c r="C851" s="322"/>
      <c r="D851" s="1592"/>
      <c r="E851" s="1592"/>
      <c r="F851" s="1592"/>
      <c r="H851" s="404"/>
      <c r="I851" s="404"/>
    </row>
    <row r="852" spans="1:9" ht="13.2">
      <c r="A852" s="1008"/>
      <c r="B852" s="1008"/>
      <c r="C852" s="322"/>
      <c r="D852" s="1592"/>
      <c r="E852" s="1592"/>
      <c r="F852" s="1592"/>
      <c r="H852" s="404"/>
      <c r="I852" s="404"/>
    </row>
    <row r="853" spans="1:9" ht="13.2">
      <c r="A853" s="1008"/>
      <c r="B853" s="1008"/>
      <c r="C853" s="322"/>
      <c r="D853" s="1592"/>
      <c r="E853" s="1592"/>
      <c r="F853" s="1592"/>
      <c r="H853" s="404"/>
      <c r="I853" s="404"/>
    </row>
    <row r="854" spans="1:9" ht="13.2">
      <c r="A854" s="1008"/>
      <c r="B854" s="1008"/>
      <c r="C854" s="322"/>
      <c r="D854" s="1592"/>
      <c r="E854" s="1592"/>
      <c r="F854" s="1592"/>
      <c r="H854" s="404"/>
      <c r="I854" s="404"/>
    </row>
    <row r="855" spans="1:9" ht="13.2">
      <c r="A855" s="1008"/>
      <c r="B855" s="1008"/>
      <c r="C855" s="322"/>
      <c r="D855" s="1592"/>
      <c r="E855" s="1592"/>
      <c r="F855" s="1592"/>
      <c r="H855" s="404"/>
      <c r="I855" s="404"/>
    </row>
    <row r="856" spans="1:9" ht="13.2">
      <c r="A856" s="1008"/>
      <c r="B856" s="1008"/>
      <c r="C856" s="322"/>
      <c r="D856" s="1592"/>
      <c r="E856" s="1592"/>
      <c r="F856" s="1592"/>
      <c r="H856" s="404"/>
      <c r="I856" s="404"/>
    </row>
    <row r="857" spans="1:9" ht="13.2">
      <c r="A857" s="1008"/>
      <c r="B857" s="1008"/>
      <c r="C857" s="322"/>
      <c r="D857" s="1592"/>
      <c r="E857" s="1592"/>
      <c r="F857" s="1592"/>
      <c r="H857" s="404"/>
      <c r="I857" s="404"/>
    </row>
    <row r="858" spans="1:9" ht="13.2">
      <c r="A858" s="1008"/>
      <c r="B858" s="1008"/>
      <c r="C858" s="322"/>
      <c r="D858" s="333"/>
      <c r="E858" s="282"/>
      <c r="F858" s="282"/>
      <c r="H858" s="404"/>
      <c r="I858" s="404"/>
    </row>
    <row r="859" spans="1:9" ht="14.4">
      <c r="A859" s="413"/>
      <c r="B859" s="924" t="s">
        <v>1498</v>
      </c>
      <c r="C859" s="322"/>
      <c r="D859" s="1547" t="s">
        <v>1586</v>
      </c>
      <c r="E859" s="1547"/>
      <c r="F859" s="1547"/>
      <c r="H859" s="404"/>
      <c r="I859" s="404"/>
    </row>
    <row r="860" spans="1:9" ht="14.4">
      <c r="A860" s="413"/>
      <c r="B860" s="413"/>
      <c r="C860" s="322"/>
      <c r="D860" s="1547"/>
      <c r="E860" s="1547"/>
      <c r="F860" s="1547"/>
      <c r="H860" s="404"/>
      <c r="I860" s="404"/>
    </row>
    <row r="861" spans="1:9" ht="14.4">
      <c r="A861" s="413"/>
      <c r="B861" s="413"/>
      <c r="C861" s="322"/>
      <c r="D861" s="1547"/>
      <c r="E861" s="1547"/>
      <c r="F861" s="1547"/>
      <c r="H861" s="404"/>
      <c r="I861" s="404"/>
    </row>
    <row r="862" spans="1:9" ht="14.4">
      <c r="A862" s="552"/>
      <c r="B862" s="552"/>
      <c r="C862" s="405"/>
      <c r="D862" s="403"/>
      <c r="H862" s="404"/>
      <c r="I862" s="404"/>
    </row>
    <row r="863" spans="1:9" ht="13.2">
      <c r="A863" s="684"/>
      <c r="B863" s="924" t="s">
        <v>135</v>
      </c>
      <c r="C863" s="405"/>
      <c r="D863" s="1569" t="s">
        <v>1587</v>
      </c>
      <c r="E863" s="1569"/>
      <c r="F863" s="1569"/>
      <c r="H863" s="404"/>
      <c r="I863" s="404"/>
    </row>
    <row r="864" spans="1:9" ht="13.2">
      <c r="A864" s="14"/>
      <c r="B864" s="684"/>
      <c r="C864" s="405"/>
      <c r="D864" s="1569"/>
      <c r="E864" s="1569"/>
      <c r="F864" s="1569"/>
      <c r="H864" s="404"/>
      <c r="I864" s="404"/>
    </row>
    <row r="865" spans="1:9" ht="14.25" customHeight="1">
      <c r="A865" s="552"/>
      <c r="B865" s="14"/>
      <c r="C865" s="405"/>
      <c r="D865" s="1552" t="s">
        <v>1612</v>
      </c>
      <c r="E865" s="1552"/>
      <c r="F865" s="1552"/>
      <c r="H865" s="404"/>
      <c r="I865" s="404"/>
    </row>
    <row r="866" spans="1:9" ht="14.4">
      <c r="A866" s="552"/>
      <c r="B866" s="552"/>
      <c r="C866" s="405"/>
      <c r="D866" s="1552"/>
      <c r="E866" s="1552"/>
      <c r="F866" s="1552"/>
      <c r="H866" s="404"/>
      <c r="I866" s="404"/>
    </row>
    <row r="867" spans="1:9" ht="14.4">
      <c r="A867" s="552"/>
      <c r="B867" s="552"/>
      <c r="C867" s="405"/>
      <c r="D867" s="1552"/>
      <c r="E867" s="1552"/>
      <c r="F867" s="1552"/>
      <c r="H867" s="404"/>
      <c r="I867" s="404"/>
    </row>
    <row r="868" spans="1:9" ht="14.4">
      <c r="A868" s="552"/>
      <c r="B868" s="552"/>
      <c r="C868" s="405"/>
      <c r="D868" s="1552"/>
      <c r="E868" s="1552"/>
      <c r="F868" s="1552"/>
      <c r="H868" s="404"/>
      <c r="I868" s="404"/>
    </row>
    <row r="869" spans="1:9" ht="14.4">
      <c r="A869" s="552"/>
      <c r="B869" s="552"/>
      <c r="C869" s="405"/>
      <c r="D869" s="1552"/>
      <c r="E869" s="1552"/>
      <c r="F869" s="1552"/>
      <c r="H869" s="404"/>
      <c r="I869" s="404"/>
    </row>
    <row r="870" spans="1:9" ht="14.25" customHeight="1">
      <c r="A870" s="552"/>
      <c r="B870" s="552"/>
      <c r="C870" s="405"/>
      <c r="D870" s="1552"/>
      <c r="E870" s="1552"/>
      <c r="F870" s="1552"/>
      <c r="H870" s="404"/>
      <c r="I870" s="404"/>
    </row>
    <row r="871" spans="1:9" ht="14.4">
      <c r="A871" s="552"/>
      <c r="B871" s="552"/>
      <c r="C871" s="405"/>
      <c r="D871" s="403"/>
      <c r="H871" s="404"/>
      <c r="I871" s="404"/>
    </row>
    <row r="872" spans="1:9" ht="14.4">
      <c r="A872" s="552"/>
      <c r="B872" s="924" t="s">
        <v>135</v>
      </c>
      <c r="C872" s="405"/>
      <c r="D872" s="1552" t="s">
        <v>1269</v>
      </c>
      <c r="E872" s="1552"/>
      <c r="F872" s="1552"/>
      <c r="H872" s="404"/>
      <c r="I872" s="404"/>
    </row>
    <row r="873" spans="1:9" ht="14.4">
      <c r="A873" s="552"/>
      <c r="B873" s="552"/>
      <c r="C873" s="405"/>
      <c r="D873" s="1552" t="s">
        <v>1270</v>
      </c>
      <c r="E873" s="1552"/>
      <c r="F873" s="1552"/>
      <c r="H873" s="404"/>
      <c r="I873" s="404"/>
    </row>
    <row r="874" spans="1:9" ht="14.4">
      <c r="A874" s="552"/>
      <c r="B874" s="552"/>
      <c r="C874" s="405"/>
      <c r="D874" s="330" t="s">
        <v>1557</v>
      </c>
      <c r="E874" s="1563" t="s">
        <v>2308</v>
      </c>
      <c r="F874" s="1563"/>
      <c r="H874" s="404"/>
      <c r="I874" s="404"/>
    </row>
    <row r="875" spans="1:9" ht="14.4">
      <c r="A875" s="552"/>
      <c r="B875" s="552"/>
      <c r="C875" s="405"/>
      <c r="D875" s="403"/>
      <c r="H875" s="404"/>
      <c r="I875" s="404"/>
    </row>
    <row r="876" spans="1:9" ht="14.4">
      <c r="A876" s="552"/>
      <c r="B876" s="924" t="s">
        <v>135</v>
      </c>
      <c r="C876" s="405"/>
      <c r="D876" s="1552" t="s">
        <v>1588</v>
      </c>
      <c r="E876" s="1552"/>
      <c r="F876" s="1552"/>
      <c r="H876" s="404"/>
      <c r="I876" s="404"/>
    </row>
    <row r="877" spans="1:9" ht="14.4">
      <c r="A877" s="552"/>
      <c r="B877" s="552"/>
      <c r="C877" s="405"/>
      <c r="D877" s="1552"/>
      <c r="E877" s="1552"/>
      <c r="F877" s="1552"/>
      <c r="H877" s="404"/>
      <c r="I877" s="404"/>
    </row>
    <row r="878" spans="1:9" ht="14.4">
      <c r="A878" s="552"/>
      <c r="B878" s="552"/>
      <c r="C878" s="405"/>
      <c r="D878" s="1552"/>
      <c r="E878" s="1552"/>
      <c r="F878" s="1552"/>
      <c r="H878" s="404"/>
      <c r="I878" s="404"/>
    </row>
    <row r="879" spans="1:9" ht="14.4">
      <c r="A879" s="552"/>
      <c r="B879" s="552"/>
      <c r="C879" s="405"/>
      <c r="D879" s="1552"/>
      <c r="E879" s="1552"/>
      <c r="F879" s="1552"/>
      <c r="H879" s="404"/>
      <c r="I879" s="404"/>
    </row>
    <row r="880" spans="1:9" ht="13.2">
      <c r="A880" s="414"/>
      <c r="B880" s="414"/>
      <c r="C880" s="298"/>
      <c r="D880" s="287"/>
      <c r="E880" s="282"/>
      <c r="F880" s="282"/>
      <c r="H880" s="404"/>
      <c r="I880" s="404"/>
    </row>
    <row r="881" spans="1:9" ht="13.2">
      <c r="A881" s="416" t="s">
        <v>1524</v>
      </c>
      <c r="B881" s="416"/>
      <c r="C881" s="926"/>
      <c r="D881" s="926"/>
      <c r="E881" s="926"/>
      <c r="F881" s="926"/>
      <c r="G881" s="927"/>
      <c r="H881" s="404"/>
      <c r="I881" s="404"/>
    </row>
    <row r="882" spans="1:9" ht="13.2">
      <c r="A882" s="414"/>
      <c r="B882" s="414"/>
      <c r="C882" s="298"/>
      <c r="D882" s="332"/>
      <c r="E882" s="282"/>
      <c r="F882" s="282"/>
      <c r="H882" s="404"/>
      <c r="I882" s="404"/>
    </row>
    <row r="883" spans="1:9" ht="13.2">
      <c r="A883" s="140"/>
      <c r="B883" s="140"/>
      <c r="C883" s="299"/>
      <c r="D883" s="1551" t="s">
        <v>1653</v>
      </c>
      <c r="E883" s="1551"/>
      <c r="F883" s="1551"/>
      <c r="G883" s="554"/>
      <c r="H883" s="404"/>
      <c r="I883" s="404"/>
    </row>
    <row r="884" spans="1:9" ht="13.2">
      <c r="A884" s="996"/>
      <c r="B884" s="996"/>
      <c r="C884" s="299"/>
      <c r="D884" s="1571" t="s">
        <v>2074</v>
      </c>
      <c r="E884" s="1572"/>
      <c r="F884" s="1572"/>
      <c r="G884" s="554"/>
      <c r="H884" s="404"/>
      <c r="I884" s="404"/>
    </row>
    <row r="885" spans="1:9" ht="13.2">
      <c r="A885" s="996"/>
      <c r="B885" s="996"/>
      <c r="C885" s="299"/>
      <c r="D885" s="989"/>
      <c r="E885" s="989"/>
      <c r="F885" s="989"/>
      <c r="G885" s="554"/>
      <c r="H885" s="404"/>
      <c r="I885" s="404"/>
    </row>
    <row r="886" spans="1:9" ht="14.4">
      <c r="A886" s="413"/>
      <c r="B886" s="924" t="s">
        <v>1498</v>
      </c>
      <c r="C886" s="14"/>
      <c r="D886" s="1550" t="s">
        <v>1611</v>
      </c>
      <c r="E886" s="1550"/>
      <c r="F886" s="1550"/>
      <c r="G886" s="554"/>
      <c r="H886" s="404"/>
      <c r="I886" s="404"/>
    </row>
    <row r="887" spans="1:9" ht="13.2">
      <c r="A887" s="140"/>
      <c r="B887" s="140"/>
      <c r="C887" s="14"/>
      <c r="D887" s="6" t="s">
        <v>1557</v>
      </c>
      <c r="E887" s="1570" t="s">
        <v>2308</v>
      </c>
      <c r="F887" s="1570"/>
      <c r="G887" s="554"/>
    </row>
    <row r="888" spans="1:9" ht="13.2">
      <c r="A888" s="140"/>
      <c r="B888" s="140"/>
      <c r="C888" s="14"/>
      <c r="D888" s="287"/>
      <c r="E888" s="296"/>
      <c r="F888" s="296"/>
      <c r="G888" s="554"/>
      <c r="H888" s="404"/>
      <c r="I888" s="404"/>
    </row>
    <row r="889" spans="1:9" ht="14.4">
      <c r="A889" s="413"/>
      <c r="B889" s="924" t="s">
        <v>1498</v>
      </c>
      <c r="C889" s="14"/>
      <c r="D889" s="1554" t="s">
        <v>2077</v>
      </c>
      <c r="E889" s="1623"/>
      <c r="F889" s="1623"/>
    </row>
    <row r="890" spans="1:9" ht="12.6" customHeight="1">
      <c r="A890" s="140"/>
      <c r="B890" s="140"/>
      <c r="C890" s="14"/>
      <c r="D890" s="1623"/>
      <c r="E890" s="1623"/>
      <c r="F890" s="1623"/>
    </row>
    <row r="891" spans="1:9" ht="14.4">
      <c r="A891" s="413"/>
      <c r="B891" s="413"/>
      <c r="C891" s="14"/>
      <c r="D891" s="287"/>
      <c r="E891" s="296"/>
      <c r="F891" s="296"/>
      <c r="G891" s="554"/>
      <c r="H891" s="404"/>
      <c r="I891" s="404"/>
    </row>
    <row r="892" spans="1:9" ht="13.2">
      <c r="A892" s="14"/>
      <c r="B892" s="924" t="s">
        <v>135</v>
      </c>
      <c r="D892" s="1565" t="s">
        <v>1839</v>
      </c>
      <c r="E892" s="1565"/>
      <c r="F892" s="1565"/>
      <c r="G892" s="554"/>
      <c r="H892" s="404"/>
      <c r="I892" s="404"/>
    </row>
    <row r="893" spans="1:9" ht="29.4" customHeight="1">
      <c r="A893" s="14"/>
      <c r="B893" s="872"/>
      <c r="D893" s="1565"/>
      <c r="E893" s="1565"/>
      <c r="F893" s="1565"/>
      <c r="G893" s="554"/>
      <c r="H893" s="404"/>
      <c r="I893" s="404"/>
    </row>
    <row r="894" spans="1:9" ht="14.4">
      <c r="A894" s="413"/>
      <c r="B894" s="2"/>
      <c r="C894" s="14"/>
      <c r="D894" s="1552" t="s">
        <v>1612</v>
      </c>
      <c r="E894" s="1552"/>
      <c r="F894" s="1552"/>
      <c r="G894" s="554"/>
      <c r="H894" s="404"/>
      <c r="I894" s="404"/>
    </row>
    <row r="895" spans="1:9" ht="14.4">
      <c r="A895" s="413"/>
      <c r="B895" s="413"/>
      <c r="C895" s="14"/>
      <c r="D895" s="1552"/>
      <c r="E895" s="1552"/>
      <c r="F895" s="1552"/>
      <c r="G895" s="554"/>
      <c r="H895" s="404"/>
      <c r="I895" s="404"/>
    </row>
    <row r="896" spans="1:9" ht="14.4">
      <c r="A896" s="413"/>
      <c r="B896" s="413"/>
      <c r="C896" s="14"/>
      <c r="D896" s="1552"/>
      <c r="E896" s="1552"/>
      <c r="F896" s="1552"/>
      <c r="G896" s="554"/>
      <c r="H896" s="404"/>
      <c r="I896" s="404"/>
    </row>
    <row r="897" spans="1:9" ht="14.4">
      <c r="A897" s="413"/>
      <c r="B897" s="413"/>
      <c r="C897" s="14"/>
      <c r="D897" s="1552"/>
      <c r="E897" s="1552"/>
      <c r="F897" s="1552"/>
      <c r="G897" s="554"/>
      <c r="H897" s="404"/>
      <c r="I897" s="404"/>
    </row>
    <row r="898" spans="1:9" ht="14.4">
      <c r="A898" s="413"/>
      <c r="B898" s="413"/>
      <c r="C898" s="14"/>
      <c r="D898" s="1552"/>
      <c r="E898" s="1552"/>
      <c r="F898" s="1552"/>
      <c r="G898" s="554"/>
      <c r="H898" s="404"/>
      <c r="I898" s="404"/>
    </row>
    <row r="899" spans="1:9" ht="14.4">
      <c r="A899" s="413"/>
      <c r="B899" s="413"/>
      <c r="C899" s="14"/>
      <c r="D899" s="1552"/>
      <c r="E899" s="1552"/>
      <c r="F899" s="1552"/>
      <c r="G899" s="554"/>
      <c r="H899" s="404"/>
      <c r="I899" s="404"/>
    </row>
    <row r="900" spans="1:9" ht="14.4">
      <c r="A900" s="413"/>
      <c r="B900" s="413"/>
      <c r="C900" s="14"/>
      <c r="D900" s="287"/>
      <c r="E900" s="296"/>
      <c r="F900" s="296"/>
      <c r="G900" s="554"/>
      <c r="H900" s="404"/>
      <c r="I900" s="404"/>
    </row>
    <row r="901" spans="1:9" ht="14.4">
      <c r="A901" s="413"/>
      <c r="B901" s="924" t="s">
        <v>135</v>
      </c>
      <c r="C901" s="14"/>
      <c r="D901" s="1566" t="s">
        <v>1269</v>
      </c>
      <c r="E901" s="1566"/>
      <c r="F901" s="1566"/>
      <c r="G901" s="554"/>
      <c r="H901" s="404"/>
      <c r="I901" s="404"/>
    </row>
    <row r="902" spans="1:9" ht="14.4">
      <c r="A902" s="413"/>
      <c r="B902" s="413"/>
      <c r="C902" s="14"/>
      <c r="D902" s="1566" t="s">
        <v>1270</v>
      </c>
      <c r="E902" s="1566"/>
      <c r="F902" s="1566"/>
      <c r="G902" s="554"/>
      <c r="H902" s="404"/>
      <c r="I902" s="404"/>
    </row>
    <row r="903" spans="1:9" ht="14.4">
      <c r="A903" s="413"/>
      <c r="B903" s="413"/>
      <c r="C903" s="14"/>
      <c r="D903" s="6" t="s">
        <v>1613</v>
      </c>
      <c r="E903" s="1567" t="s">
        <v>2308</v>
      </c>
      <c r="F903" s="1567"/>
      <c r="G903" s="554"/>
      <c r="H903" s="404"/>
      <c r="I903" s="404"/>
    </row>
    <row r="904" spans="1:9" ht="14.4">
      <c r="A904" s="413"/>
      <c r="B904" s="413"/>
      <c r="C904" s="14"/>
      <c r="D904" s="287"/>
      <c r="E904" s="296"/>
      <c r="F904" s="296"/>
      <c r="G904" s="554"/>
      <c r="H904" s="404"/>
      <c r="I904" s="404"/>
    </row>
    <row r="905" spans="1:9" ht="14.4">
      <c r="A905" s="413"/>
      <c r="B905" s="924" t="s">
        <v>135</v>
      </c>
      <c r="C905" s="14"/>
      <c r="D905" s="1547" t="s">
        <v>1588</v>
      </c>
      <c r="E905" s="1547"/>
      <c r="F905" s="1547"/>
      <c r="G905" s="554"/>
      <c r="H905" s="404"/>
      <c r="I905" s="404"/>
    </row>
    <row r="906" spans="1:9" ht="14.4">
      <c r="A906" s="413"/>
      <c r="B906" s="413"/>
      <c r="C906" s="14"/>
      <c r="D906" s="1547"/>
      <c r="E906" s="1547"/>
      <c r="F906" s="1547"/>
      <c r="G906" s="554"/>
      <c r="H906" s="404"/>
      <c r="I906" s="404"/>
    </row>
    <row r="907" spans="1:9" ht="14.4">
      <c r="A907" s="413"/>
      <c r="B907" s="413"/>
      <c r="C907" s="14"/>
      <c r="D907" s="1547"/>
      <c r="E907" s="1547"/>
      <c r="F907" s="1547"/>
      <c r="G907" s="554"/>
      <c r="H907" s="404"/>
      <c r="I907" s="404"/>
    </row>
    <row r="908" spans="1:9" ht="14.4">
      <c r="A908" s="413"/>
      <c r="B908" s="413"/>
      <c r="C908" s="14"/>
      <c r="D908" s="1547"/>
      <c r="E908" s="1547"/>
      <c r="F908" s="1547"/>
      <c r="G908" s="554"/>
      <c r="H908" s="404"/>
      <c r="I908" s="404"/>
    </row>
    <row r="909" spans="1:9" ht="13.2">
      <c r="A909" s="143"/>
      <c r="B909" s="143"/>
      <c r="C909" s="322"/>
      <c r="D909" s="296"/>
      <c r="E909" s="296"/>
      <c r="F909" s="296"/>
      <c r="G909" s="554"/>
      <c r="H909" s="404"/>
      <c r="I909" s="404"/>
    </row>
    <row r="910" spans="1:9" ht="13.2">
      <c r="A910" s="1603" t="s">
        <v>1525</v>
      </c>
      <c r="B910" s="1603"/>
      <c r="C910" s="1603"/>
      <c r="D910" s="1603"/>
      <c r="E910" s="1603"/>
      <c r="F910" s="1603"/>
      <c r="G910" s="1603"/>
      <c r="H910" s="404"/>
      <c r="I910" s="404"/>
    </row>
    <row r="911" spans="1:9" ht="13.2">
      <c r="A911" s="143"/>
      <c r="B911" s="143"/>
      <c r="C911" s="322"/>
      <c r="D911" s="296"/>
      <c r="E911" s="296"/>
      <c r="F911" s="296"/>
      <c r="G911" s="554"/>
      <c r="H911" s="404"/>
      <c r="I911" s="404"/>
    </row>
    <row r="912" spans="1:9" ht="13.2">
      <c r="A912" s="140"/>
      <c r="B912" s="140"/>
      <c r="C912" s="322"/>
      <c r="D912" s="1559" t="s">
        <v>1788</v>
      </c>
      <c r="E912" s="1559"/>
      <c r="F912" s="1559"/>
      <c r="G912" s="554"/>
      <c r="H912" s="404"/>
      <c r="I912" s="404"/>
    </row>
    <row r="913" spans="1:9" ht="13.2">
      <c r="A913" s="414"/>
      <c r="B913" s="414"/>
      <c r="C913" s="298"/>
      <c r="D913" s="1550" t="s">
        <v>1610</v>
      </c>
      <c r="E913" s="1550"/>
      <c r="F913" s="1550"/>
      <c r="G913" s="554"/>
      <c r="H913" s="404"/>
      <c r="I913" s="404"/>
    </row>
    <row r="914" spans="1:9" ht="13.2">
      <c r="A914" s="414"/>
      <c r="B914" s="414"/>
      <c r="C914" s="298"/>
      <c r="D914" s="282"/>
      <c r="E914" s="282"/>
      <c r="F914" s="296"/>
      <c r="G914" s="554"/>
      <c r="H914" s="404"/>
      <c r="I914" s="404"/>
    </row>
    <row r="915" spans="1:9" ht="13.65" customHeight="1">
      <c r="A915" s="414"/>
      <c r="B915" s="994" t="s">
        <v>135</v>
      </c>
      <c r="C915" s="298"/>
      <c r="D915" s="1562" t="s">
        <v>1798</v>
      </c>
      <c r="E915" s="1562"/>
      <c r="F915" s="1562"/>
      <c r="G915" s="554"/>
      <c r="H915" s="404"/>
      <c r="I915" s="404"/>
    </row>
    <row r="916" spans="1:9" ht="13.2">
      <c r="A916" s="414"/>
      <c r="B916" s="414"/>
      <c r="C916" s="298"/>
      <c r="D916" s="1562"/>
      <c r="E916" s="1562"/>
      <c r="F916" s="1562"/>
      <c r="G916" s="554"/>
      <c r="H916" s="404"/>
      <c r="I916" s="404"/>
    </row>
    <row r="917" spans="1:9" ht="13.2">
      <c r="A917" s="414"/>
      <c r="B917" s="414"/>
      <c r="C917" s="298"/>
      <c r="D917" s="1562"/>
      <c r="E917" s="1562"/>
      <c r="F917" s="1562"/>
      <c r="G917" s="554"/>
      <c r="H917" s="404"/>
      <c r="I917" s="404"/>
    </row>
    <row r="918" spans="1:9" ht="13.2">
      <c r="A918" s="414"/>
      <c r="B918" s="414"/>
      <c r="C918" s="298"/>
      <c r="D918" s="1562"/>
      <c r="E918" s="1562"/>
      <c r="F918" s="1562"/>
      <c r="G918" s="554"/>
      <c r="H918" s="404"/>
      <c r="I918" s="404"/>
    </row>
    <row r="919" spans="1:9" ht="13.2">
      <c r="A919" s="414"/>
      <c r="B919" s="414"/>
      <c r="C919" s="298"/>
      <c r="D919" s="1562"/>
      <c r="E919" s="1562"/>
      <c r="F919" s="1562"/>
      <c r="G919" s="554"/>
      <c r="H919" s="404"/>
      <c r="I919" s="404"/>
    </row>
    <row r="920" spans="1:9" ht="13.2">
      <c r="A920" s="415"/>
      <c r="B920" s="415"/>
      <c r="C920" s="299"/>
      <c r="D920" s="282"/>
      <c r="E920" s="282"/>
      <c r="F920" s="296"/>
      <c r="G920" s="554"/>
      <c r="H920" s="404"/>
      <c r="I920" s="404"/>
    </row>
    <row r="921" spans="1:9" ht="14.25" customHeight="1">
      <c r="A921" s="552"/>
      <c r="B921" s="924" t="s">
        <v>1498</v>
      </c>
      <c r="C921" s="553"/>
      <c r="D921" s="1563" t="s">
        <v>1892</v>
      </c>
      <c r="E921" s="1563"/>
      <c r="F921" s="1563"/>
      <c r="G921" s="554"/>
      <c r="H921" s="404"/>
      <c r="I921" s="404"/>
    </row>
    <row r="922" spans="1:9" ht="14.25" customHeight="1">
      <c r="A922" s="552"/>
      <c r="B922" s="552"/>
      <c r="C922" s="553"/>
      <c r="D922" s="1563"/>
      <c r="E922" s="1563"/>
      <c r="F922" s="1563"/>
      <c r="G922" s="554"/>
      <c r="H922" s="404"/>
      <c r="I922" s="404"/>
    </row>
    <row r="923" spans="1:9" ht="14.25" customHeight="1">
      <c r="A923" s="552"/>
      <c r="B923" s="552"/>
      <c r="C923" s="553"/>
      <c r="D923" s="1563"/>
      <c r="E923" s="1563"/>
      <c r="F923" s="1563"/>
      <c r="G923" s="554"/>
      <c r="H923" s="404"/>
      <c r="I923" s="404"/>
    </row>
    <row r="924" spans="1:9" ht="14.25" customHeight="1">
      <c r="A924" s="552"/>
      <c r="B924" s="552"/>
      <c r="C924" s="553"/>
      <c r="D924" s="1563"/>
      <c r="E924" s="1563"/>
      <c r="F924" s="1563"/>
      <c r="G924" s="554"/>
      <c r="H924" s="404"/>
      <c r="I924" s="404"/>
    </row>
    <row r="925" spans="1:9" ht="14.25" customHeight="1">
      <c r="A925" s="555"/>
      <c r="B925" s="555"/>
      <c r="C925" s="553"/>
      <c r="D925" s="1563"/>
      <c r="E925" s="1563"/>
      <c r="F925" s="1563"/>
      <c r="G925" s="554"/>
      <c r="H925" s="404"/>
      <c r="I925" s="404"/>
    </row>
    <row r="926" spans="1:9" ht="14.25" customHeight="1">
      <c r="A926" s="555"/>
      <c r="B926" s="555"/>
      <c r="C926" s="553"/>
      <c r="D926" s="1563"/>
      <c r="E926" s="1563"/>
      <c r="F926" s="1563"/>
      <c r="G926" s="554"/>
      <c r="H926" s="404"/>
      <c r="I926" s="404"/>
    </row>
    <row r="927" spans="1:9" ht="14.25" customHeight="1">
      <c r="A927" s="555"/>
      <c r="B927" s="555"/>
      <c r="C927" s="553"/>
      <c r="D927" s="1563"/>
      <c r="E927" s="1563"/>
      <c r="F927" s="1563"/>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1498</v>
      </c>
      <c r="C929" s="557"/>
      <c r="D929" s="1563" t="s">
        <v>1893</v>
      </c>
      <c r="E929" s="1563"/>
      <c r="F929" s="1563"/>
      <c r="G929" s="559"/>
      <c r="H929" s="560"/>
      <c r="I929" s="560"/>
    </row>
    <row r="930" spans="1:9" s="497" customFormat="1" ht="14.25" customHeight="1">
      <c r="A930" s="556"/>
      <c r="B930" s="556"/>
      <c r="C930" s="557"/>
      <c r="D930" s="1563"/>
      <c r="E930" s="1563"/>
      <c r="F930" s="1563"/>
      <c r="G930" s="559"/>
      <c r="H930" s="560"/>
      <c r="I930" s="560"/>
    </row>
    <row r="931" spans="1:9" s="497" customFormat="1" ht="14.25" customHeight="1">
      <c r="A931" s="556"/>
      <c r="B931" s="556"/>
      <c r="C931" s="557"/>
      <c r="D931" s="1563"/>
      <c r="E931" s="1563"/>
      <c r="F931" s="1563"/>
      <c r="G931" s="559"/>
      <c r="H931" s="560"/>
      <c r="I931" s="560"/>
    </row>
    <row r="932" spans="1:9" s="497" customFormat="1" ht="14.25" customHeight="1">
      <c r="A932" s="556"/>
      <c r="B932" s="556"/>
      <c r="C932" s="557"/>
      <c r="D932" s="1563"/>
      <c r="E932" s="1563"/>
      <c r="F932" s="1563"/>
      <c r="G932" s="559"/>
      <c r="H932" s="560"/>
      <c r="I932" s="560"/>
    </row>
    <row r="933" spans="1:9" s="497" customFormat="1" ht="14.25" customHeight="1">
      <c r="A933" s="556"/>
      <c r="B933" s="556"/>
      <c r="C933" s="557"/>
      <c r="D933" s="1563"/>
      <c r="E933" s="1563"/>
      <c r="F933" s="1563"/>
      <c r="G933" s="559"/>
      <c r="H933" s="560"/>
      <c r="I933" s="560"/>
    </row>
    <row r="934" spans="1:9" s="497" customFormat="1" ht="14.4">
      <c r="A934" s="556"/>
      <c r="B934" s="556"/>
      <c r="C934" s="557"/>
      <c r="D934" s="1563"/>
      <c r="E934" s="1563"/>
      <c r="F934" s="1563"/>
      <c r="G934" s="559"/>
      <c r="H934" s="560"/>
      <c r="I934" s="560"/>
    </row>
    <row r="935" spans="1:9" s="497" customFormat="1" ht="14.25" customHeight="1">
      <c r="A935" s="556"/>
      <c r="B935" s="556"/>
      <c r="C935" s="557"/>
      <c r="D935" s="1563"/>
      <c r="E935" s="1563"/>
      <c r="F935" s="1563"/>
      <c r="G935" s="559"/>
      <c r="H935" s="560"/>
      <c r="I935" s="560"/>
    </row>
    <row r="936" spans="1:9" s="497" customFormat="1" ht="14.25" customHeight="1">
      <c r="A936" s="556"/>
      <c r="B936" s="556"/>
      <c r="C936" s="557"/>
      <c r="D936" s="1563"/>
      <c r="E936" s="1563"/>
      <c r="F936" s="1563"/>
      <c r="G936" s="559"/>
      <c r="H936" s="560"/>
      <c r="I936" s="560"/>
    </row>
    <row r="937" spans="1:9" s="497" customFormat="1" ht="14.25" customHeight="1">
      <c r="A937" s="556"/>
      <c r="B937" s="556"/>
      <c r="C937" s="557"/>
      <c r="D937" s="1563"/>
      <c r="E937" s="1563"/>
      <c r="F937" s="1563"/>
      <c r="G937" s="559"/>
      <c r="H937" s="560"/>
      <c r="I937" s="560"/>
    </row>
    <row r="938" spans="1:9" ht="14.25" customHeight="1">
      <c r="A938" s="555"/>
      <c r="B938" s="555"/>
      <c r="C938" s="553"/>
      <c r="D938" s="330"/>
      <c r="F938" s="554"/>
      <c r="G938" s="554"/>
      <c r="H938" s="404"/>
      <c r="I938" s="404"/>
    </row>
    <row r="939" spans="1:9" ht="14.25" customHeight="1">
      <c r="A939" s="552"/>
      <c r="B939" s="924" t="s">
        <v>1498</v>
      </c>
      <c r="C939" s="553"/>
      <c r="D939" s="1564" t="s">
        <v>1799</v>
      </c>
      <c r="E939" s="1564"/>
      <c r="F939" s="1564"/>
      <c r="G939" s="554"/>
      <c r="H939" s="404"/>
      <c r="I939" s="404"/>
    </row>
    <row r="940" spans="1:9" ht="14.25" customHeight="1">
      <c r="A940" s="552"/>
      <c r="B940" s="552"/>
      <c r="C940" s="553"/>
      <c r="D940" s="1564"/>
      <c r="E940" s="1564"/>
      <c r="F940" s="1564"/>
      <c r="G940" s="554"/>
      <c r="H940" s="404"/>
      <c r="I940" s="404"/>
    </row>
    <row r="941" spans="1:9" ht="14.25" customHeight="1">
      <c r="A941" s="552"/>
      <c r="B941" s="552"/>
      <c r="C941" s="553"/>
      <c r="D941" s="1564"/>
      <c r="E941" s="1564"/>
      <c r="F941" s="1564"/>
      <c r="G941" s="554"/>
      <c r="H941" s="404"/>
      <c r="I941" s="404"/>
    </row>
    <row r="942" spans="1:9" ht="14.25" customHeight="1">
      <c r="A942" s="552"/>
      <c r="B942" s="552"/>
      <c r="C942" s="553"/>
      <c r="D942" s="1564"/>
      <c r="E942" s="1564"/>
      <c r="F942" s="1564"/>
      <c r="G942" s="554"/>
      <c r="H942" s="404"/>
      <c r="I942" s="404"/>
    </row>
    <row r="943" spans="1:9" ht="14.25" customHeight="1">
      <c r="A943" s="552"/>
      <c r="B943" s="552"/>
      <c r="C943" s="553"/>
      <c r="D943" s="1564"/>
      <c r="E943" s="1564"/>
      <c r="F943" s="1564"/>
      <c r="G943" s="554"/>
      <c r="H943" s="404"/>
      <c r="I943" s="404"/>
    </row>
    <row r="944" spans="1:9" ht="14.25" customHeight="1">
      <c r="A944" s="552"/>
      <c r="B944" s="552"/>
      <c r="C944" s="553"/>
      <c r="D944" s="1564"/>
      <c r="E944" s="1564"/>
      <c r="F944" s="1564"/>
      <c r="G944" s="554"/>
      <c r="H944" s="404"/>
      <c r="I944" s="404"/>
    </row>
    <row r="945" spans="1:9" ht="14.25" customHeight="1">
      <c r="A945" s="552"/>
      <c r="B945" s="552"/>
      <c r="C945" s="553"/>
      <c r="D945" s="1564"/>
      <c r="E945" s="1564"/>
      <c r="F945" s="1564"/>
      <c r="G945" s="554"/>
      <c r="H945" s="404"/>
      <c r="I945" s="404"/>
    </row>
    <row r="946" spans="1:9" ht="14.25" customHeight="1">
      <c r="A946" s="552"/>
      <c r="B946" s="552"/>
      <c r="C946" s="553"/>
      <c r="D946" s="620"/>
      <c r="F946" s="554"/>
      <c r="G946" s="554"/>
      <c r="H946" s="404"/>
      <c r="I946" s="404"/>
    </row>
    <row r="947" spans="1:9" s="685" customFormat="1" ht="14.4">
      <c r="A947" s="552"/>
      <c r="B947" s="924" t="s">
        <v>135</v>
      </c>
      <c r="C947" s="553"/>
      <c r="D947" s="1563" t="s">
        <v>1800</v>
      </c>
      <c r="E947" s="1563"/>
      <c r="F947" s="1563"/>
      <c r="G947" s="554"/>
      <c r="H947" s="747"/>
    </row>
    <row r="948" spans="1:9" s="685" customFormat="1" ht="14.4">
      <c r="A948" s="552"/>
      <c r="B948" s="552"/>
      <c r="C948" s="553"/>
      <c r="D948" s="1563"/>
      <c r="E948" s="1563"/>
      <c r="F948" s="1563"/>
      <c r="G948" s="554"/>
      <c r="H948" s="747"/>
    </row>
    <row r="949" spans="1:9" s="685" customFormat="1" ht="14.4">
      <c r="A949" s="552"/>
      <c r="B949" s="552"/>
      <c r="C949" s="553"/>
      <c r="D949" s="1563"/>
      <c r="E949" s="1563"/>
      <c r="F949" s="1563"/>
      <c r="G949" s="554"/>
      <c r="H949" s="747"/>
    </row>
    <row r="950" spans="1:9" s="685" customFormat="1" ht="14.4">
      <c r="A950" s="552"/>
      <c r="B950" s="552"/>
      <c r="C950" s="553"/>
      <c r="D950" s="1563"/>
      <c r="E950" s="1563"/>
      <c r="F950" s="1563"/>
      <c r="G950" s="554"/>
      <c r="H950" s="747"/>
    </row>
    <row r="951" spans="1:9" s="685" customFormat="1" ht="14.4">
      <c r="A951" s="552"/>
      <c r="B951" s="552"/>
      <c r="C951" s="553"/>
      <c r="D951" s="330"/>
      <c r="E951" s="329"/>
      <c r="F951" s="554"/>
      <c r="G951" s="554"/>
      <c r="H951" s="747"/>
    </row>
    <row r="952" spans="1:9" ht="14.25" customHeight="1">
      <c r="A952" s="33"/>
      <c r="B952" s="33"/>
      <c r="C952" s="322"/>
      <c r="D952" s="1547" t="s">
        <v>1801</v>
      </c>
      <c r="E952" s="1547"/>
      <c r="F952" s="1547"/>
      <c r="G952" s="554"/>
      <c r="H952" s="404"/>
      <c r="I952" s="404"/>
    </row>
    <row r="953" spans="1:9" ht="14.25" customHeight="1">
      <c r="A953" s="355"/>
      <c r="B953" s="355"/>
      <c r="C953" s="322"/>
      <c r="D953" s="1547"/>
      <c r="E953" s="1547"/>
      <c r="F953" s="1547"/>
      <c r="G953" s="554"/>
      <c r="H953" s="404"/>
      <c r="I953" s="404"/>
    </row>
    <row r="954" spans="1:9" ht="14.25" customHeight="1">
      <c r="A954" s="355"/>
      <c r="B954" s="355"/>
      <c r="C954" s="322"/>
      <c r="D954" s="6"/>
      <c r="E954" s="296"/>
      <c r="F954" s="296"/>
      <c r="G954" s="554"/>
      <c r="H954" s="404"/>
      <c r="I954" s="404"/>
    </row>
    <row r="955" spans="1:9" ht="14.4">
      <c r="A955" s="413"/>
      <c r="B955" s="924" t="s">
        <v>1498</v>
      </c>
      <c r="C955" s="14"/>
      <c r="D955" s="1547" t="s">
        <v>1802</v>
      </c>
      <c r="E955" s="1547"/>
      <c r="F955" s="1547"/>
    </row>
    <row r="956" spans="1:9" ht="13.2">
      <c r="A956" s="140"/>
      <c r="B956" s="140"/>
      <c r="C956" s="14"/>
      <c r="D956" s="1547"/>
      <c r="E956" s="1547"/>
      <c r="F956" s="1547"/>
    </row>
    <row r="957" spans="1:9" ht="14.25" customHeight="1">
      <c r="A957" s="355"/>
      <c r="B957" s="355"/>
      <c r="C957" s="322"/>
      <c r="D957" s="6"/>
      <c r="E957" s="296"/>
      <c r="F957" s="296"/>
      <c r="G957" s="554"/>
      <c r="H957" s="404"/>
      <c r="I957" s="404"/>
    </row>
    <row r="958" spans="1:9" ht="14.25" customHeight="1">
      <c r="A958" s="415"/>
      <c r="B958" s="415"/>
      <c r="C958" s="299"/>
      <c r="D958" s="1559" t="s">
        <v>1791</v>
      </c>
      <c r="E958" s="1559"/>
      <c r="F958" s="1559"/>
      <c r="G958" s="554"/>
      <c r="H958" s="404"/>
      <c r="I958" s="404"/>
    </row>
    <row r="959" spans="1:9" ht="14.25" customHeight="1">
      <c r="A959" s="415"/>
      <c r="B959" s="415"/>
      <c r="C959" s="299"/>
      <c r="D959" s="991"/>
      <c r="E959" s="282"/>
      <c r="F959" s="296"/>
      <c r="G959" s="554"/>
      <c r="H959" s="404"/>
      <c r="I959" s="404"/>
    </row>
    <row r="960" spans="1:9" ht="14.4" customHeight="1">
      <c r="A960" s="413"/>
      <c r="B960" s="924" t="s">
        <v>1498</v>
      </c>
      <c r="C960" s="322"/>
      <c r="D960" s="1558" t="s">
        <v>1790</v>
      </c>
      <c r="E960" s="1558"/>
      <c r="F960" s="1558"/>
      <c r="G960" s="554"/>
      <c r="H960" s="404"/>
      <c r="I960" s="404"/>
    </row>
    <row r="961" spans="1:9" ht="13.2">
      <c r="A961" s="355"/>
      <c r="B961" s="355"/>
      <c r="C961" s="322"/>
      <c r="D961" s="1558"/>
      <c r="E961" s="1558"/>
      <c r="F961" s="1558"/>
      <c r="G961" s="554"/>
      <c r="H961" s="404"/>
      <c r="I961" s="404"/>
    </row>
    <row r="962" spans="1:9" ht="13.2">
      <c r="A962" s="355"/>
      <c r="B962" s="355"/>
      <c r="C962" s="322"/>
      <c r="D962" s="1558"/>
      <c r="E962" s="1558"/>
      <c r="F962" s="1558"/>
      <c r="G962" s="554"/>
      <c r="H962" s="404"/>
      <c r="I962" s="404"/>
    </row>
    <row r="963" spans="1:9" ht="13.2">
      <c r="A963" s="355"/>
      <c r="B963" s="355"/>
      <c r="C963" s="322"/>
      <c r="D963" s="1558"/>
      <c r="E963" s="1558"/>
      <c r="F963" s="1558"/>
      <c r="G963" s="554"/>
      <c r="H963" s="404"/>
      <c r="I963" s="404"/>
    </row>
    <row r="964" spans="1:9" ht="13.2">
      <c r="A964" s="355"/>
      <c r="B964" s="355"/>
      <c r="C964" s="322"/>
      <c r="D964" s="1558"/>
      <c r="E964" s="1558"/>
      <c r="F964" s="1558"/>
      <c r="G964" s="554"/>
      <c r="H964" s="404"/>
      <c r="I964" s="404"/>
    </row>
    <row r="965" spans="1:9" ht="13.2">
      <c r="A965" s="355"/>
      <c r="B965" s="355"/>
      <c r="C965" s="322"/>
      <c r="D965" s="1558"/>
      <c r="E965" s="1558"/>
      <c r="F965" s="1558"/>
      <c r="G965" s="554"/>
      <c r="H965" s="404"/>
      <c r="I965" s="404"/>
    </row>
    <row r="966" spans="1:9" ht="13.2">
      <c r="A966" s="355"/>
      <c r="B966" s="355"/>
      <c r="C966" s="322"/>
      <c r="D966" s="993"/>
      <c r="E966" s="993"/>
      <c r="F966" s="993"/>
      <c r="G966" s="554"/>
      <c r="H966" s="404"/>
      <c r="I966" s="404"/>
    </row>
    <row r="967" spans="1:9" ht="14.4" customHeight="1">
      <c r="A967" s="413"/>
      <c r="B967" s="924" t="s">
        <v>86</v>
      </c>
      <c r="C967" s="322"/>
      <c r="D967" s="1558" t="s">
        <v>1789</v>
      </c>
      <c r="E967" s="1558"/>
      <c r="F967" s="1558"/>
      <c r="G967" s="554"/>
      <c r="H967" s="404"/>
      <c r="I967" s="404"/>
    </row>
    <row r="968" spans="1:9" ht="13.2">
      <c r="A968" s="355"/>
      <c r="B968" s="355"/>
      <c r="C968" s="322"/>
      <c r="D968" s="1558"/>
      <c r="E968" s="1558"/>
      <c r="F968" s="1558"/>
      <c r="G968" s="554"/>
      <c r="H968" s="404"/>
      <c r="I968" s="404"/>
    </row>
    <row r="969" spans="1:9" ht="13.2">
      <c r="A969" s="355"/>
      <c r="B969" s="355"/>
      <c r="C969" s="322"/>
      <c r="D969" s="1558"/>
      <c r="E969" s="1558"/>
      <c r="F969" s="1558"/>
      <c r="G969" s="554"/>
      <c r="H969" s="404"/>
      <c r="I969" s="404"/>
    </row>
    <row r="970" spans="1:9" ht="13.2">
      <c r="A970" s="355"/>
      <c r="B970" s="355"/>
      <c r="C970" s="322"/>
      <c r="D970" s="1558"/>
      <c r="E970" s="1558"/>
      <c r="F970" s="1558"/>
      <c r="G970" s="554"/>
      <c r="H970" s="404"/>
      <c r="I970" s="404"/>
    </row>
    <row r="971" spans="1:9" ht="13.2">
      <c r="A971" s="355"/>
      <c r="B971" s="355"/>
      <c r="C971" s="322"/>
      <c r="D971" s="1558"/>
      <c r="E971" s="1558"/>
      <c r="F971" s="1558"/>
      <c r="G971" s="554"/>
      <c r="H971" s="404"/>
      <c r="I971" s="404"/>
    </row>
    <row r="972" spans="1:9" ht="13.2">
      <c r="A972" s="355"/>
      <c r="B972" s="355"/>
      <c r="C972" s="322"/>
      <c r="D972" s="688"/>
      <c r="E972" s="296"/>
      <c r="F972" s="296"/>
      <c r="G972" s="554"/>
      <c r="H972" s="404"/>
      <c r="I972" s="404"/>
    </row>
    <row r="973" spans="1:9" ht="14.4">
      <c r="A973" s="413"/>
      <c r="B973" s="924" t="s">
        <v>135</v>
      </c>
      <c r="C973" s="322"/>
      <c r="D973" s="1558" t="s">
        <v>1792</v>
      </c>
      <c r="E973" s="1558"/>
      <c r="F973" s="1558"/>
      <c r="G973" s="554"/>
      <c r="H973" s="404"/>
      <c r="I973" s="404"/>
    </row>
    <row r="974" spans="1:9" ht="13.2">
      <c r="A974" s="355"/>
      <c r="B974" s="355"/>
      <c r="C974" s="322"/>
      <c r="D974" s="1558"/>
      <c r="E974" s="1558"/>
      <c r="F974" s="1558"/>
      <c r="G974" s="554"/>
      <c r="H974" s="404"/>
      <c r="I974" s="404"/>
    </row>
    <row r="975" spans="1:9" ht="13.2">
      <c r="A975" s="355"/>
      <c r="B975" s="355"/>
      <c r="C975" s="322"/>
      <c r="D975" s="1558"/>
      <c r="E975" s="1558"/>
      <c r="F975" s="1558"/>
      <c r="G975" s="554"/>
      <c r="H975" s="404"/>
      <c r="I975" s="404"/>
    </row>
    <row r="976" spans="1:9" ht="13.2">
      <c r="A976" s="355"/>
      <c r="B976" s="355"/>
      <c r="C976" s="322"/>
      <c r="D976" s="1558"/>
      <c r="E976" s="1558"/>
      <c r="F976" s="1558"/>
      <c r="G976" s="554"/>
      <c r="H976" s="404"/>
      <c r="I976" s="404"/>
    </row>
    <row r="977" spans="1:9" ht="13.2">
      <c r="A977" s="355"/>
      <c r="B977" s="355"/>
      <c r="C977" s="322"/>
      <c r="D977" s="1558"/>
      <c r="E977" s="1558"/>
      <c r="F977" s="1558"/>
      <c r="G977" s="554"/>
      <c r="H977" s="404"/>
      <c r="I977" s="404"/>
    </row>
    <row r="978" spans="1:9" ht="13.2">
      <c r="A978" s="355"/>
      <c r="B978" s="355"/>
      <c r="C978" s="322"/>
      <c r="D978" s="688"/>
      <c r="E978" s="296"/>
      <c r="F978" s="296"/>
      <c r="G978" s="554"/>
      <c r="H978" s="404"/>
      <c r="I978" s="404"/>
    </row>
    <row r="979" spans="1:9" ht="14.4" customHeight="1">
      <c r="A979" s="413"/>
      <c r="B979" s="924" t="s">
        <v>135</v>
      </c>
      <c r="C979" s="322"/>
      <c r="D979" s="1558" t="s">
        <v>1793</v>
      </c>
      <c r="E979" s="1558"/>
      <c r="F979" s="1558"/>
      <c r="G979" s="554"/>
      <c r="H979" s="404"/>
      <c r="I979" s="404"/>
    </row>
    <row r="980" spans="1:9" ht="13.2">
      <c r="A980" s="355"/>
      <c r="B980" s="355"/>
      <c r="C980" s="322"/>
      <c r="D980" s="1558"/>
      <c r="E980" s="1558"/>
      <c r="F980" s="1558"/>
      <c r="G980" s="554"/>
      <c r="H980" s="404"/>
      <c r="I980" s="404"/>
    </row>
    <row r="981" spans="1:9" ht="13.2">
      <c r="A981" s="355"/>
      <c r="B981" s="355"/>
      <c r="C981" s="322"/>
      <c r="D981" s="1558"/>
      <c r="E981" s="1558"/>
      <c r="F981" s="1558"/>
      <c r="G981" s="554"/>
      <c r="H981" s="404"/>
      <c r="I981" s="404"/>
    </row>
    <row r="982" spans="1:9" ht="13.2">
      <c r="A982" s="355"/>
      <c r="B982" s="355"/>
      <c r="C982" s="322"/>
      <c r="D982" s="993"/>
      <c r="E982" s="993"/>
      <c r="F982" s="993"/>
      <c r="G982" s="554"/>
      <c r="H982" s="404"/>
      <c r="I982" s="404"/>
    </row>
    <row r="983" spans="1:9" ht="14.4">
      <c r="A983" s="413"/>
      <c r="B983" s="924" t="s">
        <v>135</v>
      </c>
      <c r="C983" s="322"/>
      <c r="D983" s="1558" t="s">
        <v>1794</v>
      </c>
      <c r="E983" s="1558"/>
      <c r="F983" s="1558"/>
      <c r="G983" s="554"/>
      <c r="H983" s="404"/>
      <c r="I983" s="404"/>
    </row>
    <row r="984" spans="1:9" ht="13.2">
      <c r="A984" s="355"/>
      <c r="B984" s="355"/>
      <c r="C984" s="322"/>
      <c r="D984" s="1558"/>
      <c r="E984" s="1558"/>
      <c r="F984" s="1558"/>
      <c r="G984" s="554"/>
      <c r="H984" s="404"/>
      <c r="I984" s="404"/>
    </row>
    <row r="985" spans="1:9" ht="13.2">
      <c r="A985" s="355"/>
      <c r="B985" s="355"/>
      <c r="C985" s="322"/>
      <c r="D985" s="688"/>
      <c r="E985" s="296"/>
      <c r="F985" s="296"/>
      <c r="G985" s="554"/>
      <c r="H985" s="404"/>
      <c r="I985" s="404"/>
    </row>
    <row r="986" spans="1:9" ht="13.2">
      <c r="A986" s="355"/>
      <c r="B986" s="924" t="s">
        <v>135</v>
      </c>
      <c r="C986" s="322"/>
      <c r="D986" s="1547" t="s">
        <v>1795</v>
      </c>
      <c r="E986" s="1547"/>
      <c r="F986" s="1547"/>
      <c r="G986" s="554"/>
      <c r="H986" s="404"/>
      <c r="I986" s="404"/>
    </row>
    <row r="987" spans="1:9" ht="13.2">
      <c r="A987" s="355"/>
      <c r="B987" s="355"/>
      <c r="C987" s="322"/>
      <c r="D987" s="1547"/>
      <c r="E987" s="1547"/>
      <c r="F987" s="1547"/>
      <c r="G987" s="554"/>
      <c r="H987" s="404"/>
      <c r="I987" s="404"/>
    </row>
    <row r="988" spans="1:9" ht="13.2">
      <c r="A988" s="355"/>
      <c r="B988" s="355"/>
      <c r="C988" s="322"/>
      <c r="D988" s="296"/>
      <c r="E988" s="296"/>
      <c r="F988" s="296"/>
      <c r="G988" s="554"/>
      <c r="H988" s="404"/>
      <c r="I988" s="404"/>
    </row>
    <row r="989" spans="1:9" ht="13.2">
      <c r="A989" s="355"/>
      <c r="B989" s="924" t="s">
        <v>135</v>
      </c>
      <c r="C989" s="322"/>
      <c r="D989" s="1560" t="s">
        <v>1938</v>
      </c>
      <c r="E989" s="1561"/>
      <c r="F989" s="1561"/>
      <c r="G989" s="554"/>
      <c r="H989" s="404"/>
      <c r="I989" s="404"/>
    </row>
    <row r="990" spans="1:9" ht="13.2">
      <c r="A990" s="355"/>
      <c r="B990" s="355"/>
      <c r="C990" s="322"/>
      <c r="D990" s="1560"/>
      <c r="E990" s="1561"/>
      <c r="F990" s="1561"/>
      <c r="G990" s="554"/>
      <c r="H990" s="404"/>
      <c r="I990" s="404"/>
    </row>
    <row r="991" spans="1:9" ht="13.2">
      <c r="A991" s="355"/>
      <c r="B991" s="355"/>
      <c r="C991" s="322"/>
      <c r="D991" s="1560"/>
      <c r="E991" s="1561"/>
      <c r="F991" s="1561"/>
      <c r="G991" s="554"/>
      <c r="H991" s="404"/>
      <c r="I991" s="404"/>
    </row>
    <row r="992" spans="1:9" ht="13.2">
      <c r="A992" s="355"/>
      <c r="B992" s="355"/>
      <c r="C992" s="322"/>
      <c r="D992" s="1561"/>
      <c r="E992" s="1561"/>
      <c r="F992" s="1561"/>
      <c r="G992" s="554"/>
      <c r="H992" s="404"/>
      <c r="I992" s="404"/>
    </row>
    <row r="993" spans="1:9" ht="13.2">
      <c r="A993" s="355"/>
      <c r="B993" s="355"/>
      <c r="C993" s="322"/>
      <c r="D993" s="287"/>
      <c r="E993" s="296"/>
      <c r="F993" s="296"/>
      <c r="G993" s="554"/>
      <c r="H993" s="404"/>
      <c r="I993" s="404"/>
    </row>
    <row r="994" spans="1:9" ht="13.2">
      <c r="A994" s="355"/>
      <c r="B994" s="924" t="s">
        <v>135</v>
      </c>
      <c r="C994" s="322"/>
      <c r="D994" s="1550" t="s">
        <v>1205</v>
      </c>
      <c r="E994" s="1550"/>
      <c r="F994" s="1550"/>
      <c r="G994" s="554"/>
      <c r="H994" s="404"/>
      <c r="I994" s="404"/>
    </row>
    <row r="995" spans="1:9" ht="13.2">
      <c r="A995" s="355"/>
      <c r="B995" s="355"/>
      <c r="C995" s="322"/>
      <c r="D995" s="287"/>
      <c r="E995" s="296"/>
      <c r="F995" s="296"/>
      <c r="G995" s="554"/>
      <c r="H995" s="404"/>
      <c r="I995" s="404"/>
    </row>
    <row r="996" spans="1:9" ht="13.2">
      <c r="A996" s="355"/>
      <c r="B996" s="924" t="s">
        <v>135</v>
      </c>
      <c r="C996" s="322"/>
      <c r="D996" s="1550" t="s">
        <v>1206</v>
      </c>
      <c r="E996" s="1550"/>
      <c r="F996" s="1550"/>
      <c r="G996" s="554"/>
      <c r="H996" s="404"/>
      <c r="I996" s="404"/>
    </row>
    <row r="997" spans="1:9" ht="12.75" customHeight="1">
      <c r="A997" s="355"/>
      <c r="B997" s="355"/>
      <c r="C997" s="322"/>
      <c r="D997" s="296"/>
      <c r="E997" s="296"/>
      <c r="F997" s="296"/>
      <c r="G997" s="554"/>
      <c r="H997" s="404"/>
      <c r="I997" s="404"/>
    </row>
    <row r="998" spans="1:9" ht="13.2">
      <c r="A998" s="355"/>
      <c r="B998" s="14"/>
      <c r="C998" s="322"/>
      <c r="D998" s="1551" t="s">
        <v>1614</v>
      </c>
      <c r="E998" s="1551"/>
      <c r="F998" s="1551"/>
      <c r="G998" s="554"/>
      <c r="H998" s="404"/>
      <c r="I998" s="404"/>
    </row>
    <row r="999" spans="1:9" ht="13.2">
      <c r="A999" s="355"/>
      <c r="B999" s="14"/>
      <c r="C999" s="322"/>
      <c r="D999" s="991"/>
      <c r="E999" s="296"/>
      <c r="F999" s="296"/>
      <c r="G999" s="554"/>
      <c r="H999" s="404"/>
      <c r="I999" s="404"/>
    </row>
    <row r="1000" spans="1:9" ht="14.4">
      <c r="A1000" s="413"/>
      <c r="B1000" s="924" t="s">
        <v>1498</v>
      </c>
      <c r="C1000" s="322"/>
      <c r="D1000" s="1552" t="s">
        <v>1796</v>
      </c>
      <c r="E1000" s="1552"/>
      <c r="F1000" s="1552"/>
      <c r="G1000" s="554"/>
      <c r="H1000" s="404"/>
      <c r="I1000" s="404"/>
    </row>
    <row r="1001" spans="1:9" ht="13.2">
      <c r="A1001" s="355"/>
      <c r="B1001" s="355"/>
      <c r="C1001" s="322"/>
      <c r="D1001" s="1552"/>
      <c r="E1001" s="1552"/>
      <c r="F1001" s="1552"/>
      <c r="G1001" s="554"/>
      <c r="H1001" s="404"/>
      <c r="I1001" s="404"/>
    </row>
    <row r="1002" spans="1:9" ht="13.2">
      <c r="A1002" s="355"/>
      <c r="B1002" s="355"/>
      <c r="C1002" s="322"/>
      <c r="D1002" s="1552"/>
      <c r="E1002" s="1552"/>
      <c r="F1002" s="1552"/>
      <c r="G1002" s="554"/>
      <c r="H1002" s="404"/>
      <c r="I1002" s="404"/>
    </row>
    <row r="1003" spans="1:9" ht="13.2">
      <c r="A1003" s="355"/>
      <c r="B1003" s="355"/>
      <c r="C1003" s="322"/>
      <c r="D1003" s="1552"/>
      <c r="E1003" s="1552"/>
      <c r="F1003" s="1552"/>
      <c r="G1003" s="554"/>
      <c r="H1003" s="404"/>
      <c r="I1003" s="404"/>
    </row>
    <row r="1004" spans="1:9" ht="13.2">
      <c r="A1004" s="355"/>
      <c r="B1004" s="355"/>
      <c r="C1004" s="322"/>
      <c r="D1004" s="1552"/>
      <c r="E1004" s="1552"/>
      <c r="F1004" s="1552"/>
      <c r="G1004" s="554"/>
      <c r="H1004" s="404"/>
      <c r="I1004" s="404"/>
    </row>
    <row r="1005" spans="1:9" ht="13.2">
      <c r="A1005" s="355"/>
      <c r="B1005" s="355"/>
      <c r="C1005" s="322"/>
      <c r="E1005" s="282"/>
      <c r="F1005" s="282"/>
      <c r="G1005" s="554"/>
      <c r="H1005" s="404"/>
      <c r="I1005" s="404"/>
    </row>
    <row r="1006" spans="1:9" ht="14.4">
      <c r="A1006" s="413"/>
      <c r="B1006" s="924" t="s">
        <v>135</v>
      </c>
      <c r="C1006" s="322"/>
      <c r="D1006" s="1552" t="s">
        <v>1797</v>
      </c>
      <c r="E1006" s="1552"/>
      <c r="F1006" s="1552"/>
      <c r="G1006" s="554"/>
      <c r="H1006" s="404"/>
      <c r="I1006" s="404"/>
    </row>
    <row r="1007" spans="1:9" ht="13.2">
      <c r="A1007" s="355"/>
      <c r="B1007" s="355"/>
      <c r="C1007" s="322"/>
      <c r="D1007" s="1552"/>
      <c r="E1007" s="1552"/>
      <c r="F1007" s="1552"/>
      <c r="G1007" s="554"/>
      <c r="H1007" s="404"/>
      <c r="I1007" s="404"/>
    </row>
    <row r="1008" spans="1:9" ht="13.2">
      <c r="A1008" s="355"/>
      <c r="B1008" s="355"/>
      <c r="C1008" s="322"/>
      <c r="D1008" s="1552"/>
      <c r="E1008" s="1552"/>
      <c r="F1008" s="1552"/>
      <c r="G1008" s="554"/>
      <c r="H1008" s="404"/>
      <c r="I1008" s="404"/>
    </row>
    <row r="1009" spans="1:9" ht="13.2">
      <c r="A1009" s="355"/>
      <c r="B1009" s="355"/>
      <c r="C1009" s="322"/>
      <c r="D1009" s="1552"/>
      <c r="E1009" s="1552"/>
      <c r="F1009" s="1552"/>
      <c r="G1009" s="554"/>
      <c r="H1009" s="404"/>
      <c r="I1009" s="404"/>
    </row>
    <row r="1010" spans="1:9" ht="13.2">
      <c r="A1010" s="355"/>
      <c r="B1010" s="355"/>
      <c r="C1010" s="322"/>
      <c r="D1010" s="1552"/>
      <c r="E1010" s="1552"/>
      <c r="F1010" s="1552"/>
      <c r="G1010" s="554"/>
      <c r="H1010" s="404"/>
      <c r="I1010" s="404"/>
    </row>
    <row r="1011" spans="1:9" ht="13.2">
      <c r="A1011" s="355"/>
      <c r="B1011" s="355"/>
      <c r="C1011" s="322"/>
      <c r="D1011" s="296"/>
      <c r="E1011" s="296"/>
      <c r="F1011" s="296"/>
      <c r="G1011" s="554"/>
      <c r="H1011" s="404"/>
      <c r="I1011" s="404"/>
    </row>
    <row r="1012" spans="1:9" ht="13.2">
      <c r="A1012" s="355"/>
      <c r="B1012" s="355"/>
      <c r="C1012" s="322"/>
      <c r="D1012" s="1551" t="s">
        <v>1615</v>
      </c>
      <c r="E1012" s="1551"/>
      <c r="F1012" s="1551"/>
      <c r="G1012" s="554"/>
      <c r="H1012" s="404"/>
      <c r="I1012" s="404"/>
    </row>
    <row r="1013" spans="1:9" ht="13.2">
      <c r="A1013" s="355"/>
      <c r="B1013" s="355"/>
      <c r="C1013" s="322"/>
      <c r="D1013" s="991"/>
      <c r="E1013" s="296"/>
      <c r="F1013" s="296"/>
      <c r="G1013" s="554"/>
      <c r="H1013" s="404"/>
      <c r="I1013" s="404"/>
    </row>
    <row r="1014" spans="1:9" ht="14.4">
      <c r="A1014" s="413"/>
      <c r="B1014" s="924" t="s">
        <v>135</v>
      </c>
      <c r="C1014" s="322"/>
      <c r="D1014" s="1552" t="s">
        <v>1803</v>
      </c>
      <c r="E1014" s="1552"/>
      <c r="F1014" s="1552"/>
      <c r="G1014" s="554"/>
      <c r="H1014" s="404"/>
      <c r="I1014" s="404"/>
    </row>
    <row r="1015" spans="1:9" ht="13.2">
      <c r="A1015" s="355"/>
      <c r="B1015" s="355"/>
      <c r="C1015" s="322"/>
      <c r="D1015" s="1552"/>
      <c r="E1015" s="1552"/>
      <c r="F1015" s="1552"/>
      <c r="G1015" s="554"/>
      <c r="H1015" s="404"/>
      <c r="I1015" s="404"/>
    </row>
    <row r="1016" spans="1:9" ht="13.2">
      <c r="A1016" s="355"/>
      <c r="B1016" s="355"/>
      <c r="C1016" s="322"/>
      <c r="D1016" s="1552"/>
      <c r="E1016" s="1552"/>
      <c r="F1016" s="1552"/>
      <c r="G1016" s="554"/>
      <c r="H1016" s="404"/>
      <c r="I1016" s="404"/>
    </row>
    <row r="1017" spans="1:9" ht="13.2">
      <c r="A1017" s="355"/>
      <c r="B1017" s="355"/>
      <c r="C1017" s="322"/>
      <c r="E1017" s="282"/>
      <c r="F1017" s="282"/>
      <c r="G1017" s="554"/>
      <c r="H1017" s="404"/>
      <c r="I1017" s="404"/>
    </row>
    <row r="1018" spans="1:9" ht="14.4">
      <c r="A1018" s="413"/>
      <c r="B1018" s="924" t="s">
        <v>1498</v>
      </c>
      <c r="C1018" s="322"/>
      <c r="D1018" s="1552" t="s">
        <v>1804</v>
      </c>
      <c r="E1018" s="1552"/>
      <c r="F1018" s="1552"/>
      <c r="G1018" s="554"/>
      <c r="H1018" s="404"/>
      <c r="I1018" s="404"/>
    </row>
    <row r="1019" spans="1:9" ht="13.2">
      <c r="A1019" s="355"/>
      <c r="B1019" s="355"/>
      <c r="C1019" s="322"/>
      <c r="D1019" s="1552"/>
      <c r="E1019" s="1552"/>
      <c r="F1019" s="1552"/>
      <c r="G1019" s="554"/>
      <c r="H1019" s="404"/>
      <c r="I1019" s="404"/>
    </row>
    <row r="1020" spans="1:9" ht="13.2">
      <c r="A1020" s="355"/>
      <c r="B1020" s="355"/>
      <c r="C1020" s="322"/>
      <c r="D1020" s="1552"/>
      <c r="E1020" s="1552"/>
      <c r="F1020" s="1552"/>
      <c r="G1020" s="554"/>
      <c r="H1020" s="404"/>
      <c r="I1020" s="404"/>
    </row>
    <row r="1021" spans="1:9" ht="13.2">
      <c r="A1021" s="355"/>
      <c r="B1021" s="355"/>
      <c r="C1021" s="322"/>
      <c r="D1021" s="287"/>
      <c r="E1021" s="296"/>
      <c r="F1021" s="296"/>
      <c r="G1021" s="554"/>
      <c r="H1021" s="404"/>
      <c r="I1021" s="404"/>
    </row>
    <row r="1022" spans="1:9" ht="13.2">
      <c r="A1022" s="355"/>
      <c r="B1022" s="355"/>
      <c r="C1022" s="322"/>
      <c r="D1022" s="1551" t="s">
        <v>1616</v>
      </c>
      <c r="E1022" s="1551"/>
      <c r="F1022" s="1551"/>
      <c r="G1022" s="554"/>
      <c r="H1022" s="404"/>
      <c r="I1022" s="404"/>
    </row>
    <row r="1023" spans="1:9" ht="13.2">
      <c r="A1023" s="355"/>
      <c r="B1023" s="355"/>
      <c r="C1023" s="322"/>
      <c r="D1023" s="991"/>
      <c r="E1023" s="296"/>
      <c r="F1023" s="296"/>
      <c r="G1023" s="554"/>
      <c r="H1023" s="404"/>
      <c r="I1023" s="404"/>
    </row>
    <row r="1024" spans="1:9" ht="14.25" customHeight="1">
      <c r="A1024" s="413"/>
      <c r="B1024" s="924" t="s">
        <v>135</v>
      </c>
      <c r="C1024" s="322"/>
      <c r="D1024" s="1556" t="s">
        <v>1806</v>
      </c>
      <c r="E1024" s="1556"/>
      <c r="F1024" s="1556"/>
      <c r="G1024" s="460"/>
      <c r="H1024" s="463"/>
      <c r="I1024" s="463"/>
    </row>
    <row r="1025" spans="1:9" ht="13.2">
      <c r="A1025" s="355"/>
      <c r="B1025" s="355"/>
      <c r="C1025" s="322"/>
      <c r="D1025" s="1556"/>
      <c r="E1025" s="1556"/>
      <c r="F1025" s="1556"/>
      <c r="G1025" s="460"/>
      <c r="H1025" s="463"/>
      <c r="I1025" s="463"/>
    </row>
    <row r="1026" spans="1:9" ht="13.2">
      <c r="A1026" s="355"/>
      <c r="B1026" s="355"/>
      <c r="C1026" s="322"/>
      <c r="D1026" s="1556"/>
      <c r="E1026" s="1556"/>
      <c r="F1026" s="1556"/>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1498</v>
      </c>
      <c r="C1028" s="322"/>
      <c r="D1028" s="1556" t="s">
        <v>1805</v>
      </c>
      <c r="E1028" s="1556"/>
      <c r="F1028" s="1556"/>
      <c r="G1028" s="463"/>
      <c r="H1028" s="404"/>
      <c r="I1028" s="404"/>
    </row>
    <row r="1029" spans="1:9" ht="13.2">
      <c r="A1029" s="355"/>
      <c r="B1029" s="355"/>
      <c r="C1029" s="322"/>
      <c r="D1029" s="1556"/>
      <c r="E1029" s="1556"/>
      <c r="F1029" s="1556"/>
      <c r="G1029" s="463"/>
      <c r="H1029" s="404"/>
      <c r="I1029" s="404"/>
    </row>
    <row r="1030" spans="1:9" ht="13.2">
      <c r="A1030" s="355"/>
      <c r="B1030" s="355"/>
      <c r="C1030" s="322"/>
      <c r="D1030" s="1556"/>
      <c r="E1030" s="1556"/>
      <c r="F1030" s="1556"/>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557" t="s">
        <v>1807</v>
      </c>
      <c r="E1032" s="1557"/>
      <c r="F1032" s="1557"/>
      <c r="G1032" s="546"/>
      <c r="H1032" s="404"/>
      <c r="I1032" s="404"/>
    </row>
    <row r="1033" spans="1:9" ht="13.2">
      <c r="A1033" s="355"/>
      <c r="B1033" s="355"/>
      <c r="C1033" s="322"/>
      <c r="D1033" s="1557"/>
      <c r="E1033" s="1557"/>
      <c r="F1033" s="1557"/>
      <c r="G1033" s="546"/>
      <c r="H1033" s="404"/>
      <c r="I1033" s="404"/>
    </row>
    <row r="1034" spans="1:9" ht="13.2">
      <c r="A1034" s="355"/>
      <c r="B1034" s="355"/>
      <c r="C1034" s="322"/>
      <c r="D1034" s="1557"/>
      <c r="E1034" s="1557"/>
      <c r="F1034" s="1557"/>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56" t="s">
        <v>1808</v>
      </c>
      <c r="E1036" s="1556"/>
      <c r="F1036" s="1556"/>
      <c r="G1036" s="546"/>
      <c r="H1036" s="546"/>
      <c r="I1036" s="546"/>
    </row>
    <row r="1037" spans="1:9" ht="13.2">
      <c r="A1037" s="355"/>
      <c r="B1037" s="355"/>
      <c r="C1037" s="322"/>
      <c r="D1037" s="1556"/>
      <c r="E1037" s="1556"/>
      <c r="F1037" s="1556"/>
      <c r="G1037" s="546"/>
      <c r="H1037" s="546"/>
      <c r="I1037" s="546"/>
    </row>
    <row r="1038" spans="1:9" ht="13.2">
      <c r="A1038" s="355"/>
      <c r="B1038" s="355"/>
      <c r="C1038" s="322"/>
      <c r="D1038" s="1556"/>
      <c r="E1038" s="1556"/>
      <c r="F1038" s="1556"/>
      <c r="G1038" s="546"/>
      <c r="H1038" s="546"/>
      <c r="I1038" s="546"/>
    </row>
    <row r="1039" spans="1:9" ht="14.4">
      <c r="A1039" s="413"/>
      <c r="B1039" s="413"/>
      <c r="C1039" s="322"/>
      <c r="D1039" s="287"/>
      <c r="E1039" s="296"/>
      <c r="F1039" s="296"/>
      <c r="G1039" s="554"/>
      <c r="H1039" s="404"/>
      <c r="I1039" s="404"/>
    </row>
    <row r="1040" spans="1:9" ht="12.75" customHeight="1">
      <c r="A1040" s="355"/>
      <c r="B1040" s="924" t="s">
        <v>135</v>
      </c>
      <c r="C1040" s="322"/>
      <c r="D1040" s="1556" t="s">
        <v>1809</v>
      </c>
      <c r="E1040" s="1556"/>
      <c r="F1040" s="1556"/>
      <c r="G1040" s="546"/>
      <c r="H1040" s="546"/>
      <c r="I1040" s="546"/>
    </row>
    <row r="1041" spans="1:9" ht="13.2">
      <c r="A1041" s="355"/>
      <c r="B1041" s="355"/>
      <c r="C1041" s="322"/>
      <c r="D1041" s="1556"/>
      <c r="E1041" s="1556"/>
      <c r="F1041" s="1556"/>
      <c r="G1041" s="546"/>
      <c r="H1041" s="546"/>
      <c r="I1041" s="546"/>
    </row>
    <row r="1042" spans="1:9" ht="13.2">
      <c r="A1042" s="355"/>
      <c r="B1042" s="355"/>
      <c r="C1042" s="322"/>
      <c r="D1042" s="1556"/>
      <c r="E1042" s="1556"/>
      <c r="F1042" s="1556"/>
      <c r="G1042" s="546"/>
      <c r="H1042" s="546"/>
      <c r="I1042" s="546"/>
    </row>
    <row r="1043" spans="1:9" ht="13.2">
      <c r="A1043" s="355"/>
      <c r="B1043" s="355"/>
      <c r="C1043" s="322"/>
      <c r="D1043" s="287"/>
      <c r="E1043" s="296"/>
      <c r="F1043" s="296"/>
      <c r="G1043" s="554"/>
      <c r="H1043" s="404"/>
      <c r="I1043" s="404"/>
    </row>
    <row r="1044" spans="1:9" ht="12.75" customHeight="1">
      <c r="A1044" s="355"/>
      <c r="B1044" s="924" t="s">
        <v>135</v>
      </c>
      <c r="C1044" s="322"/>
      <c r="D1044" s="1556" t="s">
        <v>1617</v>
      </c>
      <c r="E1044" s="1556"/>
      <c r="F1044" s="1556"/>
      <c r="G1044" s="460"/>
      <c r="H1044" s="404"/>
      <c r="I1044" s="404"/>
    </row>
    <row r="1045" spans="1:9" ht="13.2">
      <c r="A1045" s="355"/>
      <c r="B1045" s="355"/>
      <c r="C1045" s="322"/>
      <c r="D1045" s="1556"/>
      <c r="E1045" s="1556"/>
      <c r="F1045" s="1556"/>
      <c r="G1045" s="460"/>
      <c r="H1045" s="404"/>
      <c r="I1045" s="404"/>
    </row>
    <row r="1046" spans="1:9" ht="13.2">
      <c r="A1046" s="355"/>
      <c r="B1046" s="355"/>
      <c r="C1046" s="322"/>
      <c r="D1046" s="1556"/>
      <c r="E1046" s="1556"/>
      <c r="F1046" s="1556"/>
      <c r="G1046" s="460"/>
      <c r="H1046" s="404"/>
      <c r="I1046" s="404"/>
    </row>
    <row r="1047" spans="1:9" ht="13.2">
      <c r="A1047" s="355"/>
      <c r="B1047" s="355"/>
      <c r="C1047" s="322"/>
      <c r="D1047" s="460"/>
      <c r="E1047" s="460"/>
      <c r="F1047" s="460"/>
      <c r="G1047" s="460"/>
      <c r="H1047" s="404"/>
      <c r="I1047" s="404"/>
    </row>
    <row r="1048" spans="1:9" ht="12.75" customHeight="1">
      <c r="A1048" s="355"/>
      <c r="B1048" s="924" t="s">
        <v>135</v>
      </c>
      <c r="C1048" s="322"/>
      <c r="D1048" s="1556" t="s">
        <v>1618</v>
      </c>
      <c r="E1048" s="1556"/>
      <c r="F1048" s="1556"/>
      <c r="G1048" s="460"/>
      <c r="H1048" s="404"/>
      <c r="I1048" s="404"/>
    </row>
    <row r="1049" spans="1:9" ht="13.2">
      <c r="A1049" s="355"/>
      <c r="B1049" s="355"/>
      <c r="C1049" s="322"/>
      <c r="D1049" s="1556"/>
      <c r="E1049" s="1556"/>
      <c r="F1049" s="1556"/>
      <c r="G1049" s="460"/>
      <c r="H1049" s="404"/>
      <c r="I1049" s="404"/>
    </row>
    <row r="1050" spans="1:9" ht="13.2">
      <c r="A1050" s="355"/>
      <c r="B1050" s="355"/>
      <c r="C1050" s="322"/>
      <c r="D1050" s="1556"/>
      <c r="E1050" s="1556"/>
      <c r="F1050" s="1556"/>
      <c r="G1050" s="460"/>
      <c r="H1050" s="404"/>
      <c r="I1050" s="404"/>
    </row>
    <row r="1051" spans="1:9" ht="13.2">
      <c r="A1051" s="355"/>
      <c r="B1051" s="355"/>
      <c r="C1051" s="322"/>
      <c r="D1051" s="466"/>
      <c r="E1051" s="466"/>
      <c r="F1051" s="466"/>
      <c r="G1051" s="492"/>
      <c r="H1051" s="404"/>
      <c r="I1051" s="404"/>
    </row>
    <row r="1052" spans="1:9" ht="12.75" customHeight="1">
      <c r="A1052" s="561"/>
      <c r="B1052" s="924" t="s">
        <v>135</v>
      </c>
      <c r="C1052" s="405"/>
      <c r="D1052" s="1620" t="s">
        <v>1216</v>
      </c>
      <c r="E1052" s="1620"/>
      <c r="F1052" s="1620"/>
      <c r="G1052" s="922"/>
      <c r="H1052" s="404"/>
      <c r="I1052" s="404"/>
    </row>
    <row r="1053" spans="1:9" ht="13.2">
      <c r="A1053" s="561"/>
      <c r="B1053" s="561"/>
      <c r="C1053" s="405"/>
      <c r="D1053" s="1620"/>
      <c r="E1053" s="1620"/>
      <c r="F1053" s="1620"/>
      <c r="G1053" s="922"/>
      <c r="H1053" s="404"/>
      <c r="I1053" s="404"/>
    </row>
    <row r="1054" spans="1:9" ht="13.2">
      <c r="A1054" s="561"/>
      <c r="B1054" s="561"/>
      <c r="C1054" s="405"/>
      <c r="D1054" s="1620"/>
      <c r="E1054" s="1620"/>
      <c r="F1054" s="1620"/>
      <c r="G1054" s="922"/>
      <c r="H1054" s="404"/>
      <c r="I1054" s="404"/>
    </row>
    <row r="1055" spans="1:9" ht="13.2">
      <c r="A1055" s="561"/>
      <c r="B1055" s="561"/>
      <c r="C1055" s="405"/>
      <c r="D1055" s="1620"/>
      <c r="E1055" s="1620"/>
      <c r="F1055" s="1620"/>
      <c r="G1055" s="922"/>
      <c r="H1055" s="404"/>
      <c r="I1055" s="404"/>
    </row>
    <row r="1056" spans="1:9" ht="13.2">
      <c r="A1056" s="561"/>
      <c r="B1056" s="561"/>
      <c r="C1056" s="405"/>
      <c r="D1056" s="1620"/>
      <c r="E1056" s="1620"/>
      <c r="F1056" s="1620"/>
      <c r="G1056" s="922"/>
      <c r="H1056" s="404"/>
      <c r="I1056" s="404"/>
    </row>
    <row r="1057" spans="1:9" ht="13.2">
      <c r="A1057" s="561"/>
      <c r="B1057" s="561"/>
      <c r="C1057" s="405"/>
      <c r="D1057" s="1620"/>
      <c r="E1057" s="1620"/>
      <c r="F1057" s="1620"/>
      <c r="G1057" s="922"/>
      <c r="H1057" s="404"/>
      <c r="I1057" s="404"/>
    </row>
    <row r="1058" spans="1:9" ht="13.2">
      <c r="A1058" s="561"/>
      <c r="B1058" s="561"/>
      <c r="C1058" s="405"/>
      <c r="D1058" s="1620"/>
      <c r="E1058" s="1620"/>
      <c r="F1058" s="1620"/>
      <c r="G1058" s="922"/>
      <c r="H1058" s="404"/>
      <c r="I1058" s="404"/>
    </row>
    <row r="1059" spans="1:9" ht="13.2">
      <c r="A1059" s="561"/>
      <c r="B1059" s="561"/>
      <c r="C1059" s="405"/>
      <c r="D1059" s="1620"/>
      <c r="E1059" s="1620"/>
      <c r="F1059" s="1620"/>
      <c r="G1059" s="922"/>
      <c r="H1059" s="404"/>
      <c r="I1059" s="404"/>
    </row>
    <row r="1060" spans="1:9" ht="13.2">
      <c r="A1060" s="561"/>
      <c r="B1060" s="561"/>
      <c r="C1060" s="405"/>
      <c r="D1060" s="1620"/>
      <c r="E1060" s="1620"/>
      <c r="F1060" s="1620"/>
      <c r="G1060" s="922"/>
      <c r="H1060" s="404"/>
      <c r="I1060" s="404"/>
    </row>
    <row r="1061" spans="1:9" ht="13.2">
      <c r="A1061" s="561"/>
      <c r="B1061" s="561"/>
      <c r="C1061" s="405"/>
      <c r="D1061" s="1620"/>
      <c r="E1061" s="1620"/>
      <c r="F1061" s="1620"/>
      <c r="G1061" s="922"/>
      <c r="H1061" s="404"/>
      <c r="I1061" s="404"/>
    </row>
    <row r="1062" spans="1:9" ht="27.6" customHeight="1">
      <c r="A1062" s="561"/>
      <c r="B1062" s="561"/>
      <c r="C1062" s="405"/>
      <c r="D1062" s="1620"/>
      <c r="E1062" s="1620"/>
      <c r="F1062" s="1620"/>
      <c r="G1062" s="922"/>
      <c r="H1062" s="404"/>
      <c r="I1062" s="404"/>
    </row>
    <row r="1063" spans="1:9" ht="13.2">
      <c r="A1063" s="561"/>
      <c r="B1063" s="561"/>
      <c r="C1063" s="405"/>
      <c r="D1063" s="642"/>
      <c r="E1063" s="642"/>
      <c r="F1063" s="642"/>
      <c r="G1063" s="642"/>
      <c r="H1063" s="404"/>
      <c r="I1063" s="404"/>
    </row>
    <row r="1064" spans="1:9" ht="12.75" customHeight="1">
      <c r="A1064" s="355"/>
      <c r="B1064" s="355"/>
      <c r="C1064" s="322"/>
      <c r="D1064" s="1551" t="s">
        <v>1619</v>
      </c>
      <c r="E1064" s="1551"/>
      <c r="F1064" s="1551"/>
      <c r="G1064" s="642"/>
      <c r="H1064" s="404"/>
      <c r="I1064" s="404"/>
    </row>
    <row r="1065" spans="1:9" ht="12.75" customHeight="1">
      <c r="A1065" s="355"/>
      <c r="B1065" s="355"/>
      <c r="C1065" s="322"/>
      <c r="D1065" s="991"/>
      <c r="E1065" s="988"/>
      <c r="F1065" s="988"/>
      <c r="G1065" s="642"/>
      <c r="H1065" s="404"/>
      <c r="I1065" s="404"/>
    </row>
    <row r="1066" spans="1:9" ht="14.4">
      <c r="A1066" s="413"/>
      <c r="B1066" s="924" t="s">
        <v>1498</v>
      </c>
      <c r="C1066" s="322"/>
      <c r="D1066" s="1547" t="s">
        <v>1810</v>
      </c>
      <c r="E1066" s="1547"/>
      <c r="F1066" s="1547"/>
      <c r="G1066" s="554"/>
      <c r="H1066" s="404"/>
      <c r="I1066" s="404"/>
    </row>
    <row r="1067" spans="1:9" ht="13.2">
      <c r="A1067" s="355"/>
      <c r="B1067" s="355"/>
      <c r="C1067" s="322"/>
      <c r="D1067" s="1547"/>
      <c r="E1067" s="1547"/>
      <c r="F1067" s="1547"/>
      <c r="G1067" s="554"/>
      <c r="H1067" s="404"/>
      <c r="I1067" s="404"/>
    </row>
    <row r="1068" spans="1:9" ht="13.2">
      <c r="A1068" s="355"/>
      <c r="B1068" s="355"/>
      <c r="C1068" s="322"/>
      <c r="D1068" s="1547"/>
      <c r="E1068" s="1547"/>
      <c r="F1068" s="1547"/>
      <c r="G1068" s="554"/>
      <c r="H1068" s="404"/>
      <c r="I1068" s="404"/>
    </row>
    <row r="1069" spans="1:9" ht="13.2">
      <c r="A1069" s="355"/>
      <c r="B1069" s="355"/>
      <c r="C1069" s="322"/>
      <c r="D1069" s="1547"/>
      <c r="E1069" s="1547"/>
      <c r="F1069" s="1547"/>
      <c r="G1069" s="554"/>
      <c r="H1069" s="404"/>
      <c r="I1069" s="404"/>
    </row>
    <row r="1070" spans="1:9" ht="13.2">
      <c r="A1070" s="355"/>
      <c r="B1070" s="355"/>
      <c r="C1070" s="322"/>
      <c r="D1070" s="296"/>
      <c r="E1070" s="296"/>
      <c r="F1070" s="296"/>
      <c r="G1070" s="554"/>
      <c r="H1070" s="404"/>
      <c r="I1070" s="404"/>
    </row>
    <row r="1071" spans="1:9" ht="14.4">
      <c r="A1071" s="413"/>
      <c r="B1071" s="924" t="s">
        <v>135</v>
      </c>
      <c r="C1071" s="322"/>
      <c r="D1071" s="1547" t="s">
        <v>1811</v>
      </c>
      <c r="E1071" s="1547"/>
      <c r="F1071" s="1547"/>
      <c r="G1071" s="554"/>
      <c r="H1071" s="404"/>
      <c r="I1071" s="404"/>
    </row>
    <row r="1072" spans="1:9" ht="13.2">
      <c r="A1072" s="355"/>
      <c r="B1072" s="355"/>
      <c r="C1072" s="322"/>
      <c r="D1072" s="1547"/>
      <c r="E1072" s="1547"/>
      <c r="F1072" s="1547"/>
      <c r="G1072" s="554"/>
      <c r="H1072" s="404"/>
      <c r="I1072" s="404"/>
    </row>
    <row r="1073" spans="1:9" ht="13.2">
      <c r="A1073" s="355"/>
      <c r="B1073" s="355"/>
      <c r="C1073" s="322"/>
      <c r="D1073" s="1547"/>
      <c r="E1073" s="1547"/>
      <c r="F1073" s="1547"/>
      <c r="G1073" s="554"/>
      <c r="H1073" s="404"/>
      <c r="I1073" s="404"/>
    </row>
    <row r="1074" spans="1:9" ht="13.2">
      <c r="A1074" s="355"/>
      <c r="B1074" s="355"/>
      <c r="C1074" s="322"/>
      <c r="D1074" s="1547"/>
      <c r="E1074" s="1547"/>
      <c r="F1074" s="1547"/>
      <c r="G1074" s="554"/>
      <c r="H1074" s="404"/>
      <c r="I1074" s="404"/>
    </row>
    <row r="1075" spans="1:9" ht="13.2">
      <c r="A1075" s="355"/>
      <c r="B1075" s="355"/>
      <c r="C1075" s="322"/>
      <c r="D1075" s="296"/>
      <c r="E1075" s="296"/>
      <c r="F1075" s="296"/>
      <c r="G1075" s="554"/>
    </row>
    <row r="1076" spans="1:9" ht="13.2">
      <c r="A1076" s="355"/>
      <c r="B1076" s="924" t="s">
        <v>135</v>
      </c>
      <c r="C1076" s="322"/>
      <c r="D1076" s="1607" t="s">
        <v>1812</v>
      </c>
      <c r="E1076" s="1607"/>
      <c r="F1076" s="1607"/>
      <c r="G1076" s="554"/>
    </row>
    <row r="1077" spans="1:9" ht="13.2">
      <c r="A1077" s="355"/>
      <c r="B1077" s="355"/>
      <c r="C1077" s="322"/>
      <c r="D1077" s="1607"/>
      <c r="E1077" s="1607"/>
      <c r="F1077" s="1607"/>
      <c r="G1077" s="554"/>
    </row>
    <row r="1078" spans="1:9" ht="13.2">
      <c r="A1078" s="355"/>
      <c r="B1078" s="355"/>
      <c r="C1078" s="322"/>
      <c r="D1078" s="1607"/>
      <c r="E1078" s="1607"/>
      <c r="F1078" s="1607"/>
      <c r="G1078" s="554"/>
    </row>
    <row r="1079" spans="1:9" ht="13.2">
      <c r="A1079" s="355"/>
      <c r="B1079" s="355"/>
      <c r="C1079" s="322"/>
      <c r="D1079" s="296"/>
      <c r="E1079" s="296"/>
      <c r="F1079" s="296"/>
      <c r="G1079" s="554"/>
    </row>
    <row r="1080" spans="1:9" ht="14.4">
      <c r="A1080" s="413"/>
      <c r="B1080" s="924" t="s">
        <v>135</v>
      </c>
      <c r="C1080" s="658"/>
      <c r="D1080" s="1608" t="s">
        <v>1813</v>
      </c>
      <c r="E1080" s="1608"/>
      <c r="F1080" s="1608"/>
      <c r="G1080" s="690"/>
    </row>
    <row r="1081" spans="1:9" ht="13.2">
      <c r="A1081" s="657"/>
      <c r="B1081" s="657"/>
      <c r="C1081" s="658"/>
      <c r="D1081" s="1608"/>
      <c r="E1081" s="1608"/>
      <c r="F1081" s="1608"/>
      <c r="G1081" s="690"/>
    </row>
    <row r="1082" spans="1:9" ht="13.2">
      <c r="A1082" s="657"/>
      <c r="B1082" s="657"/>
      <c r="C1082" s="658"/>
      <c r="D1082" s="1608"/>
      <c r="E1082" s="1608"/>
      <c r="F1082" s="1608"/>
      <c r="G1082" s="690"/>
    </row>
    <row r="1083" spans="1:9" ht="13.2">
      <c r="A1083" s="355"/>
      <c r="B1083" s="355"/>
      <c r="C1083" s="322"/>
      <c r="D1083" s="296"/>
      <c r="E1083" s="296"/>
      <c r="F1083" s="296"/>
      <c r="G1083" s="554"/>
    </row>
    <row r="1084" spans="1:9" ht="13.2">
      <c r="A1084" s="14"/>
      <c r="B1084" s="14"/>
      <c r="C1084" s="322"/>
      <c r="D1084" s="1551" t="s">
        <v>1620</v>
      </c>
      <c r="E1084" s="1551"/>
      <c r="F1084" s="1551"/>
      <c r="G1084" s="554"/>
    </row>
    <row r="1085" spans="1:9" ht="13.2">
      <c r="A1085" s="14"/>
      <c r="B1085" s="14"/>
      <c r="C1085" s="322"/>
      <c r="D1085" s="991"/>
      <c r="E1085" s="296"/>
      <c r="F1085" s="296"/>
      <c r="G1085" s="554"/>
    </row>
    <row r="1086" spans="1:9" ht="13.2">
      <c r="A1086" s="355"/>
      <c r="B1086" s="924" t="s">
        <v>135</v>
      </c>
      <c r="C1086" s="322"/>
      <c r="D1086" s="1552" t="s">
        <v>1814</v>
      </c>
      <c r="E1086" s="1552"/>
      <c r="F1086" s="1552"/>
      <c r="G1086" s="554"/>
    </row>
    <row r="1087" spans="1:9" ht="13.2">
      <c r="A1087" s="355"/>
      <c r="B1087" s="355"/>
      <c r="C1087" s="322"/>
      <c r="D1087" s="1552"/>
      <c r="E1087" s="1552"/>
      <c r="F1087" s="1552"/>
      <c r="G1087" s="554"/>
    </row>
    <row r="1088" spans="1:9" ht="13.2">
      <c r="A1088" s="355"/>
      <c r="B1088" s="355"/>
      <c r="C1088" s="322"/>
      <c r="D1088" s="1552"/>
      <c r="E1088" s="1552"/>
      <c r="F1088" s="1552"/>
      <c r="G1088" s="554"/>
    </row>
    <row r="1089" spans="1:7" ht="13.2">
      <c r="A1089" s="355"/>
      <c r="B1089" s="355"/>
      <c r="C1089" s="322"/>
      <c r="D1089" s="554"/>
      <c r="E1089" s="296"/>
      <c r="F1089" s="296"/>
      <c r="G1089" s="554"/>
    </row>
    <row r="1090" spans="1:7" ht="14.4">
      <c r="A1090" s="413"/>
      <c r="B1090" s="924" t="s">
        <v>135</v>
      </c>
      <c r="C1090" s="322"/>
      <c r="D1090" s="1552" t="s">
        <v>1815</v>
      </c>
      <c r="E1090" s="1552"/>
      <c r="F1090" s="1552"/>
      <c r="G1090" s="554"/>
    </row>
    <row r="1091" spans="1:7" ht="13.2">
      <c r="A1091" s="355"/>
      <c r="B1091" s="355"/>
      <c r="C1091" s="322"/>
      <c r="D1091" s="1552"/>
      <c r="E1091" s="1552"/>
      <c r="F1091" s="1552"/>
      <c r="G1091" s="554"/>
    </row>
    <row r="1092" spans="1:7" ht="13.2">
      <c r="A1092" s="355"/>
      <c r="B1092" s="355"/>
      <c r="C1092" s="322"/>
      <c r="D1092" s="1552"/>
      <c r="E1092" s="1552"/>
      <c r="F1092" s="1552"/>
      <c r="G1092" s="554"/>
    </row>
    <row r="1093" spans="1:7" ht="13.2">
      <c r="A1093" s="355"/>
      <c r="B1093" s="355"/>
      <c r="C1093" s="322"/>
      <c r="D1093" s="296"/>
      <c r="E1093" s="296"/>
      <c r="F1093" s="296"/>
      <c r="G1093" s="554"/>
    </row>
    <row r="1094" spans="1:7" ht="13.2">
      <c r="A1094" s="355"/>
      <c r="B1094" s="355"/>
      <c r="C1094" s="322"/>
      <c r="D1094" s="1551" t="s">
        <v>1207</v>
      </c>
      <c r="E1094" s="1551"/>
      <c r="F1094" s="1551"/>
      <c r="G1094" s="554"/>
    </row>
    <row r="1095" spans="1:7" ht="13.2">
      <c r="A1095" s="355"/>
      <c r="B1095" s="355"/>
      <c r="C1095" s="322"/>
      <c r="D1095" s="1550" t="s">
        <v>1621</v>
      </c>
      <c r="E1095" s="1550"/>
      <c r="F1095" s="1550"/>
      <c r="G1095" s="554"/>
    </row>
    <row r="1096" spans="1:7" ht="13.2">
      <c r="A1096" s="355"/>
      <c r="B1096" s="355"/>
      <c r="C1096" s="322"/>
      <c r="D1096" s="992"/>
      <c r="E1096" s="296"/>
      <c r="F1096" s="296"/>
      <c r="G1096" s="554"/>
    </row>
    <row r="1097" spans="1:7" ht="14.4">
      <c r="A1097" s="413"/>
      <c r="B1097" s="924" t="s">
        <v>135</v>
      </c>
      <c r="C1097" s="322"/>
      <c r="D1097" s="1547" t="s">
        <v>1816</v>
      </c>
      <c r="E1097" s="1547"/>
      <c r="F1097" s="1547"/>
      <c r="G1097" s="554"/>
    </row>
    <row r="1098" spans="1:7" ht="13.2">
      <c r="A1098" s="355"/>
      <c r="B1098" s="355"/>
      <c r="C1098" s="322"/>
      <c r="D1098" s="1547"/>
      <c r="E1098" s="1547"/>
      <c r="F1098" s="1547"/>
      <c r="G1098" s="554"/>
    </row>
    <row r="1099" spans="1:7" ht="13.2">
      <c r="A1099" s="355"/>
      <c r="B1099" s="355"/>
      <c r="C1099" s="322"/>
      <c r="D1099" s="296"/>
      <c r="E1099" s="296"/>
      <c r="F1099" s="296"/>
      <c r="G1099" s="554"/>
    </row>
    <row r="1100" spans="1:7" ht="14.4">
      <c r="A1100" s="413"/>
      <c r="B1100" s="924" t="s">
        <v>135</v>
      </c>
      <c r="C1100" s="322"/>
      <c r="D1100" s="1547" t="s">
        <v>1817</v>
      </c>
      <c r="E1100" s="1547"/>
      <c r="F1100" s="1547"/>
      <c r="G1100" s="554"/>
    </row>
    <row r="1101" spans="1:7" ht="13.2">
      <c r="A1101" s="355"/>
      <c r="B1101" s="355"/>
      <c r="C1101" s="322"/>
      <c r="D1101" s="1547"/>
      <c r="E1101" s="1547"/>
      <c r="F1101" s="1547"/>
      <c r="G1101" s="554"/>
    </row>
    <row r="1102" spans="1:7" ht="13.2">
      <c r="A1102" s="355"/>
      <c r="B1102" s="355"/>
      <c r="C1102" s="322"/>
      <c r="D1102" s="282"/>
      <c r="E1102" s="296"/>
      <c r="F1102" s="296"/>
      <c r="G1102" s="554"/>
    </row>
    <row r="1103" spans="1:7" ht="13.2">
      <c r="A1103" s="355"/>
      <c r="B1103" s="355"/>
      <c r="C1103" s="322"/>
      <c r="D1103" s="1551" t="s">
        <v>1622</v>
      </c>
      <c r="E1103" s="1551"/>
      <c r="F1103" s="1551"/>
      <c r="G1103" s="554"/>
    </row>
    <row r="1104" spans="1:7" ht="13.2">
      <c r="A1104" s="355"/>
      <c r="B1104" s="355"/>
      <c r="C1104" s="322"/>
      <c r="D1104" s="991"/>
      <c r="E1104" s="296"/>
      <c r="F1104" s="296"/>
      <c r="G1104" s="554"/>
    </row>
    <row r="1105" spans="1:7" ht="14.4">
      <c r="A1105" s="413"/>
      <c r="B1105" s="924" t="s">
        <v>135</v>
      </c>
      <c r="C1105" s="322"/>
      <c r="D1105" s="1547" t="s">
        <v>1818</v>
      </c>
      <c r="E1105" s="1547"/>
      <c r="F1105" s="1547"/>
      <c r="G1105" s="554"/>
    </row>
    <row r="1106" spans="1:7" ht="13.2">
      <c r="A1106" s="355"/>
      <c r="B1106" s="355"/>
      <c r="C1106" s="322"/>
      <c r="D1106" s="1547"/>
      <c r="E1106" s="1547"/>
      <c r="F1106" s="1547"/>
      <c r="G1106" s="554"/>
    </row>
    <row r="1107" spans="1:7" ht="13.2">
      <c r="A1107" s="355"/>
      <c r="B1107" s="355"/>
      <c r="C1107" s="322"/>
      <c r="D1107" s="1547"/>
      <c r="E1107" s="1547"/>
      <c r="F1107" s="1547"/>
      <c r="G1107" s="554"/>
    </row>
    <row r="1108" spans="1:7" ht="13.2">
      <c r="A1108" s="355"/>
      <c r="B1108" s="355"/>
      <c r="C1108" s="322"/>
      <c r="D1108" s="1547"/>
      <c r="E1108" s="1547"/>
      <c r="F1108" s="1547"/>
      <c r="G1108" s="554"/>
    </row>
    <row r="1109" spans="1:7" ht="13.2">
      <c r="A1109" s="355"/>
      <c r="B1109" s="355"/>
      <c r="C1109" s="322"/>
      <c r="D1109" s="1547"/>
      <c r="E1109" s="1547"/>
      <c r="F1109" s="1547"/>
      <c r="G1109" s="554"/>
    </row>
    <row r="1110" spans="1:7" ht="13.2">
      <c r="A1110" s="355"/>
      <c r="B1110" s="355"/>
      <c r="C1110" s="322"/>
      <c r="D1110" s="1547"/>
      <c r="E1110" s="1547"/>
      <c r="F1110" s="1547"/>
      <c r="G1110" s="554"/>
    </row>
    <row r="1111" spans="1:7" ht="13.2">
      <c r="A1111" s="355"/>
      <c r="B1111" s="355"/>
      <c r="C1111" s="322"/>
      <c r="D1111" s="1547"/>
      <c r="E1111" s="1547"/>
      <c r="F1111" s="1547"/>
      <c r="G1111" s="554"/>
    </row>
    <row r="1112" spans="1:7" ht="13.2">
      <c r="A1112" s="355"/>
      <c r="B1112" s="355"/>
      <c r="C1112" s="322"/>
      <c r="D1112" s="296"/>
      <c r="E1112" s="296"/>
      <c r="F1112" s="296"/>
      <c r="G1112" s="554"/>
    </row>
    <row r="1113" spans="1:7" ht="14.4">
      <c r="A1113" s="413"/>
      <c r="B1113" s="924" t="s">
        <v>1498</v>
      </c>
      <c r="C1113" s="322"/>
      <c r="D1113" s="1547" t="s">
        <v>1819</v>
      </c>
      <c r="E1113" s="1547"/>
      <c r="F1113" s="1547"/>
      <c r="G1113" s="554"/>
    </row>
    <row r="1114" spans="1:7" ht="13.2">
      <c r="A1114" s="355"/>
      <c r="B1114" s="355"/>
      <c r="C1114" s="322"/>
      <c r="D1114" s="1547"/>
      <c r="E1114" s="1547"/>
      <c r="F1114" s="1547"/>
      <c r="G1114" s="554"/>
    </row>
    <row r="1115" spans="1:7" ht="13.2">
      <c r="A1115" s="355"/>
      <c r="B1115" s="355"/>
      <c r="C1115" s="322"/>
      <c r="D1115" s="1547"/>
      <c r="E1115" s="1547"/>
      <c r="F1115" s="1547"/>
      <c r="G1115" s="554"/>
    </row>
    <row r="1116" spans="1:7" ht="13.2">
      <c r="A1116" s="355"/>
      <c r="B1116" s="355"/>
      <c r="C1116" s="322"/>
      <c r="D1116" s="1547"/>
      <c r="E1116" s="1547"/>
      <c r="F1116" s="1547"/>
      <c r="G1116" s="554"/>
    </row>
    <row r="1117" spans="1:7" ht="13.2">
      <c r="A1117" s="355"/>
      <c r="B1117" s="355"/>
      <c r="C1117" s="322"/>
      <c r="D1117" s="1547"/>
      <c r="E1117" s="1547"/>
      <c r="F1117" s="1547"/>
      <c r="G1117" s="554"/>
    </row>
    <row r="1118" spans="1:7" ht="13.2">
      <c r="A1118" s="355"/>
      <c r="B1118" s="355"/>
      <c r="C1118" s="322"/>
      <c r="D1118" s="1547"/>
      <c r="E1118" s="1547"/>
      <c r="F1118" s="1547"/>
      <c r="G1118" s="554"/>
    </row>
    <row r="1119" spans="1:7" ht="13.2">
      <c r="A1119" s="355"/>
      <c r="B1119" s="355"/>
      <c r="C1119" s="322"/>
      <c r="D1119" s="1547"/>
      <c r="E1119" s="1547"/>
      <c r="F1119" s="1547"/>
      <c r="G1119" s="554"/>
    </row>
    <row r="1120" spans="1:7" ht="13.2">
      <c r="A1120" s="355"/>
      <c r="B1120" s="355"/>
      <c r="C1120" s="322"/>
      <c r="D1120" s="1081"/>
      <c r="E1120" s="1081"/>
      <c r="F1120" s="1081"/>
      <c r="G1120" s="554"/>
    </row>
    <row r="1121" spans="1:7" ht="12.45" customHeight="1">
      <c r="A1121" s="355"/>
      <c r="B1121" s="1083" t="s">
        <v>135</v>
      </c>
      <c r="C1121" s="322"/>
      <c r="D1121" s="1609" t="s">
        <v>1939</v>
      </c>
      <c r="E1121" s="1607"/>
      <c r="F1121" s="1607"/>
      <c r="G1121" s="554"/>
    </row>
    <row r="1122" spans="1:7" ht="12.45" customHeight="1">
      <c r="A1122" s="355"/>
      <c r="B1122" s="355"/>
      <c r="C1122" s="322"/>
      <c r="D1122" s="1607"/>
      <c r="E1122" s="1607"/>
      <c r="F1122" s="1607"/>
      <c r="G1122" s="554"/>
    </row>
    <row r="1123" spans="1:7" ht="13.2">
      <c r="A1123" s="355"/>
      <c r="B1123" s="355"/>
      <c r="C1123" s="322"/>
      <c r="D1123" s="1607"/>
      <c r="E1123" s="1607"/>
      <c r="F1123" s="1607"/>
      <c r="G1123" s="554"/>
    </row>
    <row r="1124" spans="1:7" ht="13.2">
      <c r="A1124" s="355"/>
      <c r="B1124" s="355"/>
      <c r="C1124" s="322"/>
      <c r="D1124" s="1082"/>
      <c r="E1124" s="1082"/>
      <c r="F1124" s="1082"/>
      <c r="G1124" s="554"/>
    </row>
    <row r="1125" spans="1:7" ht="13.2">
      <c r="A1125" s="140"/>
      <c r="B1125" s="140"/>
      <c r="C1125" s="14"/>
      <c r="D1125" s="1551" t="s">
        <v>1623</v>
      </c>
      <c r="E1125" s="1551"/>
      <c r="F1125" s="1551"/>
    </row>
    <row r="1126" spans="1:7" ht="13.2">
      <c r="A1126" s="996"/>
      <c r="B1126" s="996"/>
      <c r="C1126" s="14"/>
      <c r="D1126" s="991"/>
      <c r="E1126" s="282"/>
      <c r="F1126" s="282"/>
    </row>
    <row r="1127" spans="1:7" ht="14.4">
      <c r="A1127" s="413"/>
      <c r="B1127" s="924" t="s">
        <v>135</v>
      </c>
      <c r="C1127" s="14"/>
      <c r="D1127" s="1552" t="s">
        <v>1820</v>
      </c>
      <c r="E1127" s="1552"/>
      <c r="F1127" s="1552"/>
    </row>
    <row r="1128" spans="1:7" ht="13.2">
      <c r="A1128" s="140"/>
      <c r="B1128" s="140"/>
      <c r="C1128" s="14"/>
      <c r="D1128" s="1552"/>
      <c r="E1128" s="1552"/>
      <c r="F1128" s="1552"/>
    </row>
    <row r="1129" spans="1:7" ht="13.2">
      <c r="A1129" s="140"/>
      <c r="B1129" s="140"/>
      <c r="C1129" s="14"/>
      <c r="E1129" s="282"/>
      <c r="F1129" s="282"/>
    </row>
    <row r="1130" spans="1:7" ht="14.4">
      <c r="A1130" s="413"/>
      <c r="B1130" s="924" t="s">
        <v>1498</v>
      </c>
      <c r="C1130" s="14"/>
      <c r="D1130" s="1552" t="s">
        <v>1821</v>
      </c>
      <c r="E1130" s="1552"/>
      <c r="F1130" s="1552"/>
    </row>
    <row r="1131" spans="1:7" ht="13.2">
      <c r="A1131" s="140"/>
      <c r="B1131" s="140"/>
      <c r="C1131" s="14"/>
      <c r="D1131" s="1552"/>
      <c r="E1131" s="1552"/>
      <c r="F1131" s="1552"/>
    </row>
    <row r="1132" spans="1:7" ht="13.2">
      <c r="A1132" s="140"/>
      <c r="B1132" s="140"/>
      <c r="C1132" s="14"/>
      <c r="D1132" s="282"/>
      <c r="E1132" s="282"/>
      <c r="F1132" s="282"/>
    </row>
    <row r="1133" spans="1:7" ht="13.2">
      <c r="A1133" s="140"/>
      <c r="B1133" s="140"/>
      <c r="C1133" s="14"/>
      <c r="D1133" s="1551" t="s">
        <v>1624</v>
      </c>
      <c r="E1133" s="1551"/>
      <c r="F1133" s="1551"/>
    </row>
    <row r="1134" spans="1:7" ht="13.2">
      <c r="A1134" s="996"/>
      <c r="B1134" s="996"/>
      <c r="C1134" s="14"/>
      <c r="D1134" s="991"/>
      <c r="E1134" s="282"/>
      <c r="F1134" s="282"/>
    </row>
    <row r="1135" spans="1:7" ht="14.4">
      <c r="A1135" s="413"/>
      <c r="B1135" s="924" t="s">
        <v>135</v>
      </c>
      <c r="C1135" s="14"/>
      <c r="D1135" s="1550" t="s">
        <v>1822</v>
      </c>
      <c r="E1135" s="1550"/>
      <c r="F1135" s="1550"/>
    </row>
    <row r="1136" spans="1:7" ht="13.2">
      <c r="A1136" s="140"/>
      <c r="B1136" s="140"/>
      <c r="C1136" s="14"/>
      <c r="D1136" s="282"/>
      <c r="E1136" s="282"/>
      <c r="F1136" s="282"/>
    </row>
    <row r="1137" spans="1:7" ht="14.4">
      <c r="A1137" s="413"/>
      <c r="B1137" s="924" t="s">
        <v>135</v>
      </c>
      <c r="C1137" s="14"/>
      <c r="D1137" s="1547" t="s">
        <v>1823</v>
      </c>
      <c r="E1137" s="1547"/>
      <c r="F1137" s="1547"/>
    </row>
    <row r="1138" spans="1:7" ht="14.4">
      <c r="A1138" s="413"/>
      <c r="B1138" s="413"/>
      <c r="C1138" s="14"/>
      <c r="D1138" s="1547"/>
      <c r="E1138" s="1547"/>
      <c r="F1138" s="1547"/>
    </row>
    <row r="1139" spans="1:7" ht="14.4">
      <c r="A1139" s="413"/>
      <c r="B1139" s="413"/>
      <c r="C1139" s="14"/>
      <c r="D1139" s="1000"/>
      <c r="E1139" s="1000"/>
      <c r="F1139" s="1000"/>
      <c r="G1139" s="2"/>
    </row>
    <row r="1140" spans="1:7" ht="13.2">
      <c r="A1140" s="1002"/>
      <c r="B1140" s="1002"/>
      <c r="C1140" s="14"/>
      <c r="D1140" s="1551" t="s">
        <v>1833</v>
      </c>
      <c r="E1140" s="1551"/>
      <c r="F1140" s="1551"/>
      <c r="G1140" s="2"/>
    </row>
    <row r="1141" spans="1:7" ht="13.2">
      <c r="A1141" s="1002"/>
      <c r="B1141" s="1002"/>
      <c r="C1141" s="14"/>
      <c r="D1141" s="1001"/>
      <c r="E1141" s="282"/>
      <c r="F1141" s="282"/>
      <c r="G1141" s="2"/>
    </row>
    <row r="1142" spans="1:7" ht="14.4" customHeight="1">
      <c r="A1142" s="413"/>
      <c r="B1142" s="1003" t="s">
        <v>1498</v>
      </c>
      <c r="C1142" s="14"/>
      <c r="D1142" s="1554" t="s">
        <v>1921</v>
      </c>
      <c r="E1142" s="1547"/>
      <c r="F1142" s="1547"/>
      <c r="G1142" s="2"/>
    </row>
    <row r="1143" spans="1:7" ht="14.4">
      <c r="A1143" s="413"/>
      <c r="B1143" s="413"/>
      <c r="C1143" s="14"/>
      <c r="D1143" s="1547"/>
      <c r="E1143" s="1547"/>
      <c r="F1143" s="1547"/>
      <c r="G1143" s="2"/>
    </row>
    <row r="1144" spans="1:7" ht="14.4">
      <c r="A1144" s="413"/>
      <c r="B1144" s="413"/>
      <c r="C1144" s="14"/>
      <c r="D1144" s="1547"/>
      <c r="E1144" s="1547"/>
      <c r="F1144" s="1547"/>
      <c r="G1144" s="2"/>
    </row>
    <row r="1145" spans="1:7" ht="14.4">
      <c r="A1145" s="413"/>
      <c r="B1145" s="413"/>
      <c r="C1145" s="14"/>
      <c r="D1145" s="1547"/>
      <c r="E1145" s="1547"/>
      <c r="F1145" s="1547"/>
      <c r="G1145" s="2"/>
    </row>
    <row r="1146" spans="1:7" ht="14.4">
      <c r="A1146" s="413"/>
      <c r="B1146" s="413"/>
      <c r="C1146" s="14"/>
      <c r="D1146" s="1547"/>
      <c r="E1146" s="1547"/>
      <c r="F1146" s="1547"/>
      <c r="G1146" s="2"/>
    </row>
    <row r="1147" spans="1:7" ht="14.4">
      <c r="A1147" s="413"/>
      <c r="B1147" s="413"/>
      <c r="C1147" s="14"/>
      <c r="D1147" s="1547"/>
      <c r="E1147" s="1547"/>
      <c r="F1147" s="1547"/>
      <c r="G1147" s="2"/>
    </row>
    <row r="1148" spans="1:7" ht="14.4">
      <c r="A1148" s="413"/>
      <c r="B1148" s="413"/>
      <c r="C1148" s="14"/>
      <c r="D1148" s="1547"/>
      <c r="E1148" s="1547"/>
      <c r="F1148" s="1547"/>
      <c r="G1148" s="2"/>
    </row>
    <row r="1149" spans="1:7" ht="14.4">
      <c r="A1149" s="413"/>
      <c r="B1149" s="413"/>
      <c r="C1149" s="14"/>
      <c r="D1149" s="1547"/>
      <c r="E1149" s="1547"/>
      <c r="F1149" s="1547"/>
      <c r="G1149" s="2"/>
    </row>
    <row r="1150" spans="1:7" ht="14.4">
      <c r="A1150" s="413"/>
      <c r="B1150" s="413"/>
      <c r="C1150" s="14"/>
      <c r="D1150" s="1547"/>
      <c r="E1150" s="1547"/>
      <c r="F1150" s="1547"/>
      <c r="G1150" s="2"/>
    </row>
    <row r="1151" spans="1:7" ht="14.4">
      <c r="A1151" s="413"/>
      <c r="B1151" s="413"/>
      <c r="C1151" s="14"/>
      <c r="D1151" s="1547"/>
      <c r="E1151" s="1547"/>
      <c r="F1151" s="1547"/>
      <c r="G1151" s="2"/>
    </row>
    <row r="1152" spans="1:7" ht="14.4">
      <c r="A1152" s="413"/>
      <c r="B1152" s="413"/>
      <c r="C1152" s="14"/>
      <c r="D1152" s="1547"/>
      <c r="E1152" s="1547"/>
      <c r="F1152" s="1547"/>
      <c r="G1152" s="2"/>
    </row>
    <row r="1153" spans="1:7" ht="14.4">
      <c r="A1153" s="413"/>
      <c r="B1153" s="413"/>
      <c r="C1153" s="14"/>
      <c r="D1153" s="1547"/>
      <c r="E1153" s="1547"/>
      <c r="F1153" s="1547"/>
      <c r="G1153" s="2"/>
    </row>
    <row r="1154" spans="1:7" ht="14.4">
      <c r="A1154" s="413"/>
      <c r="B1154" s="413"/>
      <c r="C1154" s="14"/>
      <c r="D1154" s="1547"/>
      <c r="E1154" s="1547"/>
      <c r="F1154" s="1547"/>
      <c r="G1154" s="2"/>
    </row>
    <row r="1155" spans="1:7" ht="14.4">
      <c r="A1155" s="413"/>
      <c r="B1155" s="413"/>
      <c r="C1155" s="14"/>
      <c r="D1155" s="1547"/>
      <c r="E1155" s="1547"/>
      <c r="F1155" s="1547"/>
    </row>
    <row r="1156" spans="1:7" ht="13.2">
      <c r="A1156" s="140"/>
      <c r="B1156" s="140"/>
      <c r="C1156" s="14"/>
      <c r="D1156" s="282"/>
      <c r="E1156" s="282"/>
      <c r="F1156" s="282"/>
    </row>
    <row r="1157" spans="1:7" ht="13.2">
      <c r="A1157" s="1603" t="s">
        <v>1526</v>
      </c>
      <c r="B1157" s="1603"/>
      <c r="C1157" s="1603"/>
      <c r="D1157" s="1603"/>
      <c r="E1157" s="1603"/>
      <c r="F1157" s="1603"/>
      <c r="G1157" s="1603"/>
    </row>
    <row r="1158" spans="1:7" ht="13.2">
      <c r="A1158" s="143"/>
      <c r="B1158" s="143"/>
      <c r="C1158" s="14"/>
      <c r="D1158" s="282"/>
      <c r="E1158" s="282"/>
      <c r="F1158" s="282"/>
    </row>
    <row r="1159" spans="1:7" ht="13.2">
      <c r="A1159" s="140"/>
      <c r="B1159" s="140"/>
      <c r="C1159" s="322"/>
      <c r="D1159" s="1551" t="s">
        <v>1824</v>
      </c>
      <c r="E1159" s="1551"/>
      <c r="F1159" s="1551"/>
    </row>
    <row r="1160" spans="1:7" ht="13.2">
      <c r="A1160" s="414"/>
      <c r="B1160" s="414"/>
      <c r="C1160" s="298"/>
      <c r="D1160" s="1553" t="s">
        <v>1628</v>
      </c>
      <c r="E1160" s="1550"/>
      <c r="F1160" s="1550"/>
    </row>
    <row r="1161" spans="1:7" ht="13.2">
      <c r="A1161" s="414"/>
      <c r="B1161" s="414"/>
      <c r="C1161" s="298"/>
      <c r="D1161" s="282"/>
      <c r="E1161" s="282"/>
      <c r="F1161" s="296"/>
      <c r="G1161" s="2"/>
    </row>
    <row r="1162" spans="1:7" ht="13.65" customHeight="1">
      <c r="A1162" s="140"/>
      <c r="B1162" s="924" t="s">
        <v>1498</v>
      </c>
      <c r="C1162" s="14"/>
      <c r="D1162" s="1652" t="s">
        <v>2326</v>
      </c>
      <c r="E1162" s="1652"/>
      <c r="F1162" s="1652"/>
      <c r="G1162" s="2"/>
    </row>
    <row r="1163" spans="1:7" ht="13.2">
      <c r="A1163" s="140"/>
      <c r="B1163" s="140"/>
      <c r="C1163" s="14"/>
      <c r="D1163" s="1652"/>
      <c r="E1163" s="1652"/>
      <c r="F1163" s="1652"/>
      <c r="G1163" s="2"/>
    </row>
    <row r="1164" spans="1:7" ht="13.2">
      <c r="A1164" s="140"/>
      <c r="B1164" s="140"/>
      <c r="C1164" s="14"/>
      <c r="D1164" s="22"/>
      <c r="E1164" s="1505" t="s">
        <v>2327</v>
      </c>
      <c r="F1164" s="22"/>
      <c r="G1164" s="2"/>
    </row>
    <row r="1165" spans="1:7" ht="13.2">
      <c r="A1165" s="150"/>
      <c r="B1165" s="150"/>
      <c r="D1165" s="22"/>
      <c r="E1165" s="22"/>
      <c r="F1165" s="22"/>
      <c r="G1165" s="2"/>
    </row>
    <row r="1166" spans="1:7" ht="13.2">
      <c r="A1166" s="150"/>
      <c r="B1166" s="150"/>
      <c r="D1166" s="1651" t="s">
        <v>2325</v>
      </c>
      <c r="E1166" s="1651"/>
      <c r="F1166" s="1651"/>
      <c r="G1166" s="2"/>
    </row>
    <row r="1167" spans="1:7" ht="13.2">
      <c r="A1167" s="415"/>
      <c r="B1167" s="415"/>
      <c r="C1167" s="299"/>
      <c r="D1167" s="1651"/>
      <c r="E1167" s="1651"/>
      <c r="F1167" s="1651"/>
      <c r="G1167" s="2"/>
    </row>
    <row r="1168" spans="1:7" ht="14.4" customHeight="1">
      <c r="A1168" s="415"/>
      <c r="B1168" s="415"/>
      <c r="C1168" s="299"/>
      <c r="D1168" s="1651"/>
      <c r="E1168" s="1651"/>
      <c r="F1168" s="1651"/>
      <c r="G1168" s="2"/>
    </row>
    <row r="1169" spans="1:7" ht="13.2">
      <c r="A1169" s="415"/>
      <c r="B1169" s="415"/>
      <c r="C1169" s="299"/>
      <c r="D1169" s="990"/>
      <c r="E1169" s="990"/>
      <c r="F1169" s="990"/>
      <c r="G1169" s="2"/>
    </row>
    <row r="1170" spans="1:7" ht="13.2">
      <c r="A1170" s="415"/>
      <c r="B1170" s="1007" t="s">
        <v>135</v>
      </c>
      <c r="C1170" s="299"/>
      <c r="D1170" s="1552" t="s">
        <v>1834</v>
      </c>
      <c r="E1170" s="1552"/>
      <c r="F1170" s="1552"/>
      <c r="G1170" s="2"/>
    </row>
    <row r="1171" spans="1:7" ht="13.2">
      <c r="A1171" s="415"/>
      <c r="B1171" s="415"/>
      <c r="C1171" s="299"/>
      <c r="D1171" s="1552"/>
      <c r="E1171" s="1552"/>
      <c r="F1171" s="1552"/>
      <c r="G1171" s="2"/>
    </row>
    <row r="1172" spans="1:7" ht="13.2">
      <c r="A1172" s="415"/>
      <c r="B1172" s="415"/>
      <c r="C1172" s="299"/>
      <c r="D1172" s="1552"/>
      <c r="E1172" s="1552"/>
      <c r="F1172" s="1552"/>
      <c r="G1172" s="2"/>
    </row>
    <row r="1173" spans="1:7" ht="13.2">
      <c r="A1173" s="415"/>
      <c r="B1173" s="415"/>
      <c r="C1173" s="299"/>
      <c r="D1173" s="1552"/>
      <c r="E1173" s="1552"/>
      <c r="F1173" s="1552"/>
      <c r="G1173" s="2"/>
    </row>
    <row r="1174" spans="1:7" ht="13.2">
      <c r="A1174" s="415"/>
      <c r="B1174" s="415"/>
      <c r="C1174" s="299"/>
      <c r="D1174" s="1067"/>
      <c r="E1174" s="1067"/>
      <c r="F1174" s="1067"/>
      <c r="G1174" s="2"/>
    </row>
    <row r="1175" spans="1:7" ht="13.2">
      <c r="A1175" s="415"/>
      <c r="B1175" s="1068" t="s">
        <v>135</v>
      </c>
      <c r="C1175" s="299"/>
      <c r="D1175" s="1555" t="s">
        <v>1922</v>
      </c>
      <c r="E1175" s="1552"/>
      <c r="F1175" s="1552"/>
      <c r="G1175" s="2"/>
    </row>
    <row r="1176" spans="1:7" ht="13.2">
      <c r="A1176" s="415"/>
      <c r="B1176" s="415"/>
      <c r="C1176" s="299"/>
      <c r="D1176" s="1552"/>
      <c r="E1176" s="1552"/>
      <c r="F1176" s="1552"/>
      <c r="G1176" s="2"/>
    </row>
    <row r="1177" spans="1:7" ht="13.2">
      <c r="A1177" s="415"/>
      <c r="B1177" s="415"/>
      <c r="C1177" s="299"/>
      <c r="D1177" s="1067"/>
      <c r="E1177" s="1067"/>
      <c r="F1177" s="1067"/>
      <c r="G1177" s="2"/>
    </row>
    <row r="1178" spans="1:7" ht="14.4">
      <c r="A1178" s="413"/>
      <c r="B1178" s="924" t="s">
        <v>1498</v>
      </c>
      <c r="C1178" s="14"/>
      <c r="D1178" s="1550" t="s">
        <v>1825</v>
      </c>
      <c r="E1178" s="1550"/>
      <c r="F1178" s="1550"/>
      <c r="G1178" s="2"/>
    </row>
    <row r="1179" spans="1:7" ht="13.2">
      <c r="A1179" s="140"/>
      <c r="B1179" s="140"/>
      <c r="C1179" s="14"/>
      <c r="D1179" s="282"/>
      <c r="E1179" s="282"/>
      <c r="F1179" s="282"/>
      <c r="G1179" s="2"/>
    </row>
    <row r="1180" spans="1:7" ht="14.4">
      <c r="A1180" s="413"/>
      <c r="B1180" s="924" t="s">
        <v>135</v>
      </c>
      <c r="C1180" s="14"/>
      <c r="D1180" s="1550" t="s">
        <v>1826</v>
      </c>
      <c r="E1180" s="1550"/>
      <c r="F1180" s="1550"/>
      <c r="G1180" s="2"/>
    </row>
    <row r="1181" spans="1:7" ht="13.2">
      <c r="A1181" s="140"/>
      <c r="B1181" s="140"/>
      <c r="C1181" s="14"/>
      <c r="D1181" s="287"/>
      <c r="E1181" s="282"/>
      <c r="F1181" s="282"/>
      <c r="G1181" s="2"/>
    </row>
    <row r="1182" spans="1:7" ht="14.4">
      <c r="A1182" s="413"/>
      <c r="B1182" s="924" t="s">
        <v>1498</v>
      </c>
      <c r="C1182" s="14"/>
      <c r="D1182" s="1550" t="s">
        <v>1827</v>
      </c>
      <c r="E1182" s="1550"/>
      <c r="F1182" s="1550"/>
      <c r="G1182" s="2"/>
    </row>
    <row r="1183" spans="1:7" ht="13.2">
      <c r="A1183" s="140"/>
      <c r="B1183" s="140"/>
      <c r="C1183" s="14"/>
      <c r="D1183" s="287"/>
      <c r="E1183" s="282"/>
      <c r="F1183" s="282"/>
      <c r="G1183" s="2"/>
    </row>
    <row r="1184" spans="1:7" ht="14.4">
      <c r="A1184" s="413"/>
      <c r="B1184" s="924" t="s">
        <v>135</v>
      </c>
      <c r="C1184" s="14"/>
      <c r="D1184" s="1547" t="s">
        <v>1828</v>
      </c>
      <c r="E1184" s="1547"/>
      <c r="F1184" s="1547"/>
      <c r="G1184" s="2"/>
    </row>
    <row r="1185" spans="1:7" ht="14.4">
      <c r="A1185" s="413"/>
      <c r="B1185" s="413"/>
      <c r="C1185" s="14"/>
      <c r="D1185" s="1547"/>
      <c r="E1185" s="1547"/>
      <c r="F1185" s="1547"/>
      <c r="G1185" s="2"/>
    </row>
    <row r="1186" spans="1:7" ht="14.4">
      <c r="A1186" s="413"/>
      <c r="B1186" s="413"/>
      <c r="C1186" s="14"/>
      <c r="D1186" s="287"/>
      <c r="E1186" s="282"/>
      <c r="F1186" s="282"/>
    </row>
    <row r="1187" spans="1:7" s="685" customFormat="1" ht="14.4">
      <c r="A1187" s="448"/>
      <c r="B1187" s="924" t="s">
        <v>135</v>
      </c>
      <c r="C1187" s="449"/>
      <c r="D1187" s="1548" t="s">
        <v>1829</v>
      </c>
      <c r="E1187" s="1548"/>
      <c r="F1187" s="1548"/>
      <c r="G1187" s="686"/>
    </row>
    <row r="1188" spans="1:7" s="685" customFormat="1" ht="13.2">
      <c r="A1188" s="449"/>
      <c r="B1188" s="449"/>
      <c r="C1188" s="449"/>
      <c r="D1188" s="1548"/>
      <c r="E1188" s="1548"/>
      <c r="F1188" s="1548"/>
      <c r="G1188" s="686"/>
    </row>
    <row r="1189" spans="1:7" s="685" customFormat="1" ht="13.2">
      <c r="A1189" s="449"/>
      <c r="B1189" s="449"/>
      <c r="C1189" s="449"/>
      <c r="D1189" s="450"/>
      <c r="E1189" s="451"/>
      <c r="F1189" s="451"/>
      <c r="G1189" s="686"/>
    </row>
    <row r="1190" spans="1:7" s="685" customFormat="1" ht="14.4">
      <c r="A1190" s="448"/>
      <c r="B1190" s="924" t="s">
        <v>135</v>
      </c>
      <c r="C1190" s="449"/>
      <c r="D1190" s="1549" t="s">
        <v>1830</v>
      </c>
      <c r="E1190" s="1549"/>
      <c r="F1190" s="1549"/>
      <c r="G1190" s="686"/>
    </row>
    <row r="1191" spans="1:7" s="685" customFormat="1" ht="13.2">
      <c r="A1191" s="449"/>
      <c r="B1191" s="449"/>
      <c r="C1191" s="449"/>
      <c r="D1191" s="450"/>
      <c r="E1191" s="451"/>
      <c r="F1191" s="451"/>
      <c r="G1191" s="686"/>
    </row>
    <row r="1192" spans="1:7" ht="14.4">
      <c r="A1192" s="413"/>
      <c r="B1192" s="924" t="s">
        <v>135</v>
      </c>
      <c r="C1192" s="14"/>
      <c r="D1192" s="1550" t="s">
        <v>1831</v>
      </c>
      <c r="E1192" s="1550"/>
      <c r="F1192" s="1550"/>
    </row>
    <row r="1193" spans="1:7" ht="14.4">
      <c r="A1193" s="413"/>
      <c r="B1193" s="413"/>
      <c r="C1193" s="14"/>
      <c r="D1193" s="287"/>
      <c r="E1193" s="282"/>
      <c r="F1193" s="282"/>
    </row>
    <row r="1194" spans="1:7" ht="14.4">
      <c r="A1194" s="413"/>
      <c r="B1194" s="924" t="s">
        <v>135</v>
      </c>
      <c r="C1194" s="14"/>
      <c r="D1194" s="1547" t="s">
        <v>1832</v>
      </c>
      <c r="E1194" s="1547"/>
      <c r="F1194" s="1547"/>
    </row>
    <row r="1195" spans="1:7" ht="14.4">
      <c r="A1195" s="413"/>
      <c r="B1195" s="413"/>
      <c r="C1195" s="14"/>
      <c r="D1195" s="1547"/>
      <c r="E1195" s="1547"/>
      <c r="F1195" s="1547"/>
    </row>
    <row r="1196" spans="1:7" ht="13.2">
      <c r="A1196" s="140"/>
      <c r="B1196" s="140"/>
      <c r="C1196" s="14"/>
      <c r="D1196" s="282"/>
      <c r="E1196" s="282"/>
      <c r="F1196" s="282"/>
    </row>
    <row r="1197" spans="1:7" ht="13.2">
      <c r="A1197" s="1603" t="s">
        <v>2229</v>
      </c>
      <c r="B1197" s="1603"/>
      <c r="C1197" s="1603"/>
      <c r="D1197" s="1603"/>
      <c r="E1197" s="1603"/>
      <c r="F1197" s="1603"/>
      <c r="G1197" s="1603"/>
    </row>
    <row r="1198" spans="1:7" ht="13.2">
      <c r="A1198" s="140"/>
      <c r="B1198" s="140"/>
      <c r="C1198" s="14"/>
      <c r="D1198" s="282"/>
      <c r="E1198" s="282"/>
      <c r="F1198" s="282"/>
    </row>
    <row r="1199" spans="1:7" ht="13.2">
      <c r="A1199" s="1603" t="s">
        <v>1527</v>
      </c>
      <c r="B1199" s="1603"/>
      <c r="C1199" s="1603"/>
      <c r="D1199" s="1603"/>
      <c r="E1199" s="1603"/>
      <c r="F1199" s="1603"/>
      <c r="G1199" s="1603"/>
    </row>
    <row r="1200" spans="1:7" ht="13.2">
      <c r="A1200" s="140"/>
      <c r="B1200" s="140"/>
      <c r="C1200" s="14"/>
      <c r="D1200" s="282"/>
      <c r="E1200" s="282"/>
      <c r="F1200" s="282"/>
    </row>
    <row r="1201" spans="1:7" ht="13.2">
      <c r="A1201" s="150"/>
      <c r="B1201" s="150"/>
      <c r="D1201" s="1559" t="s">
        <v>1648</v>
      </c>
      <c r="E1201" s="1559"/>
      <c r="F1201" s="1559"/>
    </row>
    <row r="1202" spans="1:7" ht="13.2">
      <c r="A1202" s="150"/>
      <c r="B1202" s="150"/>
      <c r="D1202" s="1613" t="s">
        <v>2116</v>
      </c>
      <c r="E1202" s="1613"/>
      <c r="F1202" s="1613"/>
    </row>
    <row r="1203" spans="1:7" ht="13.2">
      <c r="A1203" s="430"/>
      <c r="B1203" s="430"/>
      <c r="C1203" s="406"/>
    </row>
    <row r="1204" spans="1:7" ht="14.4">
      <c r="A1204" s="413"/>
      <c r="B1204" s="413"/>
      <c r="C1204" s="299"/>
      <c r="D1204" s="1559" t="s">
        <v>1649</v>
      </c>
      <c r="E1204" s="1559"/>
      <c r="F1204" s="1559"/>
    </row>
    <row r="1205" spans="1:7" ht="13.2">
      <c r="A1205" s="140"/>
      <c r="B1205" s="924" t="s">
        <v>1498</v>
      </c>
      <c r="C1205" s="14"/>
      <c r="D1205" s="1606" t="s">
        <v>1650</v>
      </c>
      <c r="E1205" s="1606"/>
      <c r="F1205" s="1606"/>
    </row>
    <row r="1206" spans="1:7" ht="13.2">
      <c r="A1206" s="140"/>
      <c r="B1206" s="140"/>
      <c r="C1206" s="14"/>
      <c r="D1206" s="1613" t="s">
        <v>2117</v>
      </c>
      <c r="E1206" s="1613"/>
      <c r="F1206" s="1613"/>
    </row>
    <row r="1207" spans="1:7" ht="13.2">
      <c r="A1207" s="150"/>
      <c r="B1207" s="150"/>
      <c r="G1207" s="2"/>
    </row>
    <row r="1208" spans="1:7" ht="12.75" customHeight="1">
      <c r="A1208" s="150"/>
      <c r="B1208" s="1262" t="s">
        <v>1498</v>
      </c>
      <c r="D1208" s="1587" t="s">
        <v>2008</v>
      </c>
      <c r="E1208" s="1587"/>
      <c r="F1208" s="1587"/>
      <c r="G1208" s="2"/>
    </row>
    <row r="1209" spans="1:7" ht="13.2">
      <c r="A1209" s="150"/>
      <c r="B1209" s="150"/>
      <c r="D1209" s="1587"/>
      <c r="E1209" s="1587"/>
      <c r="F1209" s="1587"/>
      <c r="G1209" s="2"/>
    </row>
    <row r="1210" spans="1:7" ht="13.2">
      <c r="A1210" s="150"/>
      <c r="B1210" s="150"/>
      <c r="G1210" s="2"/>
    </row>
    <row r="1211" spans="1:7" ht="12.75" customHeight="1">
      <c r="A1211" s="150"/>
      <c r="B1211" s="150"/>
    </row>
    <row r="1212" spans="1:7" ht="13.2">
      <c r="A1212" s="1605" t="s">
        <v>1529</v>
      </c>
      <c r="B1212" s="1605"/>
      <c r="C1212" s="1605"/>
      <c r="D1212" s="1605"/>
      <c r="E1212" s="1605"/>
      <c r="F1212" s="1605"/>
      <c r="G1212" s="1605"/>
    </row>
    <row r="1213" spans="1:7" ht="13.2">
      <c r="A1213" s="76"/>
      <c r="B1213" s="76"/>
      <c r="C1213" s="285"/>
      <c r="D1213" s="288"/>
      <c r="E1213" s="288"/>
      <c r="F1213" s="288"/>
      <c r="G1213" s="288"/>
    </row>
    <row r="1214" spans="1:7" ht="12.75" customHeight="1">
      <c r="A1214" s="76"/>
      <c r="B1214" s="76"/>
      <c r="C1214" s="285"/>
      <c r="D1214" s="1612" t="s">
        <v>1528</v>
      </c>
      <c r="E1214" s="1612"/>
      <c r="F1214" s="1612"/>
      <c r="G1214" s="288"/>
    </row>
    <row r="1215" spans="1:7" ht="12.75" customHeight="1">
      <c r="A1215" s="76"/>
      <c r="B1215" s="76"/>
      <c r="C1215" s="285"/>
      <c r="D1215" s="1589" t="s">
        <v>1537</v>
      </c>
      <c r="E1215" s="1589"/>
      <c r="F1215" s="1589"/>
      <c r="G1215" s="288"/>
    </row>
    <row r="1216" spans="1:7" ht="12.75" customHeight="1">
      <c r="A1216" s="76"/>
      <c r="B1216" s="76"/>
      <c r="C1216" s="285"/>
      <c r="D1216" s="288"/>
      <c r="E1216" s="288"/>
      <c r="F1216" s="288"/>
      <c r="G1216" s="288"/>
    </row>
    <row r="1217" spans="1:7" ht="14.4">
      <c r="A1217" s="413"/>
      <c r="B1217" s="924" t="s">
        <v>135</v>
      </c>
      <c r="C1217" s="14"/>
      <c r="D1217" s="1566" t="s">
        <v>1097</v>
      </c>
      <c r="E1217" s="1566"/>
      <c r="F1217" s="1566"/>
    </row>
    <row r="1218" spans="1:7" ht="13.2">
      <c r="A1218" s="140"/>
      <c r="B1218" s="140"/>
      <c r="C1218" s="14"/>
      <c r="D1218" s="1550" t="s">
        <v>1225</v>
      </c>
      <c r="E1218" s="1550"/>
      <c r="F1218" s="1550"/>
    </row>
    <row r="1219" spans="1:7" ht="13.2">
      <c r="A1219" s="140"/>
      <c r="B1219" s="140"/>
      <c r="C1219" s="14"/>
      <c r="D1219" s="282"/>
      <c r="E1219" s="1591" t="s">
        <v>2328</v>
      </c>
      <c r="F1219" s="1591"/>
    </row>
    <row r="1220" spans="1:7" ht="13.2">
      <c r="A1220" s="140"/>
      <c r="B1220" s="140"/>
      <c r="C1220" s="14"/>
      <c r="D1220" s="6"/>
      <c r="E1220" s="282"/>
      <c r="F1220" s="282"/>
    </row>
    <row r="1221" spans="1:7" ht="13.2">
      <c r="A1221" s="140"/>
      <c r="B1221" s="140"/>
      <c r="C1221" s="14"/>
      <c r="D1221" s="1611" t="s">
        <v>1375</v>
      </c>
      <c r="E1221" s="1611"/>
      <c r="F1221" s="1611"/>
    </row>
    <row r="1222" spans="1:7" ht="13.2">
      <c r="A1222" s="140"/>
      <c r="B1222" s="924" t="s">
        <v>135</v>
      </c>
      <c r="C1222" s="140"/>
      <c r="D1222" s="1554" t="s">
        <v>2329</v>
      </c>
      <c r="E1222" s="1547"/>
      <c r="F1222" s="1547"/>
      <c r="G1222" s="2"/>
    </row>
    <row r="1223" spans="1:7" ht="13.2">
      <c r="A1223" s="140"/>
      <c r="B1223" s="140"/>
      <c r="C1223" s="14"/>
      <c r="D1223" s="1547"/>
      <c r="E1223" s="1547"/>
      <c r="F1223" s="1547"/>
      <c r="G1223" s="2"/>
    </row>
    <row r="1224" spans="1:7" ht="13.2">
      <c r="A1224" s="140"/>
      <c r="B1224" s="140"/>
      <c r="C1224" s="14"/>
      <c r="D1224" s="784" t="s">
        <v>1378</v>
      </c>
      <c r="E1224" s="2"/>
      <c r="F1224" s="2"/>
      <c r="G1224" s="2"/>
    </row>
    <row r="1225" spans="1:7" ht="13.65" customHeight="1">
      <c r="A1225" s="140"/>
      <c r="B1225" s="140"/>
      <c r="C1225" s="14"/>
      <c r="D1225" s="1554" t="s">
        <v>2330</v>
      </c>
      <c r="E1225" s="1547"/>
      <c r="F1225" s="1547"/>
      <c r="G1225" s="2"/>
    </row>
    <row r="1226" spans="1:7" ht="13.2">
      <c r="A1226" s="140"/>
      <c r="B1226" s="140"/>
      <c r="C1226" s="14"/>
      <c r="D1226" s="1547"/>
      <c r="E1226" s="1547"/>
      <c r="F1226" s="1547"/>
      <c r="G1226" s="2"/>
    </row>
    <row r="1227" spans="1:7" ht="13.2">
      <c r="A1227" s="140"/>
      <c r="B1227" s="140"/>
      <c r="C1227" s="14"/>
      <c r="D1227" s="1547"/>
      <c r="E1227" s="1547"/>
      <c r="F1227" s="1547"/>
      <c r="G1227" s="2"/>
    </row>
    <row r="1228" spans="1:7" ht="13.2">
      <c r="A1228" s="140"/>
      <c r="B1228" s="140"/>
      <c r="C1228" s="14"/>
      <c r="D1228" s="1547"/>
      <c r="E1228" s="1547"/>
      <c r="F1228" s="1547"/>
      <c r="G1228" s="2"/>
    </row>
    <row r="1229" spans="1:7" ht="13.2">
      <c r="A1229" s="140"/>
      <c r="B1229" s="140"/>
      <c r="C1229" s="14"/>
      <c r="D1229" s="1591" t="s">
        <v>1100</v>
      </c>
      <c r="E1229" s="1591"/>
      <c r="F1229" s="1591"/>
      <c r="G1229" s="2"/>
    </row>
    <row r="1230" spans="1:7" ht="13.2">
      <c r="A1230" s="140"/>
      <c r="B1230" s="924" t="s">
        <v>135</v>
      </c>
      <c r="C1230" s="140"/>
      <c r="D1230" s="1566" t="s">
        <v>1376</v>
      </c>
      <c r="E1230" s="1566"/>
      <c r="F1230" s="1566"/>
      <c r="G1230" s="2"/>
    </row>
    <row r="1231" spans="1:7" ht="13.2">
      <c r="A1231" s="140"/>
      <c r="B1231" s="140"/>
      <c r="C1231" s="14"/>
      <c r="D1231" s="282"/>
      <c r="E1231" s="2"/>
      <c r="F1231" s="2"/>
      <c r="G1231" s="2"/>
    </row>
    <row r="1232" spans="1:7" ht="13.2">
      <c r="A1232" s="140"/>
      <c r="B1232" s="140"/>
      <c r="C1232" s="14"/>
      <c r="D1232" s="1614" t="s">
        <v>1377</v>
      </c>
      <c r="E1232" s="1614"/>
      <c r="F1232" s="1614"/>
      <c r="G1232" s="2"/>
    </row>
    <row r="1233" spans="1:7" ht="13.2">
      <c r="A1233" s="140"/>
      <c r="B1233" s="140"/>
      <c r="C1233" s="14"/>
      <c r="D1233" s="6" t="s">
        <v>1098</v>
      </c>
      <c r="E1233" s="2"/>
      <c r="F1233" s="2"/>
      <c r="G1233" s="2"/>
    </row>
    <row r="1234" spans="1:7" ht="14.4" customHeight="1">
      <c r="A1234" s="413"/>
      <c r="B1234" s="924" t="s">
        <v>135</v>
      </c>
      <c r="C1234" s="140"/>
      <c r="D1234" s="1547" t="s">
        <v>1651</v>
      </c>
      <c r="E1234" s="1547"/>
      <c r="F1234" s="1547"/>
      <c r="G1234" s="2"/>
    </row>
    <row r="1235" spans="1:7" ht="14.4">
      <c r="A1235" s="413"/>
      <c r="B1235" s="413"/>
      <c r="C1235" s="140"/>
      <c r="D1235" s="1547"/>
      <c r="E1235" s="1547"/>
      <c r="F1235" s="1547"/>
      <c r="G1235" s="2"/>
    </row>
    <row r="1236" spans="1:7" ht="14.4">
      <c r="A1236" s="413"/>
      <c r="B1236" s="413"/>
      <c r="C1236" s="140"/>
      <c r="D1236" s="1547"/>
      <c r="E1236" s="1547"/>
      <c r="F1236" s="1547"/>
      <c r="G1236" s="2"/>
    </row>
    <row r="1237" spans="1:7" ht="14.4">
      <c r="A1237" s="413"/>
      <c r="B1237" s="413"/>
      <c r="C1237" s="14"/>
      <c r="D1237" s="282"/>
      <c r="E1237" s="2"/>
      <c r="F1237" s="2"/>
      <c r="G1237" s="2"/>
    </row>
    <row r="1238" spans="1:7" ht="14.4">
      <c r="A1238" s="413"/>
      <c r="B1238" s="413"/>
      <c r="C1238" s="14"/>
      <c r="D1238" s="643" t="s">
        <v>1223</v>
      </c>
      <c r="E1238" s="643"/>
      <c r="F1238" s="643"/>
    </row>
    <row r="1239" spans="1:7" ht="14.4">
      <c r="A1239" s="413"/>
      <c r="B1239" s="924" t="s">
        <v>135</v>
      </c>
      <c r="C1239" s="14"/>
      <c r="D1239" s="1547" t="s">
        <v>1652</v>
      </c>
      <c r="E1239" s="1547"/>
      <c r="F1239" s="1547"/>
    </row>
    <row r="1240" spans="1:7" ht="14.4">
      <c r="A1240" s="413"/>
      <c r="B1240" s="413"/>
      <c r="C1240" s="14"/>
      <c r="D1240" s="1547"/>
      <c r="E1240" s="1547"/>
      <c r="F1240" s="1547"/>
    </row>
    <row r="1241" spans="1:7" ht="14.4">
      <c r="A1241" s="413"/>
      <c r="B1241" s="413"/>
      <c r="C1241" s="14"/>
      <c r="D1241" s="1547"/>
      <c r="E1241" s="1547"/>
      <c r="F1241" s="1547"/>
    </row>
    <row r="1242" spans="1:7" ht="14.4">
      <c r="A1242" s="413"/>
      <c r="B1242" s="413"/>
      <c r="C1242" s="14"/>
      <c r="D1242" s="1547"/>
      <c r="E1242" s="1547"/>
      <c r="F1242" s="1547"/>
    </row>
    <row r="1243" spans="1:7" ht="14.4">
      <c r="A1243" s="413"/>
      <c r="B1243" s="413"/>
      <c r="C1243" s="14"/>
      <c r="D1243" s="1547"/>
      <c r="E1243" s="1547"/>
      <c r="F1243" s="1547"/>
    </row>
    <row r="1244" spans="1:7" ht="12.75" customHeight="1">
      <c r="A1244" s="76"/>
      <c r="B1244" s="76"/>
      <c r="C1244" s="285"/>
      <c r="D1244" s="288"/>
      <c r="E1244" s="288"/>
      <c r="F1244" s="288"/>
      <c r="G1244" s="288"/>
    </row>
    <row r="1245" spans="1:7" ht="13.2">
      <c r="A1245" s="1605" t="s">
        <v>1566</v>
      </c>
      <c r="B1245" s="1605"/>
      <c r="C1245" s="1605"/>
      <c r="D1245" s="1605"/>
      <c r="E1245" s="1605"/>
      <c r="F1245" s="1605"/>
      <c r="G1245" s="1605"/>
    </row>
    <row r="1246" spans="1:7" ht="13.2">
      <c r="A1246" s="76"/>
      <c r="B1246" s="76"/>
      <c r="C1246" s="285"/>
      <c r="D1246" s="288"/>
      <c r="E1246" s="288"/>
      <c r="F1246" s="288"/>
      <c r="G1246" s="288"/>
    </row>
    <row r="1247" spans="1:7" ht="13.2">
      <c r="A1247" s="76"/>
      <c r="B1247" s="76"/>
      <c r="C1247" s="285"/>
      <c r="D1247" s="1618" t="s">
        <v>1567</v>
      </c>
      <c r="E1247" s="1618"/>
      <c r="F1247" s="1618"/>
      <c r="G1247" s="288"/>
    </row>
    <row r="1248" spans="1:7" ht="13.2">
      <c r="A1248" s="419"/>
      <c r="B1248" s="419"/>
      <c r="C1248" s="407"/>
      <c r="D1248" s="1619" t="s">
        <v>1583</v>
      </c>
      <c r="E1248" s="1619"/>
      <c r="F1248" s="1619"/>
      <c r="G1248" s="408"/>
    </row>
    <row r="1249" spans="1:7" ht="10.5" customHeight="1">
      <c r="A1249" s="150"/>
      <c r="B1249" s="150"/>
    </row>
    <row r="1250" spans="1:7" ht="14.4">
      <c r="A1250" s="413"/>
      <c r="B1250" s="924" t="s">
        <v>135</v>
      </c>
      <c r="D1250" s="1566" t="s">
        <v>1226</v>
      </c>
      <c r="E1250" s="1566"/>
      <c r="F1250" s="1566"/>
    </row>
    <row r="1251" spans="1:7" ht="13.2">
      <c r="A1251" s="150"/>
      <c r="B1251" s="150"/>
      <c r="D1251" s="282"/>
      <c r="E1251" s="1591" t="s">
        <v>2331</v>
      </c>
      <c r="F1251" s="1591"/>
    </row>
    <row r="1252" spans="1:7" ht="13.2">
      <c r="A1252" s="140"/>
      <c r="B1252" s="140"/>
      <c r="C1252" s="14"/>
      <c r="D1252" s="930"/>
      <c r="E1252" s="930"/>
      <c r="F1252" s="930"/>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spans="1:7" ht="13.65" customHeight="1">
      <c r="A1281" s="2"/>
      <c r="B1281" s="2"/>
      <c r="C1281" s="2"/>
      <c r="D1281" s="2"/>
      <c r="E1281" s="2"/>
      <c r="F1281" s="2"/>
      <c r="G1281" s="2"/>
    </row>
    <row r="1282" spans="1:7" ht="13.65" customHeight="1">
      <c r="A1282" s="2"/>
      <c r="B1282" s="2"/>
      <c r="C1282" s="2"/>
      <c r="D1282" s="2"/>
      <c r="E1282" s="2"/>
      <c r="F1282" s="2"/>
      <c r="G1282" s="2"/>
    </row>
    <row r="1283" spans="1:7" ht="13.65" customHeight="1">
      <c r="A1283" s="2"/>
      <c r="B1283" s="2"/>
      <c r="C1283" s="2"/>
      <c r="D1283" s="2"/>
      <c r="E1283" s="2"/>
      <c r="F1283" s="2"/>
      <c r="G1283" s="2"/>
    </row>
    <row r="1284" spans="1:7" ht="13.65" customHeight="1">
      <c r="A1284" s="2"/>
      <c r="B1284" s="2"/>
      <c r="C1284" s="2"/>
      <c r="D1284" s="2"/>
      <c r="E1284" s="2"/>
      <c r="F1284" s="2"/>
      <c r="G1284" s="2"/>
    </row>
    <row r="1285" spans="1:7" ht="13.65" customHeight="1">
      <c r="A1285" s="2"/>
      <c r="B1285" s="2"/>
      <c r="C1285" s="2"/>
      <c r="D1285" s="2"/>
      <c r="E1285" s="2"/>
      <c r="F1285" s="2"/>
      <c r="G1285" s="2"/>
    </row>
    <row r="1286" spans="1:7" ht="13.65" customHeight="1">
      <c r="A1286" s="2"/>
      <c r="B1286" s="2"/>
      <c r="C1286" s="2"/>
      <c r="D1286" s="2"/>
      <c r="E1286" s="2"/>
      <c r="F1286" s="2"/>
      <c r="G1286" s="2"/>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www.treasurer.ca.gov/ctcac/2019/methodology.pdf "/>
    <hyperlink ref="D683" r:id="rId3"/>
    <hyperlink ref="D159:F159" r:id="rId4" display="(https://www.treasurer.ca.gov/ctcac/cuac/index.asp) "/>
    <hyperlink ref="D754" r:id="rId5"/>
    <hyperlink ref="D430" r:id="rId6"/>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0"/>
  <sheetViews>
    <sheetView showGridLines="0" topLeftCell="A184" zoomScale="70" zoomScaleNormal="70" workbookViewId="0">
      <selection activeCell="G201" sqref="G201"/>
    </sheetView>
  </sheetViews>
  <sheetFormatPr defaultColWidth="0" defaultRowHeight="0" customHeight="1" zeroHeight="1"/>
  <cols>
    <col min="1" max="32" width="2.5546875" style="16" customWidth="1"/>
    <col min="33" max="33" width="3.109375" style="16" customWidth="1"/>
    <col min="34" max="34" width="2.5546875" style="16" customWidth="1"/>
    <col min="35" max="35" width="3" style="16" customWidth="1"/>
    <col min="36" max="38" width="2.5546875" style="16" customWidth="1"/>
    <col min="39" max="41" width="2.6640625" style="16" customWidth="1"/>
    <col min="42" max="45" width="2.44140625" style="16" customWidth="1"/>
    <col min="46" max="46" width="1.6640625" style="16" customWidth="1"/>
    <col min="47" max="52" width="3.6640625" style="16" hidden="1"/>
    <col min="53" max="53" width="6" style="16" hidden="1"/>
    <col min="54" max="66" width="11.44140625" style="16" hidden="1"/>
    <col min="67" max="67" width="3.6640625" style="16" hidden="1"/>
    <col min="68" max="74" width="10.44140625" style="16" hidden="1"/>
    <col min="75" max="81" width="2.5546875" style="16" hidden="1"/>
    <col min="82" max="83" width="2.6640625" style="16" hidden="1"/>
    <col min="84" max="84" width="2.5546875" style="16" hidden="1"/>
    <col min="85" max="126" width="2.6640625" style="16" hidden="1"/>
    <col min="127" max="16383" width="9.109375" style="16" hidden="1"/>
    <col min="16384" max="16384" width="0.33203125" style="16" customWidth="1"/>
  </cols>
  <sheetData>
    <row r="1" spans="1:45"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3.2">
      <c r="A4" s="35"/>
      <c r="B4" s="35"/>
      <c r="C4" s="35"/>
      <c r="D4" s="35"/>
      <c r="E4" s="35"/>
      <c r="F4" s="35"/>
      <c r="G4" s="35"/>
      <c r="H4" s="35"/>
      <c r="I4" s="35"/>
      <c r="J4" s="35"/>
      <c r="K4" s="35"/>
      <c r="L4" s="35"/>
      <c r="M4" s="35"/>
      <c r="N4" s="35"/>
      <c r="O4" s="35"/>
      <c r="P4" s="35"/>
      <c r="Q4" s="35"/>
      <c r="R4" s="35"/>
      <c r="S4" s="35"/>
      <c r="T4" s="35"/>
      <c r="U4" s="35"/>
      <c r="V4" s="35"/>
      <c r="W4" s="35"/>
      <c r="X4" s="35"/>
    </row>
    <row r="5" spans="1:45" ht="13.2">
      <c r="A5" s="35"/>
      <c r="B5" s="35"/>
      <c r="C5" s="35"/>
      <c r="D5" s="35"/>
      <c r="E5" s="35"/>
      <c r="F5" s="35"/>
      <c r="G5" s="3"/>
      <c r="H5" s="35"/>
      <c r="I5" s="35"/>
      <c r="J5" s="35"/>
      <c r="K5" s="35"/>
      <c r="L5" s="35"/>
      <c r="M5" s="35"/>
      <c r="N5" s="35"/>
      <c r="O5" s="35"/>
      <c r="P5" s="35"/>
      <c r="Q5" s="35"/>
      <c r="R5" s="35"/>
      <c r="S5" s="35"/>
      <c r="T5" s="35"/>
      <c r="U5" s="35"/>
      <c r="V5" s="35"/>
      <c r="W5" s="35"/>
      <c r="X5" s="35"/>
    </row>
    <row r="6" spans="1:45"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37" t="s">
        <v>860</v>
      </c>
      <c r="B9" s="2037"/>
      <c r="C9" s="2037"/>
      <c r="D9" s="2037"/>
      <c r="E9" s="2037"/>
      <c r="F9" s="2037"/>
      <c r="G9" s="2037"/>
      <c r="H9" s="2037"/>
      <c r="I9" s="2037"/>
      <c r="J9" s="2037"/>
      <c r="K9" s="2037"/>
      <c r="L9" s="2037"/>
      <c r="M9" s="2037"/>
      <c r="N9" s="2037"/>
      <c r="O9" s="2037"/>
      <c r="P9" s="2037"/>
      <c r="Q9" s="2037"/>
      <c r="R9" s="2037"/>
      <c r="S9" s="2037"/>
      <c r="T9" s="2037"/>
      <c r="U9" s="2037"/>
      <c r="V9" s="2037"/>
      <c r="W9" s="2037"/>
      <c r="X9" s="2037"/>
      <c r="Y9" s="2037"/>
      <c r="Z9" s="2037"/>
      <c r="AA9" s="2037"/>
      <c r="AB9" s="2037"/>
      <c r="AC9" s="2037"/>
      <c r="AD9" s="2037"/>
      <c r="AE9" s="2037"/>
      <c r="AF9" s="2037"/>
      <c r="AG9" s="2037"/>
      <c r="AH9" s="2037"/>
      <c r="AI9" s="2037"/>
      <c r="AJ9" s="2037"/>
      <c r="AK9" s="2037"/>
      <c r="AL9" s="2037"/>
    </row>
    <row r="10" spans="1:45" ht="15" customHeight="1">
      <c r="A10" s="2039" t="s">
        <v>2283</v>
      </c>
      <c r="B10" s="2039"/>
      <c r="C10" s="2039"/>
      <c r="D10" s="2039"/>
      <c r="E10" s="2039"/>
      <c r="F10" s="2039"/>
      <c r="G10" s="2039"/>
      <c r="H10" s="2039"/>
      <c r="I10" s="2039"/>
      <c r="J10" s="2039"/>
      <c r="K10" s="2039"/>
      <c r="L10" s="2039"/>
      <c r="M10" s="2039"/>
      <c r="N10" s="2039"/>
      <c r="O10" s="2039"/>
      <c r="P10" s="2039"/>
      <c r="Q10" s="2039"/>
      <c r="R10" s="2039"/>
      <c r="S10" s="2039"/>
      <c r="T10" s="2039"/>
      <c r="U10" s="2039"/>
      <c r="V10" s="2039"/>
      <c r="W10" s="2039"/>
      <c r="X10" s="2039"/>
      <c r="Y10" s="2039"/>
      <c r="Z10" s="2039"/>
      <c r="AA10" s="2039"/>
      <c r="AB10" s="2039"/>
      <c r="AC10" s="2039"/>
      <c r="AD10" s="2039"/>
      <c r="AE10" s="2039"/>
      <c r="AF10" s="2039"/>
      <c r="AG10" s="2039"/>
      <c r="AH10" s="2039"/>
      <c r="AI10" s="2039"/>
      <c r="AJ10" s="2039"/>
      <c r="AK10" s="2039"/>
      <c r="AL10" s="2039"/>
    </row>
    <row r="11" spans="1:45" s="622" customFormat="1" ht="13.2">
      <c r="A11" s="2042" t="s">
        <v>2336</v>
      </c>
      <c r="B11" s="2043"/>
      <c r="C11" s="2043"/>
      <c r="D11" s="2043"/>
      <c r="E11" s="2043"/>
      <c r="F11" s="2043"/>
      <c r="G11" s="2043"/>
      <c r="H11" s="2043"/>
      <c r="I11" s="2043"/>
      <c r="J11" s="2043"/>
      <c r="K11" s="2043"/>
      <c r="L11" s="2043"/>
      <c r="M11" s="2043"/>
      <c r="N11" s="2043"/>
      <c r="O11" s="2043"/>
      <c r="P11" s="2043"/>
      <c r="Q11" s="2043"/>
      <c r="R11" s="2043"/>
      <c r="S11" s="2043"/>
      <c r="T11" s="2043"/>
      <c r="U11" s="2043"/>
      <c r="V11" s="2043"/>
      <c r="W11" s="2043"/>
      <c r="X11" s="2043"/>
      <c r="Y11" s="2043"/>
      <c r="Z11" s="2043"/>
      <c r="AA11" s="2043"/>
      <c r="AB11" s="2043"/>
      <c r="AC11" s="2043"/>
      <c r="AD11" s="2043"/>
      <c r="AE11" s="2043"/>
      <c r="AF11" s="2043"/>
      <c r="AG11" s="2043"/>
      <c r="AH11" s="2043"/>
      <c r="AI11" s="2043"/>
      <c r="AJ11" s="2043"/>
      <c r="AK11" s="2043"/>
      <c r="AL11" s="2043"/>
    </row>
    <row r="12" spans="1:45" ht="13.2">
      <c r="A12" s="1529" t="s">
        <v>2067</v>
      </c>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1529"/>
      <c r="Y12" s="1529"/>
      <c r="Z12" s="1529"/>
      <c r="AA12" s="1529"/>
      <c r="AB12" s="1529"/>
      <c r="AC12" s="1529"/>
      <c r="AD12" s="1529"/>
      <c r="AE12" s="1529"/>
      <c r="AF12" s="1529"/>
      <c r="AG12" s="1529"/>
      <c r="AH12" s="1529"/>
      <c r="AI12" s="1529"/>
      <c r="AJ12" s="1529"/>
      <c r="AK12" s="1529"/>
      <c r="AL12" s="1529"/>
    </row>
    <row r="13" spans="1:45" ht="12.75" customHeight="1" thickBot="1">
      <c r="A13" s="1531"/>
      <c r="B13" s="1531"/>
      <c r="C13" s="1531"/>
      <c r="D13" s="1531"/>
      <c r="E13" s="1531"/>
      <c r="F13" s="1531"/>
      <c r="G13" s="1531"/>
      <c r="H13" s="1531"/>
      <c r="I13" s="1531"/>
      <c r="J13" s="1531"/>
      <c r="K13" s="1531"/>
      <c r="L13" s="1531"/>
      <c r="M13" s="1531"/>
      <c r="N13" s="1531"/>
      <c r="O13" s="1531"/>
      <c r="P13" s="1531"/>
      <c r="Q13" s="1531"/>
      <c r="R13" s="1531"/>
      <c r="S13" s="1531"/>
      <c r="T13" s="1531"/>
      <c r="U13" s="1531"/>
      <c r="V13" s="1531"/>
      <c r="W13" s="1531"/>
      <c r="X13" s="1531"/>
      <c r="Y13" s="1531"/>
      <c r="Z13" s="1531"/>
      <c r="AA13" s="1531"/>
      <c r="AB13" s="1531"/>
      <c r="AC13" s="1531"/>
      <c r="AD13" s="1531"/>
      <c r="AE13" s="1531"/>
      <c r="AF13" s="1531"/>
      <c r="AG13" s="1531"/>
      <c r="AH13" s="1531"/>
      <c r="AI13" s="1531"/>
      <c r="AJ13" s="1531"/>
      <c r="AK13" s="1531"/>
      <c r="AL13" s="1531"/>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2040" t="s">
        <v>2337</v>
      </c>
      <c r="I15" s="2040"/>
      <c r="J15" s="2040"/>
      <c r="K15" s="2040"/>
      <c r="L15" s="2040"/>
      <c r="M15" s="2040"/>
      <c r="N15" s="2040"/>
      <c r="O15" s="2040"/>
      <c r="P15" s="2040"/>
      <c r="Q15" s="2040"/>
      <c r="R15" s="2040"/>
      <c r="S15" s="2040"/>
      <c r="T15" s="2040"/>
      <c r="U15" s="2040"/>
      <c r="V15" s="2040"/>
      <c r="W15" s="2040"/>
      <c r="X15" s="2040"/>
      <c r="Y15" s="2040"/>
      <c r="Z15" s="2040"/>
      <c r="AA15" s="2040"/>
      <c r="AB15" s="2040"/>
      <c r="AC15" s="2040"/>
      <c r="AD15" s="2040"/>
      <c r="AE15" s="2040"/>
      <c r="AF15" s="2040"/>
      <c r="AG15" s="2040"/>
      <c r="AH15" s="2040"/>
      <c r="AI15" s="2040"/>
      <c r="AJ15" s="2040"/>
    </row>
    <row r="16" spans="1:45" ht="12.75" customHeight="1"/>
    <row r="17" spans="1:40" ht="12.75" customHeight="1">
      <c r="A17" s="142" t="s">
        <v>861</v>
      </c>
      <c r="C17" s="8"/>
      <c r="D17" s="8"/>
      <c r="E17" s="8"/>
      <c r="F17" s="8"/>
      <c r="G17" s="8"/>
      <c r="H17" s="1852" t="s">
        <v>2338</v>
      </c>
      <c r="I17" s="2041"/>
      <c r="J17" s="2041"/>
      <c r="K17" s="2041"/>
      <c r="L17" s="2041"/>
      <c r="M17" s="2041"/>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row>
    <row r="18" spans="1:40" ht="12.75" customHeight="1"/>
    <row r="19" spans="1:40" ht="15" customHeight="1">
      <c r="A19" s="1540" t="s">
        <v>1189</v>
      </c>
      <c r="B19" s="1540"/>
      <c r="C19" s="1540"/>
      <c r="D19" s="1540"/>
      <c r="E19" s="1540"/>
      <c r="F19" s="1540"/>
      <c r="G19" s="1540"/>
      <c r="H19" s="1540"/>
      <c r="I19" s="1540"/>
      <c r="J19" s="1540"/>
      <c r="K19" s="1540"/>
      <c r="L19" s="1540"/>
      <c r="M19" s="1540"/>
      <c r="N19" s="1540"/>
      <c r="O19" s="1540"/>
      <c r="P19" s="1540"/>
      <c r="Q19" s="1540"/>
      <c r="R19" s="1540"/>
      <c r="S19" s="1540"/>
      <c r="T19" s="1540"/>
      <c r="U19" s="1540"/>
      <c r="V19" s="1540"/>
      <c r="W19" s="1540"/>
      <c r="X19" s="1540"/>
      <c r="Y19" s="1540"/>
      <c r="Z19" s="1540"/>
      <c r="AA19" s="1540"/>
      <c r="AB19" s="1540"/>
      <c r="AC19" s="1540"/>
      <c r="AD19" s="1540"/>
      <c r="AE19" s="1540"/>
      <c r="AF19" s="1540"/>
      <c r="AG19" s="1540"/>
      <c r="AH19" s="1540"/>
      <c r="AI19" s="1540"/>
      <c r="AJ19" s="1540"/>
      <c r="AK19" s="1540"/>
      <c r="AL19" s="1540"/>
    </row>
    <row r="20" spans="1:40" ht="12.75" customHeight="1">
      <c r="A20" s="2045" t="s">
        <v>1461</v>
      </c>
      <c r="B20" s="2045"/>
      <c r="C20" s="2045"/>
      <c r="D20" s="2045"/>
      <c r="E20" s="2045"/>
      <c r="F20" s="2045"/>
      <c r="G20" s="2045"/>
      <c r="H20" s="2045"/>
      <c r="I20" s="2045"/>
      <c r="J20" s="2045"/>
      <c r="K20" s="2045"/>
      <c r="L20" s="2045"/>
      <c r="M20" s="2045"/>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c r="AL20" s="204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49">
        <f>ROUND('Basis &amp; Credits'!AB55,0)</f>
        <v>2354865</v>
      </c>
      <c r="N25" s="2049"/>
      <c r="O25" s="2049"/>
      <c r="P25" s="2049"/>
      <c r="Q25" s="2049"/>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49">
        <f>'Basis &amp; Credits'!AB76</f>
        <v>0</v>
      </c>
      <c r="N27" s="2049"/>
      <c r="O27" s="2049"/>
      <c r="P27" s="2049"/>
      <c r="Q27" s="2049"/>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826" t="s">
        <v>135</v>
      </c>
      <c r="P33" s="1826"/>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2081</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1275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1274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327</v>
      </c>
      <c r="AM87" s="41"/>
    </row>
    <row r="88" spans="1:39" ht="12.75" customHeight="1">
      <c r="A88" s="222" t="s">
        <v>328</v>
      </c>
      <c r="AM88" s="41"/>
    </row>
    <row r="89" spans="1:39" ht="13.2">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289"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290" t="s">
        <v>2042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289" t="s">
        <v>2044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1465</v>
      </c>
    </row>
    <row r="117" spans="1:39" ht="13.2">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071"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979</v>
      </c>
    </row>
    <row r="125" spans="1:39" ht="13.2">
      <c r="A125" s="222" t="s">
        <v>1122</v>
      </c>
      <c r="V125" s="72"/>
      <c r="W125" s="72"/>
      <c r="AL125" s="72"/>
    </row>
    <row r="126" spans="1:39" ht="13.2">
      <c r="A126" s="72"/>
      <c r="B126" s="72"/>
      <c r="AL126" s="72"/>
    </row>
    <row r="127" spans="1:39" ht="13.2">
      <c r="A127" s="72"/>
      <c r="B127" s="72"/>
      <c r="AL127" s="72"/>
    </row>
    <row r="128" spans="1:39" ht="13.2">
      <c r="A128" s="72"/>
      <c r="B128" s="72"/>
      <c r="C128" s="72" t="s">
        <v>457</v>
      </c>
      <c r="E128" s="72"/>
      <c r="F128" s="72"/>
      <c r="G128" s="1912"/>
      <c r="H128" s="1912"/>
      <c r="I128" s="72" t="s">
        <v>458</v>
      </c>
      <c r="J128" s="72"/>
      <c r="L128" s="2044"/>
      <c r="M128" s="2044"/>
      <c r="N128" s="2044"/>
      <c r="O128" s="72" t="s">
        <v>2293</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3.2">
      <c r="A130" s="72"/>
      <c r="B130" s="72"/>
      <c r="C130" s="2044"/>
      <c r="D130" s="2044"/>
      <c r="E130" s="2044"/>
      <c r="F130" s="2044"/>
      <c r="G130" s="2044"/>
      <c r="H130" s="2044"/>
      <c r="I130" s="2044"/>
      <c r="J130" s="2044"/>
      <c r="K130" s="2044"/>
      <c r="L130" s="477" t="s">
        <v>459</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41"/>
      <c r="Z131" s="2041"/>
      <c r="AA131" s="2041"/>
      <c r="AB131" s="2041"/>
      <c r="AC131" s="2041"/>
      <c r="AD131" s="2041"/>
      <c r="AE131" s="2041"/>
      <c r="AF131" s="2041"/>
      <c r="AG131" s="2041"/>
      <c r="AH131" s="2041"/>
      <c r="AI131" s="2041"/>
      <c r="AJ131" s="2041"/>
      <c r="AK131" s="2041"/>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2041"/>
      <c r="Z134" s="2041"/>
      <c r="AA134" s="2041"/>
      <c r="AB134" s="2041"/>
      <c r="AC134" s="2041"/>
      <c r="AD134" s="2041"/>
      <c r="AE134" s="2041"/>
      <c r="AF134" s="2041"/>
      <c r="AG134" s="2041"/>
      <c r="AH134" s="2041"/>
      <c r="AI134" s="2041"/>
      <c r="AJ134" s="2041"/>
      <c r="AK134" s="2041"/>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3.2">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3.2">
      <c r="A136" s="753"/>
      <c r="B136" s="8"/>
      <c r="AL136" s="754"/>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852" t="s">
        <v>2341</v>
      </c>
      <c r="P156" s="2041"/>
      <c r="Q156" s="2041"/>
      <c r="R156" s="2041"/>
      <c r="S156" s="2041"/>
      <c r="T156" s="2041"/>
      <c r="U156" s="2041"/>
      <c r="V156" s="2041"/>
      <c r="W156" s="2041"/>
      <c r="X156" s="2041"/>
      <c r="Y156" s="2041"/>
      <c r="Z156" s="2041"/>
      <c r="AA156" s="2041"/>
      <c r="AB156" s="2041"/>
      <c r="AC156" s="2041"/>
      <c r="AD156" s="2041"/>
      <c r="AE156" s="2041"/>
      <c r="AF156" s="2041"/>
      <c r="AG156" s="2041"/>
      <c r="AH156" s="2041"/>
      <c r="BT156" s="16" t="s">
        <v>86</v>
      </c>
    </row>
    <row r="157" spans="1:72" ht="12.75" customHeight="1">
      <c r="D157" s="711" t="s">
        <v>599</v>
      </c>
      <c r="F157" s="42"/>
      <c r="G157" s="42"/>
      <c r="H157" s="42"/>
      <c r="I157" s="42"/>
      <c r="J157" s="42"/>
      <c r="K157" s="42"/>
      <c r="L157" s="42"/>
      <c r="M157" s="42"/>
      <c r="N157" s="42"/>
      <c r="O157" s="1833" t="s">
        <v>2347</v>
      </c>
      <c r="P157" s="1823"/>
      <c r="Q157" s="1823"/>
      <c r="R157" s="1823"/>
      <c r="S157" s="1823"/>
      <c r="T157" s="1823"/>
      <c r="U157" s="1823"/>
      <c r="V157" s="1823"/>
      <c r="W157" s="1823"/>
      <c r="X157" s="1823"/>
      <c r="Y157" s="1823"/>
      <c r="Z157" s="1823"/>
      <c r="AA157" s="1823"/>
      <c r="AB157" s="1823"/>
      <c r="AC157" s="1823"/>
      <c r="AD157" s="1823"/>
      <c r="AE157" s="1823"/>
      <c r="AF157" s="1823"/>
      <c r="AG157" s="1823"/>
      <c r="AH157" s="1823"/>
      <c r="AI157" s="16" t="s">
        <v>771</v>
      </c>
      <c r="BN157" s="47" t="s">
        <v>468</v>
      </c>
      <c r="BT157" s="16" t="s">
        <v>32</v>
      </c>
    </row>
    <row r="158" spans="1:72" ht="12.75" customHeight="1">
      <c r="D158" s="17" t="s">
        <v>600</v>
      </c>
      <c r="F158" s="17"/>
      <c r="G158" s="17"/>
      <c r="H158" s="17"/>
      <c r="I158" s="17"/>
      <c r="J158" s="17"/>
      <c r="K158" s="17"/>
      <c r="L158" s="17"/>
      <c r="M158" s="17"/>
      <c r="N158" s="17"/>
      <c r="O158" s="2139" t="s">
        <v>601</v>
      </c>
      <c r="P158" s="2139"/>
      <c r="Q158" s="2139"/>
      <c r="R158" s="2139"/>
      <c r="S158" s="2139"/>
      <c r="T158" s="2139"/>
      <c r="U158" s="2139"/>
      <c r="V158" s="2139"/>
      <c r="W158" s="2139"/>
      <c r="X158" s="2139"/>
      <c r="Y158" s="2139"/>
      <c r="Z158" s="2139"/>
      <c r="AA158" s="2139"/>
      <c r="AB158" s="2139"/>
      <c r="AC158" s="2139"/>
      <c r="AD158" s="2139"/>
      <c r="AE158" s="2139"/>
      <c r="AF158" s="2139"/>
      <c r="AG158" s="2139"/>
      <c r="AH158" s="2139"/>
      <c r="BN158" s="47" t="s">
        <v>469</v>
      </c>
      <c r="BT158" s="16" t="s">
        <v>33</v>
      </c>
    </row>
    <row r="159" spans="1:72" ht="12.75" customHeight="1">
      <c r="D159" s="42" t="s">
        <v>709</v>
      </c>
      <c r="F159" s="42"/>
      <c r="G159" s="42"/>
      <c r="H159" s="42"/>
      <c r="I159" s="42"/>
      <c r="J159" s="42"/>
      <c r="K159" s="42"/>
      <c r="L159" s="42"/>
      <c r="M159" s="42"/>
      <c r="N159" s="42"/>
      <c r="O159" s="1852" t="s">
        <v>2342</v>
      </c>
      <c r="P159" s="1824"/>
      <c r="Q159" s="1824"/>
      <c r="R159" s="1824"/>
      <c r="S159" s="1824"/>
      <c r="T159" s="1824"/>
      <c r="U159" s="1824"/>
      <c r="V159" s="1824"/>
      <c r="W159" s="1824"/>
      <c r="X159" s="1824"/>
      <c r="Y159" s="1824"/>
      <c r="Z159" s="1824"/>
      <c r="AA159" s="1824"/>
      <c r="AB159" s="1824"/>
      <c r="AC159" s="1824"/>
      <c r="AD159" s="1824"/>
      <c r="AE159" s="1824"/>
      <c r="AF159" s="1824"/>
      <c r="AG159" s="1824"/>
      <c r="AH159" s="1824"/>
      <c r="BN159" s="47" t="s">
        <v>80</v>
      </c>
      <c r="BT159" s="16" t="s">
        <v>429</v>
      </c>
    </row>
    <row r="160" spans="1:72" ht="12.75" customHeight="1">
      <c r="D160" s="42" t="s">
        <v>710</v>
      </c>
      <c r="F160" s="42"/>
      <c r="G160" s="42"/>
      <c r="H160" s="42"/>
      <c r="I160" s="42"/>
      <c r="J160" s="42"/>
      <c r="K160" s="42"/>
      <c r="L160" s="42"/>
      <c r="M160" s="42"/>
      <c r="N160" s="42"/>
      <c r="O160" s="1852" t="s">
        <v>2343</v>
      </c>
      <c r="P160" s="1852"/>
      <c r="Q160" s="1852"/>
      <c r="R160" s="1852"/>
      <c r="S160" s="1852"/>
      <c r="T160" s="1852"/>
      <c r="U160" s="1852"/>
      <c r="V160" s="1852"/>
      <c r="W160" s="1852"/>
      <c r="X160" s="1852"/>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2144" t="s">
        <v>2344</v>
      </c>
      <c r="P161" s="2145"/>
      <c r="Q161" s="2145"/>
      <c r="R161" s="2145"/>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916" t="s">
        <v>2345</v>
      </c>
      <c r="P162" s="2148"/>
      <c r="Q162" s="2148"/>
      <c r="R162" s="2148"/>
      <c r="S162" s="2148"/>
      <c r="T162" s="2148"/>
      <c r="V162" s="271" t="s">
        <v>12</v>
      </c>
      <c r="W162" s="2146" t="s">
        <v>254</v>
      </c>
      <c r="X162" s="2147"/>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916" t="s">
        <v>2346</v>
      </c>
      <c r="P163" s="2148"/>
      <c r="Q163" s="2148"/>
      <c r="R163" s="2148"/>
      <c r="S163" s="2148"/>
      <c r="T163" s="2148"/>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2048" t="s">
        <v>2470</v>
      </c>
      <c r="P164" s="2048"/>
      <c r="Q164" s="2048"/>
      <c r="R164" s="2048"/>
      <c r="S164" s="2048"/>
      <c r="T164" s="2048"/>
      <c r="U164" s="2048"/>
      <c r="V164" s="2048"/>
      <c r="W164" s="2048"/>
      <c r="X164" s="2048"/>
      <c r="Y164" s="2048"/>
      <c r="Z164" s="2048"/>
      <c r="AA164" s="2048"/>
      <c r="AB164" s="2048"/>
      <c r="AC164" s="2048"/>
      <c r="AD164" s="2048"/>
      <c r="AE164" s="2048"/>
      <c r="AF164" s="2048"/>
      <c r="AG164" s="2048"/>
      <c r="AH164" s="2048"/>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2143" t="s">
        <v>2125</v>
      </c>
      <c r="E167" s="2143"/>
      <c r="F167" s="2143"/>
      <c r="G167" s="2143"/>
      <c r="H167" s="2143"/>
      <c r="I167" s="2143"/>
      <c r="J167" s="2143"/>
      <c r="K167" s="2143"/>
      <c r="L167" s="2143"/>
      <c r="M167" s="2143"/>
      <c r="N167" s="2143"/>
      <c r="O167" s="2143"/>
      <c r="P167" s="2143"/>
      <c r="Q167" s="2143"/>
      <c r="R167" s="2143"/>
      <c r="S167" s="2143"/>
      <c r="T167" s="2143"/>
      <c r="U167" s="2143"/>
      <c r="V167" s="2143"/>
      <c r="W167" s="2143"/>
      <c r="X167" s="2143"/>
      <c r="Y167" s="2143"/>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2">
      <c r="A169" s="2052" t="s">
        <v>420</v>
      </c>
      <c r="B169" s="2052"/>
      <c r="C169" s="2052"/>
      <c r="D169" s="2052"/>
      <c r="E169" s="2052"/>
      <c r="F169" s="2052"/>
      <c r="G169" s="2052"/>
      <c r="H169" s="2052"/>
      <c r="I169" s="2052"/>
      <c r="J169" s="2052"/>
      <c r="K169" s="2052"/>
      <c r="L169" s="2052"/>
      <c r="M169" s="2052"/>
      <c r="N169" s="2052"/>
      <c r="O169" s="2052"/>
      <c r="P169" s="2052"/>
      <c r="Q169" s="2052"/>
      <c r="R169" s="2052"/>
      <c r="S169" s="2052"/>
      <c r="T169" s="2052"/>
      <c r="U169" s="2052"/>
      <c r="V169" s="2052"/>
      <c r="W169" s="2052"/>
      <c r="X169" s="2052"/>
      <c r="Y169" s="2052"/>
      <c r="Z169" s="2052"/>
      <c r="AA169" s="2052"/>
      <c r="AB169" s="2052"/>
      <c r="AC169" s="2052"/>
      <c r="AD169" s="2052"/>
      <c r="AE169" s="2052"/>
      <c r="AF169" s="2052"/>
      <c r="AG169" s="2052"/>
      <c r="AH169" s="2052"/>
      <c r="AI169" s="2052"/>
      <c r="AJ169" s="2052"/>
      <c r="AK169" s="2052"/>
      <c r="AL169" s="2052"/>
      <c r="BN169" s="47" t="s">
        <v>532</v>
      </c>
      <c r="BT169" s="16" t="s">
        <v>439</v>
      </c>
    </row>
    <row r="170" spans="1:72" ht="12.75" customHeight="1" thickBot="1">
      <c r="A170" s="2053"/>
      <c r="B170" s="2053"/>
      <c r="C170" s="2053"/>
      <c r="D170" s="2053"/>
      <c r="E170" s="2053"/>
      <c r="F170" s="2053"/>
      <c r="G170" s="2053"/>
      <c r="H170" s="2053"/>
      <c r="I170" s="2053"/>
      <c r="J170" s="2053"/>
      <c r="K170" s="2053"/>
      <c r="L170" s="2053"/>
      <c r="M170" s="2053"/>
      <c r="N170" s="2053"/>
      <c r="O170" s="2053"/>
      <c r="P170" s="2053"/>
      <c r="Q170" s="2053"/>
      <c r="R170" s="2053"/>
      <c r="S170" s="2053"/>
      <c r="T170" s="2053"/>
      <c r="U170" s="2053"/>
      <c r="V170" s="2053"/>
      <c r="W170" s="2053"/>
      <c r="X170" s="2053"/>
      <c r="Y170" s="2053"/>
      <c r="Z170" s="2053"/>
      <c r="AA170" s="2053"/>
      <c r="AB170" s="2053"/>
      <c r="AC170" s="2053"/>
      <c r="AD170" s="2053"/>
      <c r="AE170" s="2053"/>
      <c r="AF170" s="2053"/>
      <c r="AG170" s="2053"/>
      <c r="AH170" s="2053"/>
      <c r="AI170" s="2053"/>
      <c r="AJ170" s="2053"/>
      <c r="AK170" s="2053"/>
      <c r="AL170" s="2053"/>
      <c r="AM170" s="35"/>
      <c r="BN170" s="47" t="s">
        <v>533</v>
      </c>
      <c r="BT170" s="16" t="s">
        <v>440</v>
      </c>
    </row>
    <row r="171" spans="1:72" ht="13.8" thickTop="1">
      <c r="A171" s="35"/>
      <c r="B171" s="35"/>
      <c r="C171" s="35"/>
      <c r="D171" s="35"/>
      <c r="E171" s="35"/>
      <c r="F171" s="35"/>
      <c r="G171" s="3"/>
      <c r="H171" s="35"/>
      <c r="AK171" s="3"/>
      <c r="AL171" s="3"/>
      <c r="AM171" s="35"/>
      <c r="BN171" s="47" t="s">
        <v>534</v>
      </c>
      <c r="BT171" s="16" t="s">
        <v>441</v>
      </c>
    </row>
    <row r="172" spans="1:72" ht="13.2">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2">
      <c r="A173" s="35"/>
      <c r="C173" s="49"/>
      <c r="D173" s="50" t="s">
        <v>483</v>
      </c>
      <c r="J173" s="2140" t="s">
        <v>560</v>
      </c>
      <c r="K173" s="2140"/>
      <c r="L173" s="2140"/>
      <c r="M173" s="2140"/>
      <c r="N173" s="2140"/>
      <c r="O173" s="2140"/>
      <c r="P173" s="2140"/>
      <c r="Q173" s="2140"/>
      <c r="R173" s="2140"/>
      <c r="S173" s="2140"/>
      <c r="U173" s="51"/>
      <c r="X173" s="51"/>
      <c r="AF173" s="35"/>
      <c r="AH173" s="35"/>
      <c r="AJ173" s="3"/>
      <c r="AK173" s="3"/>
      <c r="AL173" s="3"/>
      <c r="BN173" s="47" t="s">
        <v>537</v>
      </c>
      <c r="BT173" s="16" t="s">
        <v>443</v>
      </c>
    </row>
    <row r="174" spans="1:72" ht="13.2">
      <c r="A174" s="35"/>
      <c r="C174" s="49"/>
      <c r="D174" s="35" t="s">
        <v>484</v>
      </c>
      <c r="E174" s="35"/>
      <c r="F174" s="35"/>
      <c r="G174" s="35"/>
      <c r="H174" s="35"/>
      <c r="I174" s="35"/>
      <c r="J174" s="35"/>
      <c r="K174" s="35"/>
      <c r="L174" s="35"/>
      <c r="M174" s="35"/>
      <c r="N174" s="35"/>
      <c r="O174" s="35"/>
      <c r="P174" s="35"/>
      <c r="Q174" s="35"/>
      <c r="R174" s="35"/>
      <c r="S174" s="35"/>
      <c r="U174" s="1826" t="s">
        <v>528</v>
      </c>
      <c r="V174" s="1826"/>
      <c r="W174" s="3"/>
      <c r="X174" s="3"/>
      <c r="Y174" s="3"/>
      <c r="Z174" s="3"/>
      <c r="AA174" s="3"/>
      <c r="AH174" s="35"/>
      <c r="AJ174" s="3"/>
      <c r="AK174" s="3"/>
      <c r="AL174" s="3"/>
      <c r="BN174" s="47" t="s">
        <v>656</v>
      </c>
      <c r="BT174" s="16" t="s">
        <v>444</v>
      </c>
    </row>
    <row r="175" spans="1:72" ht="13.2">
      <c r="A175" s="35"/>
      <c r="C175" s="17"/>
      <c r="D175" s="52"/>
      <c r="E175" s="16" t="s">
        <v>255</v>
      </c>
      <c r="O175" s="53"/>
      <c r="P175" s="35" t="s">
        <v>256</v>
      </c>
      <c r="Q175" s="35"/>
      <c r="R175" s="35"/>
      <c r="S175" s="35" t="s">
        <v>257</v>
      </c>
      <c r="U175" s="1831" t="s">
        <v>2348</v>
      </c>
      <c r="V175" s="1839"/>
      <c r="W175" s="4" t="s">
        <v>258</v>
      </c>
      <c r="X175" s="2141" t="s">
        <v>2348</v>
      </c>
      <c r="Y175" s="2142"/>
      <c r="Z175" s="35"/>
      <c r="AC175" s="35"/>
      <c r="AD175" s="35"/>
      <c r="AE175" s="35"/>
      <c r="AF175" s="35"/>
      <c r="AH175" s="35"/>
      <c r="AJ175" s="3"/>
      <c r="AK175" s="3"/>
      <c r="AL175" s="3"/>
      <c r="BN175" s="47" t="s">
        <v>657</v>
      </c>
      <c r="BT175" s="16" t="s">
        <v>445</v>
      </c>
    </row>
    <row r="176" spans="1:72" ht="13.2">
      <c r="A176" s="35"/>
      <c r="C176" s="54"/>
      <c r="D176" s="35" t="s">
        <v>306</v>
      </c>
      <c r="E176" s="35"/>
      <c r="F176" s="35"/>
      <c r="G176" s="35"/>
      <c r="H176" s="35"/>
      <c r="I176" s="35"/>
      <c r="J176" s="35"/>
      <c r="K176" s="35"/>
      <c r="L176" s="35"/>
      <c r="M176" s="35"/>
      <c r="N176" s="35"/>
      <c r="O176" s="35"/>
      <c r="S176" s="35"/>
      <c r="T176" s="3"/>
      <c r="U176" s="1826" t="s">
        <v>528</v>
      </c>
      <c r="V176" s="1826"/>
      <c r="W176" s="3"/>
      <c r="X176" s="3"/>
      <c r="Y176" s="3"/>
      <c r="AD176" s="35"/>
      <c r="AF176" s="35"/>
      <c r="AH176" s="35"/>
      <c r="AJ176" s="3"/>
      <c r="AK176" s="3"/>
      <c r="AL176" s="3"/>
      <c r="BN176" s="47" t="s">
        <v>659</v>
      </c>
      <c r="BT176" s="16" t="s">
        <v>446</v>
      </c>
    </row>
    <row r="177" spans="1:72" ht="13.2">
      <c r="A177" s="35"/>
      <c r="C177" s="54"/>
      <c r="D177" s="578" t="s">
        <v>1332</v>
      </c>
      <c r="AD177" s="35"/>
      <c r="AF177" s="35"/>
      <c r="AH177" s="35"/>
      <c r="AJ177" s="3"/>
      <c r="AK177" s="3"/>
      <c r="AL177" s="3"/>
      <c r="BN177" s="47" t="s">
        <v>660</v>
      </c>
      <c r="BT177" s="16" t="s">
        <v>447</v>
      </c>
    </row>
    <row r="178" spans="1:72" ht="13.2">
      <c r="A178" s="35"/>
      <c r="C178" s="54"/>
      <c r="E178" s="759" t="s">
        <v>256</v>
      </c>
      <c r="F178" s="579"/>
      <c r="G178" s="759"/>
      <c r="H178" s="759" t="s">
        <v>257</v>
      </c>
      <c r="I178" s="579"/>
      <c r="J178" s="2054" t="s">
        <v>2348</v>
      </c>
      <c r="K178" s="2055"/>
      <c r="L178" s="758" t="s">
        <v>258</v>
      </c>
      <c r="M178" s="2056" t="s">
        <v>2348</v>
      </c>
      <c r="N178" s="2057"/>
      <c r="O178" s="579"/>
      <c r="P178" s="579"/>
      <c r="Q178" s="579"/>
      <c r="R178" s="579"/>
      <c r="U178" s="720" t="s">
        <v>1333</v>
      </c>
      <c r="V178" s="579"/>
      <c r="W178" s="759"/>
      <c r="X178" s="759"/>
      <c r="Y178" s="759"/>
      <c r="Z178" s="759"/>
      <c r="AA178" s="759"/>
      <c r="AB178" s="759"/>
      <c r="AD178" s="2058" t="s">
        <v>2348</v>
      </c>
      <c r="AE178" s="2059"/>
      <c r="AF178" s="2059"/>
      <c r="AG178" s="2059"/>
      <c r="AH178" s="2059"/>
      <c r="AJ178" s="3"/>
      <c r="AK178" s="3"/>
      <c r="AL178" s="3"/>
      <c r="BN178" s="47" t="s">
        <v>661</v>
      </c>
      <c r="BT178" s="16" t="s">
        <v>448</v>
      </c>
    </row>
    <row r="179" spans="1:72" ht="13.2">
      <c r="A179" s="35"/>
      <c r="C179" s="54"/>
      <c r="AE179" s="35"/>
      <c r="AJ179" s="3"/>
      <c r="AK179" s="3"/>
      <c r="AL179" s="3"/>
      <c r="BN179" s="47" t="s">
        <v>662</v>
      </c>
      <c r="BT179" s="16" t="s">
        <v>449</v>
      </c>
    </row>
    <row r="180" spans="1:72" ht="13.2">
      <c r="A180" s="35"/>
      <c r="C180" s="55"/>
      <c r="D180" s="3" t="s">
        <v>602</v>
      </c>
      <c r="O180" s="579"/>
      <c r="P180" s="759"/>
      <c r="Q180" s="579"/>
      <c r="R180" s="579"/>
      <c r="Y180" s="1826" t="s">
        <v>119</v>
      </c>
      <c r="Z180" s="2151"/>
      <c r="AE180" s="35"/>
      <c r="AJ180" s="3"/>
      <c r="AK180" s="3"/>
      <c r="AL180" s="3"/>
      <c r="BN180" s="47" t="s">
        <v>664</v>
      </c>
      <c r="BT180" s="16" t="s">
        <v>450</v>
      </c>
    </row>
    <row r="181" spans="1:72" ht="13.2">
      <c r="A181" s="35"/>
      <c r="C181" s="55"/>
      <c r="D181" s="57"/>
      <c r="E181" s="578" t="s">
        <v>1331</v>
      </c>
      <c r="R181" s="579"/>
      <c r="Z181" s="35"/>
      <c r="AA181" s="35"/>
      <c r="AE181" s="35"/>
      <c r="AF181" s="35"/>
      <c r="AH181" s="35"/>
      <c r="AJ181" s="3"/>
      <c r="AK181" s="3"/>
      <c r="AL181" s="3"/>
      <c r="BN181" s="47" t="s">
        <v>665</v>
      </c>
      <c r="BT181" s="16" t="s">
        <v>451</v>
      </c>
    </row>
    <row r="182" spans="1:72" ht="13.2">
      <c r="A182" s="35"/>
      <c r="C182" s="55"/>
      <c r="D182" s="56"/>
      <c r="E182" s="35"/>
      <c r="AJ182" s="3"/>
      <c r="AK182" s="3"/>
      <c r="AL182" s="3"/>
      <c r="BN182" s="47" t="s">
        <v>666</v>
      </c>
      <c r="BT182" s="16" t="s">
        <v>452</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3.2">
      <c r="A184" s="35"/>
      <c r="C184" s="58"/>
      <c r="D184" s="35" t="s">
        <v>10</v>
      </c>
      <c r="E184" s="35"/>
      <c r="F184" s="35"/>
      <c r="G184" s="35"/>
      <c r="H184" s="35"/>
      <c r="I184" s="1828" t="str">
        <f>H17</f>
        <v>Estrella</v>
      </c>
      <c r="J184" s="1828"/>
      <c r="K184" s="1828"/>
      <c r="L184" s="1828"/>
      <c r="M184" s="1828"/>
      <c r="N184" s="1828"/>
      <c r="O184" s="1828"/>
      <c r="P184" s="1828"/>
      <c r="Q184" s="1828"/>
      <c r="R184" s="1828"/>
      <c r="S184" s="1828"/>
      <c r="T184" s="1828"/>
      <c r="U184" s="1828"/>
      <c r="V184" s="1828"/>
      <c r="W184" s="1828"/>
      <c r="X184" s="1828"/>
      <c r="Y184" s="1828"/>
      <c r="Z184" s="1828"/>
      <c r="AA184" s="1828"/>
      <c r="AB184" s="1828"/>
      <c r="AC184" s="1828"/>
      <c r="AD184" s="1828"/>
      <c r="AE184" s="1828"/>
      <c r="AF184" s="35"/>
      <c r="AH184" s="35"/>
      <c r="AJ184" s="3"/>
      <c r="AK184" s="3"/>
      <c r="AL184" s="3"/>
      <c r="BC184" s="35" t="s">
        <v>131</v>
      </c>
      <c r="BN184" s="47" t="s">
        <v>631</v>
      </c>
      <c r="BT184" s="16" t="s">
        <v>454</v>
      </c>
    </row>
    <row r="185" spans="1:72" ht="13.2">
      <c r="A185" s="35"/>
      <c r="C185" s="58"/>
      <c r="D185" s="35" t="s">
        <v>475</v>
      </c>
      <c r="E185" s="35"/>
      <c r="F185" s="35"/>
      <c r="G185" s="35"/>
      <c r="H185" s="35"/>
      <c r="I185" s="1833" t="s">
        <v>2349</v>
      </c>
      <c r="J185" s="1825"/>
      <c r="K185" s="1825"/>
      <c r="L185" s="1825"/>
      <c r="M185" s="1825"/>
      <c r="N185" s="1825"/>
      <c r="O185" s="1825"/>
      <c r="P185" s="1825"/>
      <c r="Q185" s="1825"/>
      <c r="R185" s="1825"/>
      <c r="S185" s="1825"/>
      <c r="T185" s="1825"/>
      <c r="U185" s="1825"/>
      <c r="V185" s="1825"/>
      <c r="W185" s="1825"/>
      <c r="X185" s="1825"/>
      <c r="Y185" s="1825"/>
      <c r="Z185" s="1825"/>
      <c r="AA185" s="1825"/>
      <c r="AB185" s="1825"/>
      <c r="AC185" s="1825"/>
      <c r="AD185" s="1825"/>
      <c r="AE185" s="1825"/>
      <c r="AF185" s="35"/>
      <c r="AH185" s="35"/>
      <c r="AJ185" s="3"/>
      <c r="AK185" s="3"/>
      <c r="AL185" s="3"/>
      <c r="BC185" s="326" t="s">
        <v>132</v>
      </c>
      <c r="BN185" s="47" t="s">
        <v>632</v>
      </c>
      <c r="BT185" s="16" t="s">
        <v>913</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48"/>
      <c r="F187" s="1948"/>
      <c r="G187" s="1948"/>
      <c r="H187" s="1948"/>
      <c r="I187" s="1948"/>
      <c r="J187" s="1948"/>
      <c r="K187" s="1948"/>
      <c r="L187" s="1948"/>
      <c r="M187" s="1948"/>
      <c r="N187" s="1948"/>
      <c r="O187" s="1948"/>
      <c r="P187" s="1948"/>
      <c r="Q187" s="1948"/>
      <c r="R187" s="1948"/>
      <c r="S187" s="1948"/>
      <c r="T187" s="1948"/>
      <c r="U187" s="1948"/>
      <c r="V187" s="1948"/>
      <c r="W187" s="1948"/>
      <c r="X187" s="1948"/>
      <c r="Y187" s="1948"/>
      <c r="Z187" s="1948"/>
      <c r="AA187" s="1948"/>
      <c r="AB187" s="1948"/>
      <c r="AC187" s="1948"/>
      <c r="AD187" s="1948"/>
      <c r="AE187" s="1948"/>
      <c r="AF187" s="35"/>
      <c r="AH187" s="35"/>
      <c r="AJ187" s="3"/>
      <c r="AK187" s="3"/>
      <c r="AL187" s="3"/>
      <c r="BN187" s="47" t="s">
        <v>634</v>
      </c>
      <c r="BT187" s="16" t="s">
        <v>915</v>
      </c>
    </row>
    <row r="188" spans="1:72" ht="13.2">
      <c r="A188" s="35"/>
      <c r="C188" s="58"/>
      <c r="D188" s="35"/>
      <c r="E188" s="1949"/>
      <c r="F188" s="1949"/>
      <c r="G188" s="1949"/>
      <c r="H188" s="1949"/>
      <c r="I188" s="1949"/>
      <c r="J188" s="1949"/>
      <c r="K188" s="1949"/>
      <c r="L188" s="1949"/>
      <c r="M188" s="1949"/>
      <c r="N188" s="1949"/>
      <c r="O188" s="1949"/>
      <c r="P188" s="1949"/>
      <c r="Q188" s="1949"/>
      <c r="R188" s="1949"/>
      <c r="S188" s="1949"/>
      <c r="T188" s="1949"/>
      <c r="U188" s="1949"/>
      <c r="V188" s="1949"/>
      <c r="W188" s="1949"/>
      <c r="X188" s="1949"/>
      <c r="Y188" s="1949"/>
      <c r="Z188" s="1949"/>
      <c r="AA188" s="1949"/>
      <c r="AB188" s="1949"/>
      <c r="AC188" s="1949"/>
      <c r="AD188" s="1949"/>
      <c r="AE188" s="1949"/>
      <c r="AF188" s="35"/>
      <c r="AH188" s="35"/>
      <c r="AJ188" s="3"/>
      <c r="AK188" s="3"/>
      <c r="AL188" s="3"/>
      <c r="BN188" s="47" t="s">
        <v>636</v>
      </c>
      <c r="BT188" s="16" t="s">
        <v>916</v>
      </c>
    </row>
    <row r="189" spans="1:72" ht="13.2">
      <c r="A189" s="35"/>
      <c r="C189" s="58"/>
      <c r="D189" s="35" t="s">
        <v>476</v>
      </c>
      <c r="E189" s="35"/>
      <c r="I189" s="1852" t="s">
        <v>2350</v>
      </c>
      <c r="J189" s="1824"/>
      <c r="K189" s="1824"/>
      <c r="L189" s="1824"/>
      <c r="M189" s="1824"/>
      <c r="N189" s="1824"/>
      <c r="O189" s="1824"/>
      <c r="P189" s="1824"/>
      <c r="Q189" s="35" t="s">
        <v>478</v>
      </c>
      <c r="T189" s="1824" t="s">
        <v>124</v>
      </c>
      <c r="U189" s="1824"/>
      <c r="V189" s="1824"/>
      <c r="W189" s="1824"/>
      <c r="X189" s="1824"/>
      <c r="Y189" s="1824"/>
      <c r="Z189" s="1824"/>
      <c r="AA189" s="1824"/>
      <c r="AB189" s="1824"/>
      <c r="AC189" s="1824"/>
      <c r="AD189" s="1824"/>
      <c r="AE189" s="1824"/>
      <c r="AH189" s="35"/>
      <c r="AJ189" s="3"/>
      <c r="AK189" s="3"/>
      <c r="AL189" s="3"/>
      <c r="BC189" s="16" t="s">
        <v>86</v>
      </c>
      <c r="BH189" s="72" t="s">
        <v>135</v>
      </c>
      <c r="BN189" s="47" t="s">
        <v>637</v>
      </c>
      <c r="BT189" s="16" t="s">
        <v>120</v>
      </c>
    </row>
    <row r="190" spans="1:72" ht="13.2">
      <c r="A190" s="35"/>
      <c r="C190" s="59"/>
      <c r="D190" s="35" t="s">
        <v>479</v>
      </c>
      <c r="E190" s="35"/>
      <c r="F190" s="35"/>
      <c r="G190" s="35"/>
      <c r="I190" s="1825">
        <v>92069</v>
      </c>
      <c r="J190" s="1825"/>
      <c r="K190" s="1825"/>
      <c r="L190" s="1825"/>
      <c r="M190" s="1825"/>
      <c r="N190" s="1825"/>
      <c r="O190" s="35" t="s">
        <v>481</v>
      </c>
      <c r="P190" s="35"/>
      <c r="Q190" s="35"/>
      <c r="R190" s="35"/>
      <c r="S190" s="35"/>
      <c r="T190" s="2149">
        <v>200.21</v>
      </c>
      <c r="U190" s="2149"/>
      <c r="V190" s="2149"/>
      <c r="W190" s="2149"/>
      <c r="X190" s="2149"/>
      <c r="Y190" s="2149"/>
      <c r="Z190" s="2149"/>
      <c r="AA190" s="2149"/>
      <c r="AB190" s="2149"/>
      <c r="AC190" s="2149"/>
      <c r="AD190" s="2149"/>
      <c r="AE190" s="2149"/>
      <c r="AF190" s="35"/>
      <c r="AH190" s="35"/>
      <c r="AJ190" s="3"/>
      <c r="AK190" s="3"/>
      <c r="AL190" s="3"/>
      <c r="BC190" s="16" t="s">
        <v>725</v>
      </c>
      <c r="BH190" s="16" t="s">
        <v>725</v>
      </c>
      <c r="BN190" s="47" t="s">
        <v>467</v>
      </c>
      <c r="BT190" s="16" t="s">
        <v>121</v>
      </c>
    </row>
    <row r="191" spans="1:72" ht="13.2">
      <c r="A191" s="35"/>
      <c r="C191" s="59"/>
      <c r="D191" s="35" t="s">
        <v>92</v>
      </c>
      <c r="E191" s="35"/>
      <c r="F191" s="35"/>
      <c r="G191" s="35"/>
      <c r="H191" s="35"/>
      <c r="I191" s="35"/>
      <c r="J191" s="35"/>
      <c r="K191" s="35"/>
      <c r="L191" s="35"/>
      <c r="M191" s="35"/>
      <c r="N191" s="2047" t="s">
        <v>2511</v>
      </c>
      <c r="O191" s="1948"/>
      <c r="P191" s="1948"/>
      <c r="Q191" s="1948"/>
      <c r="R191" s="1948"/>
      <c r="S191" s="1948"/>
      <c r="T191" s="1948"/>
      <c r="U191" s="1948"/>
      <c r="V191" s="1948"/>
      <c r="W191" s="1948"/>
      <c r="X191" s="1948"/>
      <c r="Y191" s="1948"/>
      <c r="Z191" s="1948"/>
      <c r="AA191" s="1948"/>
      <c r="AB191" s="1948"/>
      <c r="AC191" s="1948"/>
      <c r="AD191" s="1948"/>
      <c r="AE191" s="1948"/>
      <c r="AF191" s="35"/>
      <c r="AH191" s="35"/>
      <c r="AJ191" s="3"/>
      <c r="AK191" s="3"/>
      <c r="AL191" s="3"/>
      <c r="BC191" s="16" t="s">
        <v>1548</v>
      </c>
      <c r="BH191" s="16" t="s">
        <v>1548</v>
      </c>
      <c r="BN191" s="47" t="s">
        <v>639</v>
      </c>
      <c r="BT191" s="16" t="s">
        <v>122</v>
      </c>
    </row>
    <row r="192" spans="1:72" ht="13.2">
      <c r="A192" s="35"/>
      <c r="C192" s="59"/>
      <c r="D192" s="35"/>
      <c r="E192" s="35"/>
      <c r="F192" s="35"/>
      <c r="G192" s="35"/>
      <c r="H192" s="35"/>
      <c r="I192" s="35"/>
      <c r="J192" s="35"/>
      <c r="K192" s="35"/>
      <c r="L192" s="35"/>
      <c r="M192" s="316"/>
      <c r="N192" s="1949"/>
      <c r="O192" s="1949"/>
      <c r="P192" s="1949"/>
      <c r="Q192" s="1949"/>
      <c r="R192" s="1949"/>
      <c r="S192" s="1949"/>
      <c r="T192" s="1949"/>
      <c r="U192" s="1949"/>
      <c r="V192" s="1949"/>
      <c r="W192" s="1949"/>
      <c r="X192" s="1949"/>
      <c r="Y192" s="1949"/>
      <c r="Z192" s="1949"/>
      <c r="AA192" s="1949"/>
      <c r="AB192" s="1949"/>
      <c r="AC192" s="1949"/>
      <c r="AD192" s="1949"/>
      <c r="AE192" s="1949"/>
      <c r="AF192" s="35"/>
      <c r="AH192" s="35"/>
      <c r="AJ192" s="3"/>
      <c r="AK192" s="3"/>
      <c r="AL192" s="3"/>
      <c r="BC192" s="16" t="s">
        <v>726</v>
      </c>
      <c r="BH192" s="8" t="s">
        <v>1555</v>
      </c>
      <c r="BN192" s="47" t="s">
        <v>640</v>
      </c>
      <c r="BT192" s="16" t="s">
        <v>123</v>
      </c>
    </row>
    <row r="193" spans="1:73" ht="13.2">
      <c r="A193" s="35"/>
      <c r="C193" s="59"/>
      <c r="D193" s="3" t="s">
        <v>482</v>
      </c>
      <c r="E193" s="3"/>
      <c r="F193" s="3"/>
      <c r="G193" s="3"/>
      <c r="H193" s="3"/>
      <c r="I193" s="3"/>
      <c r="J193" s="3"/>
      <c r="K193" s="3"/>
      <c r="L193" s="3"/>
      <c r="M193" s="3"/>
      <c r="N193" s="35"/>
      <c r="O193" s="35"/>
      <c r="P193" s="35"/>
      <c r="Q193" s="35"/>
      <c r="R193" s="35"/>
      <c r="T193" s="1826" t="s">
        <v>528</v>
      </c>
      <c r="U193" s="1826"/>
      <c r="W193" s="72" t="s">
        <v>2084</v>
      </c>
      <c r="AA193" s="2154" t="s">
        <v>2348</v>
      </c>
      <c r="AB193" s="2154"/>
      <c r="AC193" s="2154"/>
      <c r="AJ193" s="3"/>
      <c r="AK193" s="3"/>
      <c r="AL193" s="3"/>
      <c r="BC193" s="16" t="s">
        <v>621</v>
      </c>
      <c r="BH193" s="8" t="s">
        <v>1556</v>
      </c>
      <c r="BN193" s="47" t="s">
        <v>641</v>
      </c>
      <c r="BT193" s="16" t="s">
        <v>124</v>
      </c>
    </row>
    <row r="194" spans="1:73" ht="13.2">
      <c r="A194" s="35"/>
      <c r="C194" s="59"/>
      <c r="D194" s="3" t="s">
        <v>129</v>
      </c>
      <c r="E194" s="3"/>
      <c r="F194" s="3"/>
      <c r="G194" s="3"/>
      <c r="H194" s="3"/>
      <c r="I194" s="3"/>
      <c r="J194" s="3"/>
      <c r="K194" s="3"/>
      <c r="L194" s="3"/>
      <c r="M194" s="3"/>
      <c r="N194" s="35"/>
      <c r="O194" s="35"/>
      <c r="P194" s="35"/>
      <c r="Q194" s="35"/>
      <c r="R194" s="35"/>
      <c r="T194" s="1746" t="s">
        <v>528</v>
      </c>
      <c r="U194" s="1746"/>
      <c r="W194" s="35" t="s">
        <v>68</v>
      </c>
      <c r="X194" s="35"/>
      <c r="Y194" s="35"/>
      <c r="Z194" s="35"/>
      <c r="AA194" s="35"/>
      <c r="AB194" s="35"/>
      <c r="AC194" s="35"/>
      <c r="AD194" s="35"/>
      <c r="AE194" s="35"/>
      <c r="AF194" s="35"/>
      <c r="AG194" s="35"/>
      <c r="AH194" s="35"/>
      <c r="AI194" s="1826" t="s">
        <v>528</v>
      </c>
      <c r="AJ194" s="1826"/>
      <c r="AK194" s="3"/>
      <c r="AL194" s="3"/>
      <c r="AX194" s="8" t="s">
        <v>135</v>
      </c>
      <c r="BC194" s="16" t="s">
        <v>677</v>
      </c>
      <c r="BN194" s="47" t="s">
        <v>817</v>
      </c>
      <c r="BT194" s="16" t="s">
        <v>125</v>
      </c>
    </row>
    <row r="195" spans="1:73" ht="13.2">
      <c r="A195" s="35"/>
      <c r="C195" s="59"/>
      <c r="D195" s="1070" t="s">
        <v>1898</v>
      </c>
      <c r="E195" s="3"/>
      <c r="F195" s="3"/>
      <c r="G195" s="3"/>
      <c r="H195" s="3"/>
      <c r="I195" s="3"/>
      <c r="J195" s="3"/>
      <c r="K195" s="3"/>
      <c r="L195" s="3"/>
      <c r="M195" s="3"/>
      <c r="N195" s="35"/>
      <c r="O195" s="35"/>
      <c r="P195" s="35"/>
      <c r="Q195" s="35"/>
      <c r="R195" s="35"/>
      <c r="T195" s="1746" t="s">
        <v>528</v>
      </c>
      <c r="U195" s="1746"/>
      <c r="X195" s="1309" t="s">
        <v>2106</v>
      </c>
      <c r="AJ195" s="3"/>
      <c r="AK195" s="3"/>
      <c r="AL195" s="3"/>
      <c r="AX195" s="8" t="s">
        <v>1244</v>
      </c>
      <c r="BN195" s="47" t="s">
        <v>818</v>
      </c>
      <c r="BT195" s="16" t="s">
        <v>126</v>
      </c>
    </row>
    <row r="196" spans="1:73" ht="13.2">
      <c r="A196" s="35"/>
      <c r="C196" s="59"/>
      <c r="D196" s="74" t="s">
        <v>1250</v>
      </c>
      <c r="E196" s="35"/>
      <c r="F196" s="35"/>
      <c r="G196" s="35"/>
      <c r="H196" s="35"/>
      <c r="I196" s="35"/>
      <c r="J196" s="35"/>
      <c r="K196" s="35"/>
      <c r="L196" s="35"/>
      <c r="M196" s="35"/>
      <c r="N196" s="35"/>
      <c r="O196" s="35"/>
      <c r="P196" s="35"/>
      <c r="Q196" s="35"/>
      <c r="R196" s="35"/>
      <c r="T196" s="1746" t="s">
        <v>528</v>
      </c>
      <c r="U196" s="1746"/>
      <c r="W196" s="3"/>
      <c r="X196" s="3"/>
      <c r="Y196" s="3"/>
      <c r="Z196" s="3"/>
      <c r="AA196" s="3"/>
      <c r="AB196" s="3"/>
      <c r="AC196" s="3"/>
      <c r="AD196" s="3"/>
      <c r="AE196" s="3"/>
      <c r="AF196" s="3"/>
      <c r="AG196" s="3"/>
      <c r="AH196" s="3"/>
      <c r="AI196" s="3"/>
      <c r="AJ196" s="3"/>
      <c r="AK196" s="2153"/>
      <c r="AL196" s="2153"/>
      <c r="AX196" s="8" t="s">
        <v>1245</v>
      </c>
      <c r="BN196" s="47" t="s">
        <v>819</v>
      </c>
      <c r="BT196" s="16" t="s">
        <v>127</v>
      </c>
    </row>
    <row r="197" spans="1:73" ht="13.2">
      <c r="A197" s="35"/>
      <c r="C197" s="59"/>
      <c r="D197" s="72" t="s">
        <v>2085</v>
      </c>
      <c r="T197" s="1826" t="s">
        <v>528</v>
      </c>
      <c r="U197" s="1826"/>
      <c r="AJ197" s="3"/>
      <c r="AK197" s="3"/>
      <c r="AL197" s="3"/>
      <c r="AX197" s="8" t="s">
        <v>1246</v>
      </c>
      <c r="BC197" s="16" t="s">
        <v>86</v>
      </c>
      <c r="BN197" s="47" t="s">
        <v>820</v>
      </c>
      <c r="BT197" s="16" t="s">
        <v>128</v>
      </c>
    </row>
    <row r="198" spans="1:73" ht="13.2">
      <c r="A198" s="35"/>
      <c r="C198" s="59"/>
      <c r="D198" s="1070" t="s">
        <v>2115</v>
      </c>
      <c r="W198" s="1973" t="s">
        <v>528</v>
      </c>
      <c r="X198" s="1826"/>
      <c r="AG198" s="35"/>
      <c r="AH198" s="3"/>
      <c r="AI198" s="3"/>
      <c r="AJ198" s="3"/>
      <c r="AK198" s="3"/>
      <c r="AL198" s="3"/>
      <c r="AX198" s="8" t="s">
        <v>1247</v>
      </c>
      <c r="BC198" s="623" t="s">
        <v>1191</v>
      </c>
      <c r="BN198" s="47" t="s">
        <v>821</v>
      </c>
      <c r="BT198" s="16" t="s">
        <v>877</v>
      </c>
    </row>
    <row r="199" spans="1:73" ht="13.2">
      <c r="A199" s="35"/>
      <c r="C199" s="59"/>
      <c r="D199" s="1070" t="s">
        <v>2248</v>
      </c>
      <c r="L199" s="1458"/>
      <c r="M199" s="1458"/>
      <c r="N199" s="1458"/>
      <c r="O199" s="1458"/>
      <c r="P199" s="1458"/>
      <c r="Q199" s="1458"/>
      <c r="R199" s="2152" t="s">
        <v>2241</v>
      </c>
      <c r="S199" s="2152"/>
      <c r="T199" s="2152"/>
      <c r="U199" s="2152"/>
      <c r="V199" s="2152"/>
      <c r="W199" s="2152"/>
      <c r="X199" s="2152"/>
      <c r="Y199" s="2152"/>
      <c r="Z199" s="2152"/>
      <c r="AA199" s="2152"/>
      <c r="AB199" s="2152"/>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3.2">
      <c r="A200" s="35"/>
      <c r="C200" s="59"/>
      <c r="D200" s="3" t="s">
        <v>617</v>
      </c>
      <c r="AB200" s="35"/>
      <c r="AC200" s="35"/>
      <c r="AE200" s="35"/>
      <c r="AF200" s="35"/>
      <c r="AG200" s="35"/>
      <c r="AH200" s="390"/>
      <c r="AI200" s="390"/>
      <c r="AJ200" s="3"/>
      <c r="AK200" s="3"/>
      <c r="AL200" s="3"/>
      <c r="AX200" s="72" t="s">
        <v>2281</v>
      </c>
      <c r="BC200" s="1056" t="s">
        <v>2282</v>
      </c>
      <c r="BN200" s="1492" t="s">
        <v>720</v>
      </c>
      <c r="BO200" s="65"/>
      <c r="BP200" s="68"/>
      <c r="BQ200" s="68"/>
      <c r="BR200" s="68"/>
      <c r="BS200" s="68"/>
      <c r="BT200" s="68" t="s">
        <v>879</v>
      </c>
    </row>
    <row r="201" spans="1:73" ht="12.75" customHeight="1">
      <c r="A201" s="35"/>
      <c r="C201" s="59"/>
      <c r="G201" s="1457" t="s">
        <v>2246</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3.2">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1564</v>
      </c>
      <c r="BN202" s="47" t="s">
        <v>722</v>
      </c>
      <c r="BT202" s="69" t="s">
        <v>881</v>
      </c>
      <c r="BU202" s="65"/>
    </row>
    <row r="203" spans="1:73" ht="13.2">
      <c r="A203" s="35"/>
      <c r="C203" s="35"/>
      <c r="D203" s="1828" t="str">
        <f>IF(AND(M25&gt;0,M27&gt;0),"Federal and State","Federal Only")</f>
        <v>Federal Only</v>
      </c>
      <c r="E203" s="1828"/>
      <c r="F203" s="1828"/>
      <c r="G203" s="1828"/>
      <c r="H203" s="1828"/>
      <c r="I203" s="1828"/>
      <c r="J203" s="1828"/>
      <c r="K203" s="1828"/>
      <c r="L203" s="1828"/>
      <c r="M203" s="1828"/>
      <c r="P203" s="2038">
        <f>M25</f>
        <v>2354865</v>
      </c>
      <c r="Q203" s="2038"/>
      <c r="R203" s="2038"/>
      <c r="S203" s="2038"/>
      <c r="T203" s="2038"/>
      <c r="U203" s="2038"/>
      <c r="V203" s="35"/>
      <c r="W203" s="2038">
        <f>M27</f>
        <v>0</v>
      </c>
      <c r="X203" s="2038"/>
      <c r="Y203" s="2038"/>
      <c r="Z203" s="2038"/>
      <c r="AA203" s="2038"/>
      <c r="AB203" s="2038"/>
      <c r="AD203" s="35"/>
      <c r="AE203" s="35"/>
      <c r="AF203" s="35"/>
      <c r="AG203" s="35"/>
      <c r="AH203" s="35"/>
      <c r="AI203" s="35"/>
      <c r="AJ203" s="3"/>
      <c r="AK203" s="3"/>
      <c r="AL203" s="3"/>
      <c r="AV203" s="16" t="s">
        <v>135</v>
      </c>
      <c r="AX203" s="8" t="s">
        <v>726</v>
      </c>
      <c r="BC203" s="3" t="s">
        <v>1562</v>
      </c>
      <c r="BN203" s="47" t="s">
        <v>723</v>
      </c>
      <c r="BT203" s="69" t="s">
        <v>882</v>
      </c>
      <c r="BU203" s="65"/>
    </row>
    <row r="204" spans="1:73" ht="13.2">
      <c r="A204" s="35"/>
      <c r="C204" s="58"/>
      <c r="E204" s="35"/>
      <c r="F204" s="35"/>
      <c r="G204" s="35"/>
      <c r="P204" s="2051" t="s">
        <v>191</v>
      </c>
      <c r="Q204" s="2051"/>
      <c r="R204" s="2051"/>
      <c r="S204" s="2051"/>
      <c r="T204" s="2051"/>
      <c r="U204" s="2051"/>
      <c r="V204" s="60"/>
      <c r="W204" s="2051" t="s">
        <v>192</v>
      </c>
      <c r="X204" s="2051"/>
      <c r="Y204" s="2051"/>
      <c r="Z204" s="2051"/>
      <c r="AA204" s="2051"/>
      <c r="AB204" s="2051"/>
      <c r="AD204" s="35"/>
      <c r="AE204" s="35"/>
      <c r="AF204" s="35"/>
      <c r="AG204" s="35"/>
      <c r="AH204" s="35"/>
      <c r="AI204" s="35"/>
      <c r="AJ204" s="3"/>
      <c r="AK204" s="3"/>
      <c r="AL204" s="3"/>
      <c r="AV204" s="16" t="s">
        <v>119</v>
      </c>
      <c r="AX204" s="8" t="s">
        <v>1497</v>
      </c>
      <c r="BC204" s="272" t="s">
        <v>936</v>
      </c>
      <c r="BN204" s="47" t="s">
        <v>724</v>
      </c>
      <c r="BT204" s="69" t="s">
        <v>883</v>
      </c>
      <c r="BU204" s="70"/>
    </row>
    <row r="205" spans="1:73" ht="13.8"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1565</v>
      </c>
      <c r="BN206" s="47" t="s">
        <v>981</v>
      </c>
      <c r="BT206" s="69" t="s">
        <v>884</v>
      </c>
    </row>
    <row r="207" spans="1:73" ht="13.2">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2240</v>
      </c>
      <c r="BC207" s="272" t="s">
        <v>1923</v>
      </c>
      <c r="BN207" s="47" t="s">
        <v>1</v>
      </c>
      <c r="BT207" s="69" t="s">
        <v>885</v>
      </c>
    </row>
    <row r="208" spans="1:73" ht="13.2">
      <c r="A208" s="35"/>
      <c r="C208" s="58"/>
      <c r="D208" s="2041" t="s">
        <v>2351</v>
      </c>
      <c r="E208" s="2041"/>
      <c r="F208" s="2041"/>
      <c r="G208" s="2041"/>
      <c r="H208" s="2041"/>
      <c r="I208" s="2041"/>
      <c r="J208" s="2041"/>
      <c r="K208" s="2041"/>
      <c r="L208" s="2041"/>
      <c r="M208" s="2041"/>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2241</v>
      </c>
      <c r="BC208" s="3" t="s">
        <v>1563</v>
      </c>
      <c r="BN208" s="47" t="s">
        <v>2</v>
      </c>
      <c r="BT208" s="69" t="s">
        <v>886</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2242</v>
      </c>
      <c r="BC209" s="272" t="s">
        <v>81</v>
      </c>
      <c r="BN209" s="47" t="s">
        <v>3</v>
      </c>
      <c r="BT209" s="69" t="s">
        <v>887</v>
      </c>
    </row>
    <row r="210" spans="1:72" ht="13.2">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2243</v>
      </c>
      <c r="BN210" s="47" t="s">
        <v>4</v>
      </c>
      <c r="BT210" s="69" t="s">
        <v>888</v>
      </c>
    </row>
    <row r="211" spans="1:72" ht="13.2">
      <c r="C211" s="58"/>
      <c r="D211" s="2041" t="s">
        <v>135</v>
      </c>
      <c r="E211" s="2041"/>
      <c r="F211" s="2041"/>
      <c r="G211" s="2041"/>
      <c r="H211" s="2041"/>
      <c r="I211" s="2041"/>
      <c r="J211" s="2041"/>
      <c r="K211" s="2041"/>
      <c r="L211" s="2041"/>
      <c r="M211" s="2041"/>
      <c r="N211" s="2041"/>
      <c r="O211" s="2041"/>
      <c r="P211" s="2041"/>
      <c r="X211" s="1321"/>
      <c r="Y211" s="2150" t="s">
        <v>528</v>
      </c>
      <c r="Z211" s="2150"/>
      <c r="AA211" s="1322"/>
      <c r="AB211" s="1322"/>
      <c r="AC211" s="1322"/>
      <c r="AD211" s="1322"/>
      <c r="AE211" s="1322"/>
      <c r="AF211" s="1322"/>
      <c r="AG211" s="1322"/>
      <c r="AH211" s="1322"/>
      <c r="AI211" s="1322"/>
      <c r="AJ211" s="1322"/>
      <c r="AK211" s="1323"/>
      <c r="AL211" s="3"/>
      <c r="AX211" s="16" t="s">
        <v>2244</v>
      </c>
      <c r="BN211" s="47" t="s">
        <v>21</v>
      </c>
      <c r="BT211" s="69" t="s">
        <v>22</v>
      </c>
    </row>
    <row r="212" spans="1:72" ht="13.8" thickBot="1">
      <c r="X212" s="1326"/>
      <c r="Y212" s="1324"/>
      <c r="Z212" s="1324"/>
      <c r="AA212" s="1324"/>
      <c r="AB212" s="1324"/>
      <c r="AC212" s="1324"/>
      <c r="AD212" s="1324"/>
      <c r="AE212" s="1324"/>
      <c r="AF212" s="1324"/>
      <c r="AG212" s="1324"/>
      <c r="AH212" s="1324"/>
      <c r="AI212" s="1324"/>
      <c r="AJ212" s="1324"/>
      <c r="AK212" s="1325"/>
      <c r="AL212" s="3"/>
      <c r="AX212" s="16" t="s">
        <v>2245</v>
      </c>
      <c r="BC212" s="727" t="s">
        <v>86</v>
      </c>
      <c r="BN212" s="47" t="s">
        <v>5</v>
      </c>
      <c r="BT212" s="69" t="s">
        <v>889</v>
      </c>
    </row>
    <row r="213" spans="1:72" ht="13.2">
      <c r="A213" s="63" t="s">
        <v>136</v>
      </c>
      <c r="C213" s="63" t="s">
        <v>1549</v>
      </c>
      <c r="AG213" s="3"/>
      <c r="AJ213" s="3"/>
      <c r="AK213" s="3"/>
      <c r="AL213" s="3"/>
      <c r="AX213" s="72" t="s">
        <v>2247</v>
      </c>
      <c r="BC213" s="16" t="s">
        <v>688</v>
      </c>
      <c r="BN213" s="47" t="s">
        <v>6</v>
      </c>
      <c r="BT213" s="69" t="s">
        <v>890</v>
      </c>
    </row>
    <row r="214" spans="1:72" ht="13.2">
      <c r="C214" s="58"/>
      <c r="D214" s="2041" t="s">
        <v>725</v>
      </c>
      <c r="E214" s="2041"/>
      <c r="F214" s="2041"/>
      <c r="G214" s="2041"/>
      <c r="H214" s="2041"/>
      <c r="I214" s="2041"/>
      <c r="J214" s="2041"/>
      <c r="K214" s="2041"/>
      <c r="L214" s="2041"/>
      <c r="M214" s="2041"/>
      <c r="N214" s="2041"/>
      <c r="O214" s="2041"/>
      <c r="P214" s="2041"/>
      <c r="Q214" s="2041"/>
      <c r="R214" s="2041"/>
      <c r="S214" s="2041"/>
      <c r="T214" s="2041"/>
      <c r="U214" s="2041"/>
      <c r="V214" s="2041"/>
      <c r="W214" s="2041"/>
      <c r="X214" s="2041"/>
      <c r="Y214" s="2041"/>
      <c r="Z214" s="2041"/>
      <c r="AG214" s="3"/>
      <c r="AJ214" s="3"/>
      <c r="AK214" s="3"/>
      <c r="AL214" s="3"/>
      <c r="BC214" s="16" t="s">
        <v>692</v>
      </c>
      <c r="BN214" s="47" t="s">
        <v>489</v>
      </c>
      <c r="BT214" s="69" t="s">
        <v>891</v>
      </c>
    </row>
    <row r="215" spans="1:72" ht="13.2">
      <c r="D215" s="64"/>
      <c r="E215" s="8" t="s">
        <v>1561</v>
      </c>
      <c r="AE215" s="2060">
        <v>0</v>
      </c>
      <c r="AF215" s="2060"/>
      <c r="AG215" s="3"/>
      <c r="AJ215" s="3"/>
      <c r="AK215" s="3"/>
      <c r="AL215" s="3"/>
      <c r="BC215" s="16" t="s">
        <v>689</v>
      </c>
    </row>
    <row r="216" spans="1:72" ht="12.75" customHeight="1">
      <c r="D216" s="64"/>
      <c r="E216" s="8" t="s">
        <v>1559</v>
      </c>
      <c r="AG216" s="3"/>
      <c r="AJ216" s="3"/>
      <c r="AK216" s="3"/>
      <c r="AL216" s="3"/>
      <c r="BC216" s="16" t="s">
        <v>807</v>
      </c>
    </row>
    <row r="217" spans="1:72" ht="13.2">
      <c r="E217" s="2046" t="s">
        <v>135</v>
      </c>
      <c r="F217" s="1949"/>
      <c r="G217" s="1949"/>
      <c r="H217" s="1949"/>
      <c r="I217" s="1949"/>
      <c r="J217" s="1949"/>
      <c r="K217" s="1949"/>
      <c r="L217" s="1949"/>
      <c r="M217" s="1949"/>
      <c r="N217" s="1949"/>
      <c r="O217" s="1949"/>
      <c r="P217" s="1949"/>
      <c r="Q217" s="1949"/>
      <c r="R217" s="1949"/>
      <c r="S217" s="1949"/>
      <c r="T217" s="1949"/>
      <c r="U217" s="1949"/>
      <c r="V217" s="1949"/>
      <c r="W217" s="1949"/>
      <c r="X217" s="1949"/>
      <c r="Y217" s="1949"/>
      <c r="Z217" s="1949"/>
      <c r="AA217" s="83"/>
      <c r="AB217" s="83"/>
      <c r="AC217" s="83"/>
      <c r="AD217" s="83"/>
      <c r="AE217" s="83"/>
      <c r="AF217" s="83"/>
      <c r="AG217" s="3"/>
      <c r="AJ217" s="3"/>
      <c r="AK217" s="3"/>
      <c r="AL217" s="3"/>
      <c r="BC217" s="16" t="s">
        <v>690</v>
      </c>
    </row>
    <row r="218" spans="1:72" ht="13.2">
      <c r="E218" s="72" t="s">
        <v>2170</v>
      </c>
      <c r="AA218" s="83"/>
      <c r="AC218" s="2027" t="s">
        <v>2348</v>
      </c>
      <c r="AD218" s="2027"/>
      <c r="AE218" s="2027"/>
      <c r="AF218" s="2027"/>
      <c r="AG218" s="2027"/>
      <c r="AH218" s="2027"/>
      <c r="AI218" s="2027"/>
      <c r="AJ218" s="2027"/>
      <c r="AK218" s="2027"/>
      <c r="AL218" s="2027"/>
      <c r="AM218" s="2027"/>
      <c r="BC218" s="16" t="s">
        <v>691</v>
      </c>
      <c r="BI218" s="67"/>
    </row>
    <row r="219" spans="1:72" ht="12.75" customHeight="1">
      <c r="E219" s="72" t="s">
        <v>2171</v>
      </c>
      <c r="AA219" s="83"/>
      <c r="AC219" s="2027" t="s">
        <v>2348</v>
      </c>
      <c r="AD219" s="2027"/>
      <c r="AE219" s="2027"/>
      <c r="AF219" s="2027"/>
      <c r="AG219" s="2027"/>
      <c r="AH219" s="2027"/>
      <c r="AI219" s="2027"/>
      <c r="AJ219" s="2027"/>
      <c r="AK219" s="2027"/>
      <c r="AL219" s="2027"/>
      <c r="AM219" s="2027"/>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52" t="s">
        <v>937</v>
      </c>
      <c r="E223" s="1852"/>
      <c r="F223" s="1852"/>
      <c r="G223" s="1852"/>
      <c r="H223" s="1852"/>
      <c r="I223" s="1852"/>
      <c r="J223" s="1852"/>
      <c r="K223" s="1852"/>
      <c r="L223" s="1852"/>
      <c r="M223" s="1852"/>
      <c r="N223" s="1852"/>
      <c r="O223" s="1852"/>
      <c r="P223" s="1852"/>
      <c r="Q223" s="1852"/>
      <c r="R223" s="1852"/>
      <c r="S223" s="1852"/>
      <c r="T223" s="1852"/>
      <c r="U223" s="1852"/>
      <c r="V223" s="1852"/>
      <c r="W223" s="1852"/>
      <c r="X223" s="1852"/>
      <c r="Y223" s="1852"/>
      <c r="Z223" s="1852"/>
      <c r="AA223" s="1852"/>
      <c r="AB223" s="1852"/>
      <c r="AC223" s="1852"/>
      <c r="AD223" s="1852"/>
      <c r="AE223" s="1852"/>
      <c r="AF223" s="1852"/>
      <c r="AG223" s="1852"/>
      <c r="AH223" s="1852"/>
      <c r="AI223" s="1852"/>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826">
        <v>50</v>
      </c>
      <c r="P225" s="1826"/>
    </row>
    <row r="226" spans="1:59" ht="12.75" customHeight="1">
      <c r="D226" s="35" t="s">
        <v>615</v>
      </c>
      <c r="E226" s="35"/>
      <c r="F226" s="35"/>
      <c r="G226" s="35"/>
      <c r="H226" s="35"/>
      <c r="I226" s="35"/>
      <c r="J226" s="35"/>
      <c r="K226" s="35"/>
      <c r="L226" s="35"/>
      <c r="M226" s="35"/>
      <c r="N226" s="35"/>
      <c r="O226" s="1826">
        <v>75</v>
      </c>
      <c r="P226" s="1826"/>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826">
        <v>38</v>
      </c>
      <c r="P227" s="1826"/>
      <c r="BB227" s="8" t="s">
        <v>700</v>
      </c>
      <c r="BG227" s="624">
        <f>IF(AND(AND($M$251="for profit",$M$259="nonprofit",$M$267="for profit")),2,0)</f>
        <v>0</v>
      </c>
    </row>
    <row r="228" spans="1:59" ht="13.2">
      <c r="D228" s="3" t="s">
        <v>617</v>
      </c>
      <c r="BB228" s="16" t="s">
        <v>700</v>
      </c>
      <c r="BG228" s="624">
        <f>IF(AND(AND($M$251="nonprofit",$M$259="for profit",$M$267="for profit")),2,0)</f>
        <v>0</v>
      </c>
    </row>
    <row r="229" spans="1:59" ht="13.2">
      <c r="D229" s="562" t="s">
        <v>1276</v>
      </c>
      <c r="U229" s="562" t="s">
        <v>1277</v>
      </c>
      <c r="BB229" s="16" t="s">
        <v>700</v>
      </c>
      <c r="BG229" s="624">
        <f>IF(AND(AND($M$251="for profit",$M$259="nonprofit",$M$267="(select one)")),2,0)</f>
        <v>2</v>
      </c>
    </row>
    <row r="230" spans="1:59" ht="13.2">
      <c r="BB230" s="16" t="s">
        <v>700</v>
      </c>
      <c r="BG230" s="625">
        <f>IF(AND(AND($M$251="nonprofit",$M$259="for profit",$M$267="(select one)")),2,0)</f>
        <v>0</v>
      </c>
    </row>
    <row r="231" spans="1:59" ht="13.2">
      <c r="A231" s="2052" t="s">
        <v>541</v>
      </c>
      <c r="B231" s="2052"/>
      <c r="C231" s="2052"/>
      <c r="D231" s="2052"/>
      <c r="E231" s="2052"/>
      <c r="F231" s="2052"/>
      <c r="G231" s="2052"/>
      <c r="H231" s="2052"/>
      <c r="I231" s="2052"/>
      <c r="J231" s="2052"/>
      <c r="K231" s="2052"/>
      <c r="L231" s="2052"/>
      <c r="M231" s="2052"/>
      <c r="N231" s="2052"/>
      <c r="O231" s="2052"/>
      <c r="P231" s="2052"/>
      <c r="Q231" s="2052"/>
      <c r="R231" s="2052"/>
      <c r="S231" s="2052"/>
      <c r="T231" s="2052"/>
      <c r="U231" s="2052"/>
      <c r="V231" s="2052"/>
      <c r="W231" s="2052"/>
      <c r="X231" s="2052"/>
      <c r="Y231" s="2052"/>
      <c r="Z231" s="2052"/>
      <c r="AA231" s="2052"/>
      <c r="AB231" s="2052"/>
      <c r="AC231" s="2052"/>
      <c r="AD231" s="2052"/>
      <c r="AE231" s="2052"/>
      <c r="AF231" s="2052"/>
      <c r="AG231" s="2052"/>
      <c r="AH231" s="2052"/>
      <c r="AI231" s="2052"/>
      <c r="AJ231" s="2052"/>
      <c r="AK231" s="2052"/>
      <c r="AL231" s="2052"/>
    </row>
    <row r="232" spans="1:59" ht="13.8" thickBot="1">
      <c r="A232" s="2053"/>
      <c r="B232" s="2053"/>
      <c r="C232" s="2053"/>
      <c r="D232" s="2053"/>
      <c r="E232" s="2053"/>
      <c r="F232" s="2053"/>
      <c r="G232" s="2053"/>
      <c r="H232" s="2053"/>
      <c r="I232" s="2053"/>
      <c r="J232" s="2053"/>
      <c r="K232" s="2053"/>
      <c r="L232" s="2053"/>
      <c r="M232" s="2053"/>
      <c r="N232" s="2053"/>
      <c r="O232" s="2053"/>
      <c r="P232" s="2053"/>
      <c r="Q232" s="2053"/>
      <c r="R232" s="2053"/>
      <c r="S232" s="2053"/>
      <c r="T232" s="2053"/>
      <c r="U232" s="2053"/>
      <c r="V232" s="2053"/>
      <c r="W232" s="2053"/>
      <c r="X232" s="2053"/>
      <c r="Y232" s="2053"/>
      <c r="Z232" s="2053"/>
      <c r="AA232" s="2053"/>
      <c r="AB232" s="2053"/>
      <c r="AC232" s="2053"/>
      <c r="AD232" s="2053"/>
      <c r="AE232" s="2053"/>
      <c r="AF232" s="2053"/>
      <c r="AG232" s="2053"/>
      <c r="AH232" s="2053"/>
      <c r="AI232" s="2053"/>
      <c r="AJ232" s="2053"/>
      <c r="AK232" s="2053"/>
      <c r="AL232" s="2053"/>
      <c r="BB232" s="63" t="s">
        <v>700</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3.2">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3.2">
      <c r="D235" s="71" t="s">
        <v>412</v>
      </c>
      <c r="E235" s="71"/>
      <c r="F235" s="71"/>
      <c r="G235" s="71"/>
      <c r="H235" s="71"/>
      <c r="I235" s="71"/>
      <c r="J235" s="71"/>
      <c r="K235" s="8"/>
      <c r="M235" s="2050" t="str">
        <f>H15</f>
        <v>San Marcos Family Housing, L.P.</v>
      </c>
      <c r="N235" s="2050"/>
      <c r="O235" s="2050"/>
      <c r="P235" s="2050"/>
      <c r="Q235" s="2050"/>
      <c r="R235" s="2050"/>
      <c r="S235" s="2050"/>
      <c r="T235" s="2050"/>
      <c r="U235" s="2050"/>
      <c r="V235" s="2050"/>
      <c r="W235" s="2050"/>
      <c r="X235" s="2050"/>
      <c r="Y235" s="2050"/>
      <c r="Z235" s="2050"/>
      <c r="AA235" s="2050"/>
      <c r="AB235" s="2050"/>
      <c r="AC235" s="2050"/>
      <c r="AD235" s="2050"/>
      <c r="AE235" s="2050"/>
      <c r="AF235" s="2050"/>
      <c r="AG235" s="2050"/>
      <c r="AH235" s="2050"/>
      <c r="AI235" s="2050"/>
      <c r="AJ235" s="2050"/>
      <c r="AK235" s="2050"/>
      <c r="BB235" s="62"/>
      <c r="BC235" s="35"/>
      <c r="BD235" s="35"/>
      <c r="BE235" s="35"/>
      <c r="BF235" s="35"/>
      <c r="BG235" s="71"/>
    </row>
    <row r="236" spans="1:59" ht="12.75" customHeight="1">
      <c r="D236" s="71" t="s">
        <v>413</v>
      </c>
      <c r="E236" s="71"/>
      <c r="F236" s="71"/>
      <c r="G236" s="71"/>
      <c r="H236" s="71"/>
      <c r="I236" s="71"/>
      <c r="J236" s="71"/>
      <c r="K236" s="8"/>
      <c r="M236" s="1852" t="s">
        <v>2352</v>
      </c>
      <c r="N236" s="1852"/>
      <c r="O236" s="1852"/>
      <c r="P236" s="1852"/>
      <c r="Q236" s="1852"/>
      <c r="R236" s="1852"/>
      <c r="S236" s="1852"/>
      <c r="T236" s="1852"/>
      <c r="U236" s="1852"/>
      <c r="V236" s="1852"/>
      <c r="W236" s="1852"/>
      <c r="X236" s="1852"/>
      <c r="Y236" s="1852"/>
      <c r="Z236" s="1852"/>
      <c r="AA236" s="1852"/>
      <c r="AB236" s="1852"/>
      <c r="AC236" s="1852"/>
      <c r="AD236" s="1852"/>
      <c r="AE236" s="1852"/>
      <c r="AM236" s="72"/>
      <c r="AN236" s="72"/>
      <c r="BB236" s="16" t="s">
        <v>699</v>
      </c>
      <c r="BG236" s="624">
        <f>IF(AND(AND($M$251="nonprofit",$M$259="nonprofit",$M$267="nonprofit")),1,0)</f>
        <v>0</v>
      </c>
    </row>
    <row r="237" spans="1:59" ht="13.2">
      <c r="D237" s="71" t="s">
        <v>476</v>
      </c>
      <c r="E237" s="71"/>
      <c r="M237" s="1852" t="s">
        <v>124</v>
      </c>
      <c r="N237" s="1852"/>
      <c r="O237" s="1852"/>
      <c r="P237" s="1852"/>
      <c r="Q237" s="1852"/>
      <c r="R237" s="1852"/>
      <c r="S237" s="1852"/>
      <c r="T237" s="1852"/>
      <c r="V237" s="73" t="s">
        <v>414</v>
      </c>
      <c r="W237" s="1833" t="s">
        <v>2353</v>
      </c>
      <c r="X237" s="1823"/>
      <c r="Y237" s="71" t="s">
        <v>479</v>
      </c>
      <c r="AC237" s="2041">
        <v>92128</v>
      </c>
      <c r="AD237" s="2041"/>
      <c r="AE237" s="2041"/>
      <c r="AN237" s="72"/>
      <c r="BB237" s="16" t="s">
        <v>699</v>
      </c>
      <c r="BG237" s="624">
        <f>IF(AND(AND($M$251="nonprofit",$M$259="nonprofit",$M$267="(select one)")),1,0)</f>
        <v>0</v>
      </c>
    </row>
    <row r="238" spans="1:59" ht="13.2">
      <c r="D238" s="74" t="s">
        <v>415</v>
      </c>
      <c r="E238" s="8"/>
      <c r="F238" s="8"/>
      <c r="G238" s="8"/>
      <c r="H238" s="8"/>
      <c r="I238" s="8"/>
      <c r="J238" s="8"/>
      <c r="K238" s="39"/>
      <c r="M238" s="1852" t="s">
        <v>2509</v>
      </c>
      <c r="N238" s="2041"/>
      <c r="O238" s="2041"/>
      <c r="P238" s="2041"/>
      <c r="Q238" s="2041"/>
      <c r="R238" s="2041"/>
      <c r="S238" s="2041"/>
      <c r="T238" s="2041"/>
      <c r="U238" s="2041"/>
      <c r="V238" s="2041"/>
      <c r="W238" s="2041"/>
      <c r="X238" s="2041"/>
      <c r="Y238" s="2041"/>
      <c r="Z238" s="2041"/>
      <c r="AA238" s="2041"/>
      <c r="AB238" s="2041"/>
      <c r="AC238" s="2041"/>
      <c r="AD238" s="2041"/>
      <c r="AE238" s="2041"/>
      <c r="AI238" s="8"/>
      <c r="AJ238" s="8"/>
      <c r="AK238" s="8"/>
      <c r="AL238" s="8"/>
      <c r="AN238" s="72"/>
      <c r="BB238" s="16" t="s">
        <v>699</v>
      </c>
      <c r="BG238" s="624">
        <f>IF(AND(AND($M$251="nonprofit",$M$259="(select one)",$M$267="(select one)")),1,0)</f>
        <v>0</v>
      </c>
    </row>
    <row r="239" spans="1:59" ht="13.2">
      <c r="D239" s="74" t="s">
        <v>416</v>
      </c>
      <c r="E239" s="8"/>
      <c r="F239" s="8"/>
      <c r="M239" s="1853">
        <v>8586792828</v>
      </c>
      <c r="N239" s="1853"/>
      <c r="O239" s="1853"/>
      <c r="P239" s="1853"/>
      <c r="Q239" s="1853"/>
      <c r="R239" s="1853"/>
      <c r="S239" s="8" t="s">
        <v>892</v>
      </c>
      <c r="T239" s="8"/>
      <c r="U239" s="1833" t="s">
        <v>2348</v>
      </c>
      <c r="V239" s="1823"/>
      <c r="W239" s="1823"/>
      <c r="X239" s="8" t="s">
        <v>417</v>
      </c>
      <c r="Z239" s="1827" t="s">
        <v>2348</v>
      </c>
      <c r="AA239" s="1853"/>
      <c r="AB239" s="1853"/>
      <c r="AC239" s="1853"/>
      <c r="AD239" s="1853"/>
      <c r="AE239" s="1853"/>
      <c r="AM239" s="72"/>
      <c r="AN239" s="72"/>
      <c r="BB239" s="16" t="s">
        <v>1093</v>
      </c>
      <c r="BG239" s="624">
        <f>IF(AND(AND($M$251="for profit",$M$259="for profit",$M$267="for profit")),3,0)</f>
        <v>0</v>
      </c>
    </row>
    <row r="240" spans="1:59" ht="13.2">
      <c r="D240" s="74" t="s">
        <v>418</v>
      </c>
      <c r="E240" s="8"/>
      <c r="F240" s="8"/>
      <c r="M240" s="2048" t="s">
        <v>2510</v>
      </c>
      <c r="N240" s="2048"/>
      <c r="O240" s="2048"/>
      <c r="P240" s="2048"/>
      <c r="Q240" s="2048"/>
      <c r="R240" s="2048"/>
      <c r="S240" s="2048"/>
      <c r="T240" s="2048"/>
      <c r="U240" s="2048"/>
      <c r="V240" s="2048"/>
      <c r="W240" s="2048"/>
      <c r="X240" s="2048"/>
      <c r="Y240" s="2048"/>
      <c r="Z240" s="2048"/>
      <c r="AA240" s="2048"/>
      <c r="AB240" s="2048"/>
      <c r="AC240" s="2048"/>
      <c r="AD240" s="2048"/>
      <c r="AE240" s="2048"/>
      <c r="AF240" s="8"/>
      <c r="AG240" s="8"/>
      <c r="AH240" s="8"/>
      <c r="AI240" s="8"/>
      <c r="AJ240" s="8"/>
      <c r="AK240" s="8"/>
      <c r="AL240" s="8"/>
      <c r="AN240" s="72"/>
      <c r="AO240" s="72"/>
      <c r="BB240" s="16" t="s">
        <v>1093</v>
      </c>
      <c r="BG240" s="625">
        <f>IF(AND(AND($M$251="for profit",$M$259="for profit",$M$267="(select one)")),3,0)</f>
        <v>0</v>
      </c>
    </row>
    <row r="241" spans="1:67" ht="13.2">
      <c r="A241" s="63" t="s">
        <v>8</v>
      </c>
      <c r="C241" s="48" t="s">
        <v>687</v>
      </c>
      <c r="M241" s="1825" t="s">
        <v>690</v>
      </c>
      <c r="N241" s="1825"/>
      <c r="O241" s="1825"/>
      <c r="P241" s="1825"/>
      <c r="Q241" s="1825"/>
      <c r="R241" s="1825"/>
      <c r="S241" s="1825"/>
      <c r="T241" s="1825"/>
      <c r="U241" s="8" t="s">
        <v>1236</v>
      </c>
      <c r="AA241" s="1916" t="s">
        <v>2356</v>
      </c>
      <c r="AB241" s="2023"/>
      <c r="AC241" s="2023"/>
      <c r="AD241" s="2023"/>
      <c r="AE241" s="2023"/>
      <c r="AF241" s="2023"/>
      <c r="AG241" s="2023"/>
      <c r="AH241" s="2023"/>
      <c r="AI241" s="2023"/>
      <c r="AJ241" s="2023"/>
      <c r="AK241" s="2023"/>
      <c r="AL241" s="72"/>
      <c r="AM241" s="8"/>
      <c r="AN241" s="72"/>
      <c r="AO241" s="72"/>
      <c r="BB241" s="16" t="s">
        <v>1093</v>
      </c>
      <c r="BC241" s="35"/>
      <c r="BD241" s="35"/>
      <c r="BE241" s="35"/>
      <c r="BF241" s="35"/>
      <c r="BG241" s="625">
        <f>IF(AND(AND($M$251="for profit",$M$259="(select one)",$M$267="(select one)")),3,0)</f>
        <v>0</v>
      </c>
    </row>
    <row r="242" spans="1:67" ht="13.2">
      <c r="D242" s="16" t="s">
        <v>693</v>
      </c>
      <c r="M242" s="1824"/>
      <c r="N242" s="1824"/>
      <c r="O242" s="1824"/>
      <c r="P242" s="1824"/>
      <c r="Q242" s="1824"/>
      <c r="R242" s="1824"/>
      <c r="S242" s="1824"/>
      <c r="T242" s="1824"/>
      <c r="U242" s="1824"/>
      <c r="V242" s="1824"/>
      <c r="W242" s="1824"/>
      <c r="X242" s="1824"/>
      <c r="Y242" s="1824"/>
      <c r="Z242" s="1824"/>
      <c r="AA242" s="1824"/>
      <c r="AB242" s="1824"/>
      <c r="AC242" s="1824"/>
      <c r="AD242" s="1824"/>
      <c r="AE242" s="1824"/>
      <c r="AF242" s="8"/>
      <c r="AG242" s="8"/>
      <c r="AH242" s="8"/>
      <c r="AI242" s="8"/>
      <c r="AJ242" s="8"/>
      <c r="AK242" s="72"/>
      <c r="AL242" s="72"/>
    </row>
    <row r="243" spans="1:67" ht="13.2">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3.2">
      <c r="A245" s="39"/>
      <c r="C245" s="147" t="s">
        <v>1599</v>
      </c>
      <c r="D245" s="71" t="s">
        <v>694</v>
      </c>
      <c r="E245" s="71"/>
      <c r="F245" s="71"/>
      <c r="G245" s="71"/>
      <c r="H245" s="71"/>
      <c r="I245" s="71"/>
      <c r="J245" s="71"/>
      <c r="K245" s="71"/>
      <c r="L245" s="8"/>
      <c r="M245" s="2040" t="s">
        <v>2414</v>
      </c>
      <c r="N245" s="2040"/>
      <c r="O245" s="2040"/>
      <c r="P245" s="2040"/>
      <c r="Q245" s="2040"/>
      <c r="R245" s="2040"/>
      <c r="S245" s="2040"/>
      <c r="T245" s="2040"/>
      <c r="U245" s="2040"/>
      <c r="V245" s="2040"/>
      <c r="W245" s="2040"/>
      <c r="X245" s="2040"/>
      <c r="Y245" s="2040"/>
      <c r="Z245" s="2040"/>
      <c r="AA245" s="2040"/>
      <c r="AB245" s="2040"/>
      <c r="AC245" s="2040"/>
      <c r="AD245" s="2040"/>
      <c r="AE245" s="2040"/>
      <c r="AF245" s="2138" t="s">
        <v>2358</v>
      </c>
      <c r="AG245" s="2138"/>
      <c r="AH245" s="2138"/>
      <c r="AI245" s="2138"/>
      <c r="AJ245" s="2138"/>
      <c r="AK245" s="2138"/>
      <c r="AM245" s="8"/>
      <c r="AN245" s="72"/>
      <c r="BB245" s="8" t="s">
        <v>973</v>
      </c>
      <c r="BH245" s="16">
        <v>2</v>
      </c>
      <c r="BI245" s="16" t="s">
        <v>807</v>
      </c>
      <c r="BO245" s="626" t="str">
        <f>VLOOKUP(AZ260,BH244:BI246,2,FALSE)</f>
        <v>Joint Venture</v>
      </c>
    </row>
    <row r="246" spans="1:67" ht="13.2">
      <c r="A246" s="39"/>
      <c r="B246" s="8"/>
      <c r="C246" s="8"/>
      <c r="D246" s="71" t="s">
        <v>413</v>
      </c>
      <c r="E246" s="71"/>
      <c r="F246" s="71"/>
      <c r="G246" s="71"/>
      <c r="H246" s="71"/>
      <c r="I246" s="71"/>
      <c r="J246" s="71"/>
      <c r="K246" s="71"/>
      <c r="L246" s="8"/>
      <c r="M246" s="1852" t="s">
        <v>2352</v>
      </c>
      <c r="N246" s="1852"/>
      <c r="O246" s="1852"/>
      <c r="P246" s="1852"/>
      <c r="Q246" s="1852"/>
      <c r="R246" s="1852"/>
      <c r="S246" s="1852"/>
      <c r="T246" s="1852"/>
      <c r="U246" s="1852"/>
      <c r="V246" s="1852"/>
      <c r="W246" s="1852"/>
      <c r="X246" s="1852"/>
      <c r="Y246" s="1852"/>
      <c r="Z246" s="1852"/>
      <c r="AA246" s="1852"/>
      <c r="AB246" s="1852"/>
      <c r="AC246" s="1852"/>
      <c r="AD246" s="1852"/>
      <c r="AE246" s="1852"/>
      <c r="AL246" s="8"/>
      <c r="AN246" s="72"/>
      <c r="BB246" s="8" t="s">
        <v>500</v>
      </c>
      <c r="BH246" s="16">
        <v>3</v>
      </c>
      <c r="BI246" s="16" t="s">
        <v>698</v>
      </c>
    </row>
    <row r="247" spans="1:67" ht="13.2">
      <c r="A247" s="39"/>
      <c r="B247" s="8"/>
      <c r="C247" s="8"/>
      <c r="D247" s="71" t="s">
        <v>476</v>
      </c>
      <c r="E247" s="71"/>
      <c r="M247" s="1852" t="s">
        <v>124</v>
      </c>
      <c r="N247" s="1852"/>
      <c r="O247" s="1852"/>
      <c r="P247" s="1852"/>
      <c r="Q247" s="1852"/>
      <c r="R247" s="1852"/>
      <c r="S247" s="1852"/>
      <c r="T247" s="1852"/>
      <c r="V247" s="73" t="s">
        <v>414</v>
      </c>
      <c r="W247" s="1833" t="s">
        <v>2353</v>
      </c>
      <c r="X247" s="1823"/>
      <c r="Y247" s="71" t="s">
        <v>479</v>
      </c>
      <c r="AC247" s="2041">
        <v>92128</v>
      </c>
      <c r="AD247" s="2041"/>
      <c r="AE247" s="2041"/>
      <c r="AN247" s="72"/>
    </row>
    <row r="248" spans="1:67" ht="13.2">
      <c r="A248" s="39"/>
      <c r="B248" s="8"/>
      <c r="C248" s="8"/>
      <c r="D248" s="74" t="s">
        <v>415</v>
      </c>
      <c r="E248" s="8"/>
      <c r="F248" s="8"/>
      <c r="G248" s="8"/>
      <c r="H248" s="8"/>
      <c r="I248" s="8"/>
      <c r="J248" s="8"/>
      <c r="K248" s="8"/>
      <c r="L248" s="39"/>
      <c r="M248" s="1852" t="s">
        <v>2509</v>
      </c>
      <c r="N248" s="2041"/>
      <c r="O248" s="2041"/>
      <c r="P248" s="2041"/>
      <c r="Q248" s="2041"/>
      <c r="R248" s="2041"/>
      <c r="S248" s="2041"/>
      <c r="T248" s="2041"/>
      <c r="U248" s="2041"/>
      <c r="V248" s="2041"/>
      <c r="W248" s="2041"/>
      <c r="X248" s="2041"/>
      <c r="Y248" s="2041"/>
      <c r="Z248" s="2041"/>
      <c r="AA248" s="2041"/>
      <c r="AB248" s="2041"/>
      <c r="AC248" s="2041"/>
      <c r="AD248" s="2041"/>
      <c r="AE248" s="2041"/>
      <c r="AJ248" s="8"/>
      <c r="AK248" s="8"/>
      <c r="AL248" s="8"/>
      <c r="AN248" s="72"/>
    </row>
    <row r="249" spans="1:67" ht="13.2">
      <c r="A249" s="39"/>
      <c r="B249" s="8"/>
      <c r="C249" s="8"/>
      <c r="D249" s="74" t="s">
        <v>416</v>
      </c>
      <c r="E249" s="8"/>
      <c r="F249" s="8"/>
      <c r="M249" s="1853">
        <v>8586792828</v>
      </c>
      <c r="N249" s="1853"/>
      <c r="O249" s="1853"/>
      <c r="P249" s="1853"/>
      <c r="Q249" s="1853"/>
      <c r="R249" s="1853"/>
      <c r="S249" s="8" t="s">
        <v>892</v>
      </c>
      <c r="T249" s="8"/>
      <c r="U249" s="1833" t="s">
        <v>2348</v>
      </c>
      <c r="V249" s="1823"/>
      <c r="W249" s="1823"/>
      <c r="X249" s="8" t="s">
        <v>417</v>
      </c>
      <c r="Z249" s="1827" t="s">
        <v>2348</v>
      </c>
      <c r="AA249" s="1853"/>
      <c r="AB249" s="1853"/>
      <c r="AC249" s="1853"/>
      <c r="AD249" s="1853"/>
      <c r="AE249" s="1853"/>
      <c r="AM249" s="8"/>
      <c r="AN249" s="72"/>
    </row>
    <row r="250" spans="1:67" ht="13.2">
      <c r="A250" s="39"/>
      <c r="B250" s="8"/>
      <c r="C250" s="8"/>
      <c r="D250" s="74" t="s">
        <v>418</v>
      </c>
      <c r="E250" s="8"/>
      <c r="F250" s="8"/>
      <c r="M250" s="2048" t="s">
        <v>2510</v>
      </c>
      <c r="N250" s="2048"/>
      <c r="O250" s="2048"/>
      <c r="P250" s="2048"/>
      <c r="Q250" s="2048"/>
      <c r="R250" s="2048"/>
      <c r="S250" s="2048"/>
      <c r="T250" s="2048"/>
      <c r="U250" s="2048"/>
      <c r="V250" s="2048"/>
      <c r="W250" s="2048"/>
      <c r="X250" s="2048"/>
      <c r="Y250" s="2048"/>
      <c r="Z250" s="2048"/>
      <c r="AA250" s="2048"/>
      <c r="AB250" s="2048"/>
      <c r="AC250" s="2048"/>
      <c r="AD250" s="2048"/>
      <c r="AE250" s="2048"/>
      <c r="AG250" s="8"/>
      <c r="AH250" s="8"/>
      <c r="AI250" s="8"/>
      <c r="AJ250" s="8"/>
      <c r="AK250" s="8"/>
      <c r="AL250" s="8"/>
    </row>
    <row r="251" spans="1:67" ht="13.2">
      <c r="A251" s="33"/>
      <c r="B251" s="8"/>
      <c r="C251" s="147"/>
      <c r="D251" s="74" t="s">
        <v>697</v>
      </c>
      <c r="E251" s="8"/>
      <c r="F251" s="8"/>
      <c r="G251" s="8"/>
      <c r="H251" s="8"/>
      <c r="I251" s="8"/>
      <c r="J251" s="8"/>
      <c r="K251" s="8"/>
      <c r="L251" s="8"/>
      <c r="M251" s="1825" t="s">
        <v>698</v>
      </c>
      <c r="N251" s="1825"/>
      <c r="O251" s="1825"/>
      <c r="P251" s="1825"/>
      <c r="Q251" s="1825"/>
      <c r="R251" s="1825"/>
      <c r="S251" s="1825"/>
      <c r="T251" s="1825"/>
      <c r="U251" s="8" t="s">
        <v>1236</v>
      </c>
      <c r="AA251" s="1916" t="s">
        <v>2356</v>
      </c>
      <c r="AB251" s="2023"/>
      <c r="AC251" s="2023"/>
      <c r="AD251" s="2023"/>
      <c r="AE251" s="2023"/>
      <c r="AF251" s="2023"/>
      <c r="AG251" s="2023"/>
      <c r="AH251" s="2023"/>
      <c r="AI251" s="2023"/>
      <c r="AJ251" s="2023"/>
      <c r="AK251" s="2023"/>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1600</v>
      </c>
      <c r="D253" s="71" t="s">
        <v>1311</v>
      </c>
      <c r="E253" s="71"/>
      <c r="F253" s="71"/>
      <c r="G253" s="71"/>
      <c r="H253" s="71"/>
      <c r="I253" s="71"/>
      <c r="J253" s="71"/>
      <c r="K253" s="71"/>
      <c r="L253" s="8"/>
      <c r="M253" s="2040" t="s">
        <v>2359</v>
      </c>
      <c r="N253" s="2040"/>
      <c r="O253" s="2040"/>
      <c r="P253" s="2040"/>
      <c r="Q253" s="2040"/>
      <c r="R253" s="2040"/>
      <c r="S253" s="2040"/>
      <c r="T253" s="2040"/>
      <c r="U253" s="2040"/>
      <c r="V253" s="2040"/>
      <c r="W253" s="2040"/>
      <c r="X253" s="2040"/>
      <c r="Y253" s="2040"/>
      <c r="Z253" s="2040"/>
      <c r="AA253" s="2040"/>
      <c r="AB253" s="2040"/>
      <c r="AC253" s="2040"/>
      <c r="AD253" s="2040"/>
      <c r="AE253" s="2040"/>
      <c r="AF253" s="2138" t="s">
        <v>2360</v>
      </c>
      <c r="AG253" s="2138"/>
      <c r="AH253" s="2138"/>
      <c r="AI253" s="2138"/>
      <c r="AJ253" s="2138"/>
      <c r="AK253" s="2138"/>
      <c r="AM253" s="8"/>
    </row>
    <row r="254" spans="1:67" ht="13.2">
      <c r="A254" s="39"/>
      <c r="B254" s="8"/>
      <c r="C254" s="8"/>
      <c r="D254" s="71" t="s">
        <v>413</v>
      </c>
      <c r="E254" s="71"/>
      <c r="F254" s="71"/>
      <c r="G254" s="71"/>
      <c r="H254" s="71"/>
      <c r="I254" s="71"/>
      <c r="J254" s="71"/>
      <c r="K254" s="71"/>
      <c r="L254" s="8"/>
      <c r="M254" s="1852" t="s">
        <v>2352</v>
      </c>
      <c r="N254" s="1852"/>
      <c r="O254" s="1852"/>
      <c r="P254" s="1852"/>
      <c r="Q254" s="1852"/>
      <c r="R254" s="1852"/>
      <c r="S254" s="1852"/>
      <c r="T254" s="1852"/>
      <c r="U254" s="1852"/>
      <c r="V254" s="1852"/>
      <c r="W254" s="1852"/>
      <c r="X254" s="1852"/>
      <c r="Y254" s="1852"/>
      <c r="Z254" s="1852"/>
      <c r="AA254" s="1852"/>
      <c r="AB254" s="1852"/>
      <c r="AC254" s="1852"/>
      <c r="AD254" s="1852"/>
      <c r="AE254" s="1852"/>
      <c r="AL254" s="8"/>
    </row>
    <row r="255" spans="1:67" ht="13.2">
      <c r="A255" s="39"/>
      <c r="B255" s="8"/>
      <c r="C255" s="8"/>
      <c r="D255" s="71" t="s">
        <v>476</v>
      </c>
      <c r="E255" s="71"/>
      <c r="M255" s="1852" t="s">
        <v>124</v>
      </c>
      <c r="N255" s="2041"/>
      <c r="O255" s="2041"/>
      <c r="P255" s="2041"/>
      <c r="Q255" s="2041"/>
      <c r="R255" s="2041"/>
      <c r="S255" s="2041"/>
      <c r="T255" s="2041"/>
      <c r="V255" s="73" t="s">
        <v>414</v>
      </c>
      <c r="W255" s="1833" t="s">
        <v>2353</v>
      </c>
      <c r="X255" s="1823"/>
      <c r="Y255" s="71" t="s">
        <v>479</v>
      </c>
      <c r="AC255" s="2041">
        <v>92128</v>
      </c>
      <c r="AD255" s="2041"/>
      <c r="AE255" s="2041"/>
    </row>
    <row r="256" spans="1:67" ht="13.2">
      <c r="A256" s="39"/>
      <c r="B256" s="8"/>
      <c r="C256" s="8"/>
      <c r="D256" s="74" t="s">
        <v>415</v>
      </c>
      <c r="E256" s="8"/>
      <c r="F256" s="8"/>
      <c r="G256" s="8"/>
      <c r="H256" s="8"/>
      <c r="I256" s="8"/>
      <c r="J256" s="8"/>
      <c r="K256" s="8"/>
      <c r="L256" s="39"/>
      <c r="M256" s="1852" t="s">
        <v>2361</v>
      </c>
      <c r="N256" s="2041"/>
      <c r="O256" s="2041"/>
      <c r="P256" s="2041"/>
      <c r="Q256" s="2041"/>
      <c r="R256" s="2041"/>
      <c r="S256" s="2041"/>
      <c r="T256" s="2041"/>
      <c r="U256" s="2041"/>
      <c r="V256" s="2041"/>
      <c r="W256" s="2041"/>
      <c r="X256" s="2041"/>
      <c r="Y256" s="2041"/>
      <c r="Z256" s="2041"/>
      <c r="AA256" s="2041"/>
      <c r="AB256" s="2041"/>
      <c r="AC256" s="2041"/>
      <c r="AD256" s="2041"/>
      <c r="AE256" s="2041"/>
      <c r="AJ256" s="8"/>
      <c r="AK256" s="8"/>
      <c r="AL256" s="8"/>
    </row>
    <row r="257" spans="1:53" ht="13.2">
      <c r="A257" s="39"/>
      <c r="B257" s="8"/>
      <c r="C257" s="8"/>
      <c r="D257" s="74" t="s">
        <v>416</v>
      </c>
      <c r="E257" s="8"/>
      <c r="F257" s="8"/>
      <c r="M257" s="1853">
        <v>8586792828</v>
      </c>
      <c r="N257" s="1853"/>
      <c r="O257" s="1853"/>
      <c r="P257" s="1853"/>
      <c r="Q257" s="1853"/>
      <c r="R257" s="1853"/>
      <c r="S257" s="8" t="s">
        <v>892</v>
      </c>
      <c r="T257" s="8"/>
      <c r="U257" s="1833" t="s">
        <v>2348</v>
      </c>
      <c r="V257" s="1823"/>
      <c r="W257" s="1823"/>
      <c r="X257" s="8" t="s">
        <v>417</v>
      </c>
      <c r="Z257" s="1827" t="s">
        <v>2348</v>
      </c>
      <c r="AA257" s="1853"/>
      <c r="AB257" s="1853"/>
      <c r="AC257" s="1853"/>
      <c r="AD257" s="1853"/>
      <c r="AE257" s="1853"/>
      <c r="BA257" s="75"/>
    </row>
    <row r="258" spans="1:53" ht="13.2">
      <c r="A258" s="39"/>
      <c r="B258" s="8"/>
      <c r="C258" s="8"/>
      <c r="D258" s="74" t="s">
        <v>418</v>
      </c>
      <c r="E258" s="8"/>
      <c r="F258" s="8"/>
      <c r="M258" s="2048" t="s">
        <v>2362</v>
      </c>
      <c r="N258" s="2048"/>
      <c r="O258" s="2048"/>
      <c r="P258" s="2048"/>
      <c r="Q258" s="2048"/>
      <c r="R258" s="2048"/>
      <c r="S258" s="2048"/>
      <c r="T258" s="2048"/>
      <c r="U258" s="2048"/>
      <c r="V258" s="2048"/>
      <c r="W258" s="2048"/>
      <c r="X258" s="2048"/>
      <c r="Y258" s="2048"/>
      <c r="Z258" s="2048"/>
      <c r="AA258" s="2048"/>
      <c r="AB258" s="2048"/>
      <c r="AC258" s="2048"/>
      <c r="AD258" s="2048"/>
      <c r="AE258" s="2048"/>
      <c r="AG258" s="8"/>
      <c r="AH258" s="8"/>
      <c r="AI258" s="8"/>
      <c r="AJ258" s="8"/>
      <c r="AK258" s="8"/>
      <c r="AL258" s="8"/>
      <c r="BA258" s="35"/>
    </row>
    <row r="259" spans="1:53" ht="13.2">
      <c r="A259" s="33"/>
      <c r="B259" s="8"/>
      <c r="C259" s="147"/>
      <c r="D259" s="74" t="s">
        <v>697</v>
      </c>
      <c r="E259" s="8"/>
      <c r="F259" s="8"/>
      <c r="G259" s="8"/>
      <c r="H259" s="8"/>
      <c r="I259" s="8"/>
      <c r="J259" s="8"/>
      <c r="K259" s="8"/>
      <c r="L259" s="8"/>
      <c r="M259" s="1825" t="s">
        <v>696</v>
      </c>
      <c r="N259" s="1825"/>
      <c r="O259" s="1825"/>
      <c r="P259" s="1825"/>
      <c r="Q259" s="1825"/>
      <c r="R259" s="1825"/>
      <c r="S259" s="1825"/>
      <c r="T259" s="1825"/>
      <c r="U259" s="8" t="s">
        <v>1236</v>
      </c>
      <c r="AA259" s="1916" t="s">
        <v>2363</v>
      </c>
      <c r="AB259" s="2023"/>
      <c r="AC259" s="2023"/>
      <c r="AD259" s="2023"/>
      <c r="AE259" s="2023"/>
      <c r="AF259" s="2023"/>
      <c r="AG259" s="2023"/>
      <c r="AH259" s="2023"/>
      <c r="AI259" s="2023"/>
      <c r="AJ259" s="2023"/>
      <c r="AK259" s="2023"/>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3.2">
      <c r="A261" s="33"/>
      <c r="B261" s="8"/>
      <c r="C261" s="147" t="s">
        <v>2083</v>
      </c>
      <c r="D261" s="71" t="s">
        <v>694</v>
      </c>
      <c r="E261" s="71"/>
      <c r="F261" s="71"/>
      <c r="G261" s="71"/>
      <c r="H261" s="71"/>
      <c r="I261" s="71"/>
      <c r="J261" s="71"/>
      <c r="K261" s="71"/>
      <c r="L261" s="8"/>
      <c r="M261" s="2138"/>
      <c r="N261" s="2138"/>
      <c r="O261" s="2138"/>
      <c r="P261" s="2138"/>
      <c r="Q261" s="2138"/>
      <c r="R261" s="2138"/>
      <c r="S261" s="2138"/>
      <c r="T261" s="2138"/>
      <c r="U261" s="2138"/>
      <c r="V261" s="2138"/>
      <c r="W261" s="2138"/>
      <c r="X261" s="2138"/>
      <c r="Y261" s="2138"/>
      <c r="Z261" s="2138"/>
      <c r="AA261" s="2138"/>
      <c r="AB261" s="2138"/>
      <c r="AC261" s="2138"/>
      <c r="AD261" s="2138"/>
      <c r="AE261" s="2138"/>
      <c r="AF261" s="2138" t="s">
        <v>86</v>
      </c>
      <c r="AG261" s="2138"/>
      <c r="AH261" s="2138"/>
      <c r="AI261" s="2138"/>
      <c r="AJ261" s="2138"/>
      <c r="AK261" s="2138"/>
      <c r="AL261" s="72"/>
      <c r="BA261" s="3"/>
    </row>
    <row r="262" spans="1:53" ht="13.2">
      <c r="A262" s="33"/>
      <c r="B262" s="8"/>
      <c r="C262" s="8"/>
      <c r="D262" s="71" t="s">
        <v>413</v>
      </c>
      <c r="E262" s="71"/>
      <c r="F262" s="71"/>
      <c r="G262" s="71"/>
      <c r="H262" s="71"/>
      <c r="I262" s="71"/>
      <c r="J262" s="71"/>
      <c r="K262" s="71"/>
      <c r="L262" s="8"/>
      <c r="M262" s="2041"/>
      <c r="N262" s="2041"/>
      <c r="O262" s="2041"/>
      <c r="P262" s="2041"/>
      <c r="Q262" s="2041"/>
      <c r="R262" s="2041"/>
      <c r="S262" s="2041"/>
      <c r="T262" s="2041"/>
      <c r="U262" s="2041"/>
      <c r="V262" s="2041"/>
      <c r="W262" s="2041"/>
      <c r="X262" s="2041"/>
      <c r="Y262" s="2041"/>
      <c r="Z262" s="2041"/>
      <c r="AA262" s="2041"/>
      <c r="AB262" s="2041"/>
      <c r="AC262" s="2041"/>
      <c r="AD262" s="2041"/>
      <c r="AE262" s="2041"/>
      <c r="AL262" s="72"/>
      <c r="BA262" s="629"/>
    </row>
    <row r="263" spans="1:53" ht="13.2">
      <c r="A263" s="33"/>
      <c r="B263" s="8"/>
      <c r="C263" s="8"/>
      <c r="D263" s="71" t="s">
        <v>476</v>
      </c>
      <c r="E263" s="71"/>
      <c r="M263" s="2041"/>
      <c r="N263" s="2041"/>
      <c r="O263" s="2041"/>
      <c r="P263" s="2041"/>
      <c r="Q263" s="2041"/>
      <c r="R263" s="2041"/>
      <c r="S263" s="2041"/>
      <c r="T263" s="2041"/>
      <c r="V263" s="73" t="s">
        <v>414</v>
      </c>
      <c r="W263" s="1823"/>
      <c r="X263" s="1823"/>
      <c r="Y263" s="71" t="s">
        <v>479</v>
      </c>
      <c r="AC263" s="2041"/>
      <c r="AD263" s="2041"/>
      <c r="AE263" s="2041"/>
      <c r="AL263" s="72"/>
      <c r="BA263" s="75"/>
    </row>
    <row r="264" spans="1:53" ht="13.2">
      <c r="A264" s="33"/>
      <c r="B264" s="8"/>
      <c r="C264" s="8"/>
      <c r="D264" s="74" t="s">
        <v>415</v>
      </c>
      <c r="E264" s="8"/>
      <c r="F264" s="8"/>
      <c r="G264" s="8"/>
      <c r="H264" s="8"/>
      <c r="I264" s="8"/>
      <c r="J264" s="8"/>
      <c r="K264" s="8"/>
      <c r="L264" s="39"/>
      <c r="M264" s="2041"/>
      <c r="N264" s="2041"/>
      <c r="O264" s="2041"/>
      <c r="P264" s="2041"/>
      <c r="Q264" s="2041"/>
      <c r="R264" s="2041"/>
      <c r="S264" s="2041"/>
      <c r="T264" s="2041"/>
      <c r="U264" s="2041"/>
      <c r="V264" s="2041"/>
      <c r="W264" s="2041"/>
      <c r="X264" s="2041"/>
      <c r="Y264" s="2041"/>
      <c r="Z264" s="2041"/>
      <c r="AA264" s="2041"/>
      <c r="AB264" s="2041"/>
      <c r="AC264" s="2041"/>
      <c r="AD264" s="2041"/>
      <c r="AE264" s="2041"/>
      <c r="AJ264" s="8"/>
      <c r="AK264" s="8"/>
      <c r="AL264" s="72"/>
      <c r="BA264" s="75"/>
    </row>
    <row r="265" spans="1:53" ht="13.2">
      <c r="A265" s="33"/>
      <c r="B265" s="8"/>
      <c r="C265" s="8"/>
      <c r="D265" s="74" t="s">
        <v>416</v>
      </c>
      <c r="E265" s="8"/>
      <c r="F265" s="8"/>
      <c r="M265" s="1853"/>
      <c r="N265" s="1853"/>
      <c r="O265" s="1853"/>
      <c r="P265" s="1853"/>
      <c r="Q265" s="1853"/>
      <c r="R265" s="1853"/>
      <c r="S265" s="8" t="s">
        <v>892</v>
      </c>
      <c r="T265" s="8"/>
      <c r="U265" s="1823"/>
      <c r="V265" s="1823"/>
      <c r="W265" s="1823"/>
      <c r="X265" s="8" t="s">
        <v>417</v>
      </c>
      <c r="Z265" s="1853"/>
      <c r="AA265" s="1853"/>
      <c r="AB265" s="1853"/>
      <c r="AC265" s="1853"/>
      <c r="AD265" s="1853"/>
      <c r="AE265" s="1853"/>
      <c r="AL265" s="72"/>
      <c r="BA265" s="75"/>
    </row>
    <row r="266" spans="1:53" ht="13.2">
      <c r="A266" s="33"/>
      <c r="B266" s="8"/>
      <c r="C266" s="8"/>
      <c r="D266" s="74" t="s">
        <v>418</v>
      </c>
      <c r="E266" s="8"/>
      <c r="F266" s="8"/>
      <c r="M266" s="2048"/>
      <c r="N266" s="2048"/>
      <c r="O266" s="2048"/>
      <c r="P266" s="2048"/>
      <c r="Q266" s="2048"/>
      <c r="R266" s="2048"/>
      <c r="S266" s="2048"/>
      <c r="T266" s="2048"/>
      <c r="U266" s="2048"/>
      <c r="V266" s="2048"/>
      <c r="W266" s="2048"/>
      <c r="X266" s="2048"/>
      <c r="Y266" s="2048"/>
      <c r="Z266" s="2048"/>
      <c r="AA266" s="2048"/>
      <c r="AB266" s="2048"/>
      <c r="AC266" s="2048"/>
      <c r="AD266" s="2048"/>
      <c r="AE266" s="2048"/>
      <c r="AG266" s="8"/>
      <c r="AH266" s="8"/>
      <c r="AI266" s="8"/>
      <c r="AJ266" s="8"/>
      <c r="AK266" s="8"/>
      <c r="AL266" s="72"/>
      <c r="BA266" s="75"/>
    </row>
    <row r="267" spans="1:53" ht="13.2">
      <c r="A267" s="33"/>
      <c r="B267" s="8"/>
      <c r="C267" s="147"/>
      <c r="D267" s="74" t="s">
        <v>697</v>
      </c>
      <c r="E267" s="8"/>
      <c r="F267" s="8"/>
      <c r="G267" s="8"/>
      <c r="H267" s="8"/>
      <c r="I267" s="8"/>
      <c r="J267" s="8"/>
      <c r="K267" s="8"/>
      <c r="L267" s="8"/>
      <c r="M267" s="1825" t="s">
        <v>86</v>
      </c>
      <c r="N267" s="1825"/>
      <c r="O267" s="1825"/>
      <c r="P267" s="1825"/>
      <c r="Q267" s="1825"/>
      <c r="R267" s="1825"/>
      <c r="S267" s="1825"/>
      <c r="T267" s="1825"/>
      <c r="U267" s="8" t="s">
        <v>1236</v>
      </c>
      <c r="AA267" s="2023"/>
      <c r="AB267" s="2023"/>
      <c r="AC267" s="2023"/>
      <c r="AD267" s="2023"/>
      <c r="AE267" s="2023"/>
      <c r="AF267" s="2023"/>
      <c r="AG267" s="2023"/>
      <c r="AH267" s="2023"/>
      <c r="AI267" s="2023"/>
      <c r="AJ267" s="2023"/>
      <c r="AK267" s="2023"/>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133</v>
      </c>
      <c r="B269" s="8"/>
      <c r="C269" s="63" t="s">
        <v>294</v>
      </c>
      <c r="D269" s="8"/>
      <c r="E269" s="8"/>
      <c r="F269" s="8"/>
      <c r="G269" s="8"/>
      <c r="H269" s="8"/>
      <c r="I269" s="8"/>
      <c r="J269" s="8"/>
      <c r="K269" s="8"/>
      <c r="L269" s="8"/>
      <c r="M269" s="274"/>
      <c r="N269" s="274"/>
      <c r="O269" s="274"/>
      <c r="P269" s="274"/>
      <c r="Q269" s="274"/>
      <c r="T269" s="2205" t="str">
        <f>BO245</f>
        <v>Joint Venture</v>
      </c>
      <c r="U269" s="2205"/>
      <c r="V269" s="2205"/>
      <c r="W269" s="2205"/>
      <c r="X269" s="2205"/>
      <c r="Z269" s="734" t="s">
        <v>1312</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35" t="s">
        <v>1309</v>
      </c>
      <c r="AA270" s="35"/>
      <c r="AB270" s="35"/>
      <c r="AC270" s="35"/>
      <c r="AD270" s="35"/>
      <c r="AE270" s="35"/>
      <c r="AF270" s="71"/>
      <c r="AG270" s="71"/>
      <c r="AH270" s="71"/>
      <c r="AI270" s="71"/>
      <c r="AJ270" s="71"/>
      <c r="AK270" s="35"/>
      <c r="AL270" s="115"/>
      <c r="BA270" s="75"/>
    </row>
    <row r="271" spans="1:53" ht="13.2">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1310</v>
      </c>
      <c r="AA271" s="94"/>
      <c r="AB271" s="94"/>
      <c r="AC271" s="94"/>
      <c r="AD271" s="305"/>
      <c r="AE271" s="305"/>
      <c r="AF271" s="305"/>
      <c r="AG271" s="305"/>
      <c r="AH271" s="305"/>
      <c r="AI271" s="305"/>
      <c r="AJ271" s="305"/>
      <c r="AK271" s="624"/>
      <c r="AL271" s="737"/>
    </row>
    <row r="272" spans="1:53" ht="13.2">
      <c r="A272" s="71"/>
      <c r="B272" s="77">
        <v>0</v>
      </c>
      <c r="D272" s="2041" t="s">
        <v>973</v>
      </c>
      <c r="E272" s="2041"/>
      <c r="F272" s="2041"/>
      <c r="G272" s="2041"/>
      <c r="H272" s="2041"/>
      <c r="J272" s="16" t="s">
        <v>972</v>
      </c>
      <c r="X272" s="2137"/>
      <c r="Y272" s="2137"/>
      <c r="Z272" s="2137"/>
      <c r="AA272" s="2137"/>
      <c r="AB272" s="2137"/>
      <c r="AC272" s="2137"/>
      <c r="BA272" s="75"/>
    </row>
    <row r="273" spans="1:53" ht="13.2">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5" customHeight="1">
      <c r="D276" s="71" t="s">
        <v>295</v>
      </c>
      <c r="E276" s="71"/>
      <c r="F276" s="71"/>
      <c r="G276" s="71"/>
      <c r="H276" s="71"/>
      <c r="I276" s="71"/>
      <c r="J276" s="71"/>
      <c r="K276" s="8"/>
      <c r="L276" s="2138" t="s">
        <v>2357</v>
      </c>
      <c r="M276" s="2138"/>
      <c r="N276" s="2138"/>
      <c r="O276" s="2138"/>
      <c r="P276" s="2138"/>
      <c r="Q276" s="2138"/>
      <c r="R276" s="2138"/>
      <c r="S276" s="2138"/>
      <c r="T276" s="2138"/>
      <c r="U276" s="2138"/>
      <c r="V276" s="2138"/>
      <c r="W276" s="2138"/>
      <c r="X276" s="2138"/>
      <c r="Y276" s="2138"/>
      <c r="Z276" s="2138"/>
      <c r="AA276" s="2138"/>
      <c r="AB276" s="2138"/>
      <c r="AC276" s="2138"/>
      <c r="AD276" s="2138"/>
      <c r="AE276" s="2138"/>
      <c r="AF276" s="2138"/>
      <c r="AG276" s="2138"/>
      <c r="AH276" s="2138"/>
      <c r="AI276" s="2138"/>
      <c r="AJ276" s="2138"/>
      <c r="AK276" s="72"/>
      <c r="AL276" s="72"/>
      <c r="BA276" s="75"/>
    </row>
    <row r="277" spans="1:53" ht="12.75" customHeight="1">
      <c r="D277" s="71" t="s">
        <v>413</v>
      </c>
      <c r="E277" s="71"/>
      <c r="F277" s="71"/>
      <c r="G277" s="71"/>
      <c r="H277" s="71"/>
      <c r="I277" s="71"/>
      <c r="J277" s="71"/>
      <c r="K277" s="8"/>
      <c r="L277" s="1852" t="s">
        <v>2352</v>
      </c>
      <c r="M277" s="1852"/>
      <c r="N277" s="1852"/>
      <c r="O277" s="1852"/>
      <c r="P277" s="1852"/>
      <c r="Q277" s="1852"/>
      <c r="R277" s="1852"/>
      <c r="S277" s="1852"/>
      <c r="T277" s="1852"/>
      <c r="U277" s="1852"/>
      <c r="V277" s="1852"/>
      <c r="W277" s="1852"/>
      <c r="X277" s="1852"/>
      <c r="Y277" s="1852"/>
      <c r="Z277" s="1852"/>
      <c r="AA277" s="1852"/>
      <c r="AB277" s="1852"/>
      <c r="AC277" s="1852"/>
      <c r="AD277" s="1852"/>
      <c r="AK277" s="72"/>
      <c r="AL277" s="72"/>
      <c r="BA277" s="75"/>
    </row>
    <row r="278" spans="1:53" ht="13.2">
      <c r="D278" s="71" t="s">
        <v>476</v>
      </c>
      <c r="E278" s="71"/>
      <c r="L278" s="1852" t="s">
        <v>124</v>
      </c>
      <c r="M278" s="2041"/>
      <c r="N278" s="2041"/>
      <c r="O278" s="2041"/>
      <c r="P278" s="2041"/>
      <c r="Q278" s="2041"/>
      <c r="R278" s="2041"/>
      <c r="S278" s="2041"/>
      <c r="U278" s="73" t="s">
        <v>414</v>
      </c>
      <c r="V278" s="1833" t="s">
        <v>2353</v>
      </c>
      <c r="W278" s="1823"/>
      <c r="X278" s="71" t="s">
        <v>479</v>
      </c>
      <c r="AB278" s="2041">
        <v>92128</v>
      </c>
      <c r="AC278" s="2041"/>
      <c r="AD278" s="2041"/>
      <c r="AK278" s="72"/>
      <c r="AL278" s="72"/>
      <c r="BA278" s="75"/>
    </row>
    <row r="279" spans="1:53" ht="13.2">
      <c r="D279" s="74" t="s">
        <v>415</v>
      </c>
      <c r="E279" s="8"/>
      <c r="F279" s="8"/>
      <c r="G279" s="8"/>
      <c r="H279" s="8"/>
      <c r="I279" s="8"/>
      <c r="J279" s="8"/>
      <c r="K279" s="39"/>
      <c r="L279" s="1852" t="s">
        <v>2509</v>
      </c>
      <c r="M279" s="2041"/>
      <c r="N279" s="2041"/>
      <c r="O279" s="2041"/>
      <c r="P279" s="2041"/>
      <c r="Q279" s="2041"/>
      <c r="R279" s="2041"/>
      <c r="S279" s="2041"/>
      <c r="T279" s="2041"/>
      <c r="U279" s="2041"/>
      <c r="V279" s="2041"/>
      <c r="W279" s="2041"/>
      <c r="X279" s="2041"/>
      <c r="Y279" s="2041"/>
      <c r="Z279" s="2041"/>
      <c r="AA279" s="2041"/>
      <c r="AB279" s="2041"/>
      <c r="AC279" s="2041"/>
      <c r="AD279" s="2041"/>
      <c r="AI279" s="8"/>
      <c r="AJ279" s="8"/>
      <c r="AK279" s="72"/>
      <c r="AL279" s="72"/>
      <c r="BA279" s="75"/>
    </row>
    <row r="280" spans="1:53" ht="13.2">
      <c r="D280" s="74" t="s">
        <v>416</v>
      </c>
      <c r="E280" s="8"/>
      <c r="F280" s="8"/>
      <c r="L280" s="1853">
        <v>8586792828</v>
      </c>
      <c r="M280" s="1853"/>
      <c r="N280" s="1853"/>
      <c r="O280" s="1853"/>
      <c r="P280" s="1853"/>
      <c r="Q280" s="1853"/>
      <c r="R280" s="8" t="s">
        <v>892</v>
      </c>
      <c r="S280" s="8"/>
      <c r="T280" s="1833" t="s">
        <v>2348</v>
      </c>
      <c r="U280" s="1823"/>
      <c r="V280" s="1823"/>
      <c r="W280" s="8" t="s">
        <v>417</v>
      </c>
      <c r="Y280" s="1827" t="s">
        <v>2348</v>
      </c>
      <c r="Z280" s="1853"/>
      <c r="AA280" s="1853"/>
      <c r="AB280" s="1853"/>
      <c r="AC280" s="1853"/>
      <c r="AD280" s="1853"/>
      <c r="BA280" s="75"/>
    </row>
    <row r="281" spans="1:53" ht="13.2">
      <c r="D281" s="74" t="s">
        <v>418</v>
      </c>
      <c r="E281" s="8"/>
      <c r="F281" s="8"/>
      <c r="L281" s="2048" t="s">
        <v>2510</v>
      </c>
      <c r="M281" s="2048"/>
      <c r="N281" s="2048"/>
      <c r="O281" s="2048"/>
      <c r="P281" s="2048"/>
      <c r="Q281" s="2048"/>
      <c r="R281" s="2048"/>
      <c r="S281" s="2048"/>
      <c r="T281" s="2048"/>
      <c r="U281" s="2048"/>
      <c r="V281" s="2048"/>
      <c r="W281" s="2048"/>
      <c r="X281" s="2048"/>
      <c r="Y281" s="2048"/>
      <c r="Z281" s="2048"/>
      <c r="AA281" s="2048"/>
      <c r="AB281" s="2048"/>
      <c r="AC281" s="2048"/>
      <c r="AD281" s="2048"/>
      <c r="AF281" s="8"/>
      <c r="AG281" s="8"/>
      <c r="AH281" s="8"/>
      <c r="AI281" s="8"/>
      <c r="AJ281" s="8"/>
      <c r="BA281" s="75"/>
    </row>
    <row r="282" spans="1:53" ht="13.2">
      <c r="D282" s="72" t="s">
        <v>202</v>
      </c>
      <c r="E282" s="72"/>
      <c r="F282" s="72"/>
      <c r="G282" s="72"/>
      <c r="H282" s="72"/>
      <c r="I282" s="72"/>
      <c r="L282" s="1833" t="s">
        <v>2364</v>
      </c>
      <c r="M282" s="1833"/>
      <c r="N282" s="1833"/>
      <c r="O282" s="1833"/>
      <c r="P282" s="1833"/>
      <c r="Q282" s="1833"/>
      <c r="R282" s="1833"/>
      <c r="S282" s="1833"/>
      <c r="T282" s="1833"/>
      <c r="U282" s="1833"/>
      <c r="V282" s="1833"/>
      <c r="W282" s="1833"/>
      <c r="X282" s="1833"/>
      <c r="Y282" s="1833"/>
      <c r="Z282" s="1833"/>
      <c r="AA282" s="1833"/>
      <c r="AB282" s="1833"/>
      <c r="AC282" s="1833"/>
      <c r="AD282" s="1833"/>
      <c r="AK282" s="72"/>
      <c r="AL282" s="72"/>
      <c r="BA282" s="75"/>
    </row>
    <row r="283" spans="1:53" ht="13.2">
      <c r="L283" s="46" t="s">
        <v>203</v>
      </c>
      <c r="BA283" s="75"/>
    </row>
    <row r="284" spans="1:53" ht="13.2">
      <c r="A284" s="2052" t="s">
        <v>542</v>
      </c>
      <c r="B284" s="2052"/>
      <c r="C284" s="2052"/>
      <c r="D284" s="2052"/>
      <c r="E284" s="2052"/>
      <c r="F284" s="2052"/>
      <c r="G284" s="2052"/>
      <c r="H284" s="2052"/>
      <c r="I284" s="2052"/>
      <c r="J284" s="2052"/>
      <c r="K284" s="2052"/>
      <c r="L284" s="2052"/>
      <c r="M284" s="2052"/>
      <c r="N284" s="2052"/>
      <c r="O284" s="2052"/>
      <c r="P284" s="2052"/>
      <c r="Q284" s="2052"/>
      <c r="R284" s="2052"/>
      <c r="S284" s="2052"/>
      <c r="T284" s="2052"/>
      <c r="U284" s="2052"/>
      <c r="V284" s="2052"/>
      <c r="W284" s="2052"/>
      <c r="X284" s="2052"/>
      <c r="Y284" s="2052"/>
      <c r="Z284" s="2052"/>
      <c r="AA284" s="2052"/>
      <c r="AB284" s="2052"/>
      <c r="AC284" s="2052"/>
      <c r="AD284" s="2052"/>
      <c r="AE284" s="2052"/>
      <c r="AF284" s="2052"/>
      <c r="AG284" s="2052"/>
      <c r="AH284" s="2052"/>
      <c r="AI284" s="2052"/>
      <c r="AJ284" s="2052"/>
      <c r="AK284" s="2052"/>
      <c r="AL284" s="2052"/>
      <c r="BA284" s="75"/>
    </row>
    <row r="285" spans="1:53" ht="13.8" thickBot="1">
      <c r="A285" s="2053"/>
      <c r="B285" s="2053"/>
      <c r="C285" s="2053"/>
      <c r="D285" s="2053"/>
      <c r="E285" s="2053"/>
      <c r="F285" s="2053"/>
      <c r="G285" s="2053"/>
      <c r="H285" s="2053"/>
      <c r="I285" s="2053"/>
      <c r="J285" s="2053"/>
      <c r="K285" s="2053"/>
      <c r="L285" s="2053"/>
      <c r="M285" s="2053"/>
      <c r="N285" s="2053"/>
      <c r="O285" s="2053"/>
      <c r="P285" s="2053"/>
      <c r="Q285" s="2053"/>
      <c r="R285" s="2053"/>
      <c r="S285" s="2053"/>
      <c r="T285" s="2053"/>
      <c r="U285" s="2053"/>
      <c r="V285" s="2053"/>
      <c r="W285" s="2053"/>
      <c r="X285" s="2053"/>
      <c r="Y285" s="2053"/>
      <c r="Z285" s="2053"/>
      <c r="AA285" s="2053"/>
      <c r="AB285" s="2053"/>
      <c r="AC285" s="2053"/>
      <c r="AD285" s="2053"/>
      <c r="AE285" s="2053"/>
      <c r="AF285" s="2053"/>
      <c r="AG285" s="2053"/>
      <c r="AH285" s="2053"/>
      <c r="AI285" s="2053"/>
      <c r="AJ285" s="2053"/>
      <c r="AK285" s="2053"/>
      <c r="AL285" s="2053"/>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52" t="s">
        <v>2357</v>
      </c>
      <c r="I289" s="1824"/>
      <c r="J289" s="1824"/>
      <c r="K289" s="1824"/>
      <c r="L289" s="1824"/>
      <c r="M289" s="1824"/>
      <c r="N289" s="1824"/>
      <c r="O289" s="1824"/>
      <c r="P289" s="1824"/>
      <c r="Q289" s="1824"/>
      <c r="R289" s="1824"/>
      <c r="T289" s="72" t="s">
        <v>808</v>
      </c>
      <c r="V289" s="72"/>
      <c r="W289" s="72"/>
      <c r="X289" s="72"/>
      <c r="Y289" s="72"/>
      <c r="AA289" s="1824" t="s">
        <v>2373</v>
      </c>
      <c r="AB289" s="1824"/>
      <c r="AC289" s="1824"/>
      <c r="AD289" s="1824"/>
      <c r="AE289" s="1824"/>
      <c r="AF289" s="1824"/>
      <c r="AG289" s="1824"/>
      <c r="AH289" s="1824"/>
      <c r="AI289" s="1824"/>
      <c r="AJ289" s="1824"/>
      <c r="AK289" s="1824"/>
      <c r="BA289" s="75"/>
    </row>
    <row r="290" spans="2:53" ht="13.2">
      <c r="B290" s="72" t="s">
        <v>761</v>
      </c>
      <c r="C290" s="72"/>
      <c r="D290" s="72"/>
      <c r="E290" s="72"/>
      <c r="F290" s="72"/>
      <c r="H290" s="1833" t="s">
        <v>2365</v>
      </c>
      <c r="I290" s="1825"/>
      <c r="J290" s="1825"/>
      <c r="K290" s="1825"/>
      <c r="L290" s="1825"/>
      <c r="M290" s="1825"/>
      <c r="N290" s="1825"/>
      <c r="O290" s="1825"/>
      <c r="P290" s="1825"/>
      <c r="Q290" s="1825"/>
      <c r="R290" s="1825"/>
      <c r="T290" s="72" t="s">
        <v>761</v>
      </c>
      <c r="V290" s="72"/>
      <c r="W290" s="72"/>
      <c r="X290" s="72"/>
      <c r="Y290" s="72"/>
      <c r="AA290" s="1825" t="s">
        <v>2374</v>
      </c>
      <c r="AB290" s="1825"/>
      <c r="AC290" s="1825"/>
      <c r="AD290" s="1825"/>
      <c r="AE290" s="1825"/>
      <c r="AF290" s="1825"/>
      <c r="AG290" s="1825"/>
      <c r="AH290" s="1825"/>
      <c r="AI290" s="1825"/>
      <c r="AJ290" s="1825"/>
      <c r="AK290" s="1825"/>
      <c r="BA290" s="75"/>
    </row>
    <row r="291" spans="2:53" ht="13.2">
      <c r="B291" s="72" t="s">
        <v>763</v>
      </c>
      <c r="C291" s="72"/>
      <c r="D291" s="72"/>
      <c r="E291" s="72"/>
      <c r="F291" s="72"/>
      <c r="H291" s="1833" t="s">
        <v>2366</v>
      </c>
      <c r="I291" s="1825"/>
      <c r="J291" s="1825"/>
      <c r="K291" s="1825"/>
      <c r="L291" s="1825"/>
      <c r="M291" s="1825"/>
      <c r="N291" s="1825"/>
      <c r="O291" s="1825"/>
      <c r="P291" s="1825"/>
      <c r="Q291" s="1825"/>
      <c r="R291" s="1825"/>
      <c r="T291" s="72" t="s">
        <v>762</v>
      </c>
      <c r="V291" s="72"/>
      <c r="W291" s="72"/>
      <c r="X291" s="72"/>
      <c r="Y291" s="72"/>
      <c r="AA291" s="1825" t="s">
        <v>2375</v>
      </c>
      <c r="AB291" s="1825"/>
      <c r="AC291" s="1825"/>
      <c r="AD291" s="1825"/>
      <c r="AE291" s="1825"/>
      <c r="AF291" s="1825"/>
      <c r="AG291" s="1825"/>
      <c r="AH291" s="1825"/>
      <c r="AI291" s="1825"/>
      <c r="AJ291" s="1825"/>
      <c r="AK291" s="1825"/>
      <c r="BA291" s="75"/>
    </row>
    <row r="292" spans="2:53" ht="13.2">
      <c r="B292" s="72" t="s">
        <v>415</v>
      </c>
      <c r="C292" s="72"/>
      <c r="D292" s="72"/>
      <c r="E292" s="72"/>
      <c r="F292" s="72"/>
      <c r="H292" s="1833" t="s">
        <v>2354</v>
      </c>
      <c r="I292" s="1825"/>
      <c r="J292" s="1825"/>
      <c r="K292" s="1825"/>
      <c r="L292" s="1825"/>
      <c r="M292" s="1825"/>
      <c r="N292" s="1825"/>
      <c r="O292" s="1825"/>
      <c r="P292" s="1825"/>
      <c r="Q292" s="1825"/>
      <c r="R292" s="1825"/>
      <c r="T292" s="72" t="s">
        <v>415</v>
      </c>
      <c r="V292" s="72"/>
      <c r="W292" s="72"/>
      <c r="X292" s="72"/>
      <c r="Y292" s="72"/>
      <c r="AA292" s="1825" t="s">
        <v>2376</v>
      </c>
      <c r="AB292" s="1825"/>
      <c r="AC292" s="1825"/>
      <c r="AD292" s="1825"/>
      <c r="AE292" s="1825"/>
      <c r="AF292" s="1825"/>
      <c r="AG292" s="1825"/>
      <c r="AH292" s="1825"/>
      <c r="AI292" s="1825"/>
      <c r="AJ292" s="1825"/>
      <c r="AK292" s="1825"/>
      <c r="BA292" s="75"/>
    </row>
    <row r="293" spans="2:53" ht="12.75" customHeight="1">
      <c r="B293" s="72" t="s">
        <v>416</v>
      </c>
      <c r="C293" s="72"/>
      <c r="D293" s="72"/>
      <c r="E293" s="72"/>
      <c r="F293" s="72"/>
      <c r="G293" s="72"/>
      <c r="H293" s="2023">
        <v>8586792828</v>
      </c>
      <c r="I293" s="2023"/>
      <c r="J293" s="2023"/>
      <c r="K293" s="2023"/>
      <c r="L293" s="2023"/>
      <c r="M293" s="2023"/>
      <c r="N293" s="8" t="s">
        <v>892</v>
      </c>
      <c r="O293" s="8"/>
      <c r="P293" s="1852" t="s">
        <v>2348</v>
      </c>
      <c r="Q293" s="2041"/>
      <c r="R293" s="2041"/>
      <c r="S293" s="72"/>
      <c r="T293" s="72" t="s">
        <v>416</v>
      </c>
      <c r="V293" s="72"/>
      <c r="W293" s="72"/>
      <c r="X293" s="72"/>
      <c r="Y293" s="72"/>
      <c r="AA293" s="1916">
        <v>8583500589</v>
      </c>
      <c r="AB293" s="1916"/>
      <c r="AC293" s="1916"/>
      <c r="AD293" s="1916"/>
      <c r="AE293" s="1916"/>
      <c r="AF293" s="1916"/>
      <c r="AG293" s="8" t="s">
        <v>892</v>
      </c>
      <c r="AH293" s="8"/>
      <c r="AI293" s="1852" t="s">
        <v>2348</v>
      </c>
      <c r="AJ293" s="2041"/>
      <c r="AK293" s="2041"/>
      <c r="BA293" s="75"/>
    </row>
    <row r="294" spans="2:53" ht="13.2">
      <c r="B294" s="72" t="s">
        <v>417</v>
      </c>
      <c r="C294" s="72"/>
      <c r="D294" s="72"/>
      <c r="E294" s="72"/>
      <c r="F294" s="72"/>
      <c r="G294" s="72"/>
      <c r="H294" s="1827" t="s">
        <v>2348</v>
      </c>
      <c r="I294" s="1853"/>
      <c r="J294" s="1853"/>
      <c r="K294" s="1853"/>
      <c r="L294" s="1853"/>
      <c r="M294" s="1853"/>
      <c r="N294" s="74"/>
      <c r="O294" s="74"/>
      <c r="P294" s="76"/>
      <c r="Q294" s="76"/>
      <c r="R294" s="76"/>
      <c r="S294" s="72"/>
      <c r="T294" s="72" t="s">
        <v>417</v>
      </c>
      <c r="V294" s="72"/>
      <c r="W294" s="72"/>
      <c r="X294" s="72"/>
      <c r="Y294" s="72"/>
      <c r="AA294" s="1827" t="s">
        <v>2348</v>
      </c>
      <c r="AB294" s="1827"/>
      <c r="AC294" s="1827"/>
      <c r="AD294" s="1827"/>
      <c r="AE294" s="1827"/>
      <c r="AF294" s="1827"/>
      <c r="AG294" s="74"/>
      <c r="AH294" s="74"/>
      <c r="AI294" s="76"/>
      <c r="AJ294" s="76"/>
      <c r="AK294" s="76"/>
      <c r="BA294" s="75"/>
    </row>
    <row r="295" spans="2:53" ht="13.2">
      <c r="B295" s="72" t="s">
        <v>764</v>
      </c>
      <c r="C295" s="72"/>
      <c r="D295" s="72"/>
      <c r="E295" s="72"/>
      <c r="F295" s="72"/>
      <c r="G295" s="72"/>
      <c r="H295" s="1833" t="s">
        <v>2355</v>
      </c>
      <c r="I295" s="1825"/>
      <c r="J295" s="1825"/>
      <c r="K295" s="1825"/>
      <c r="L295" s="1825"/>
      <c r="M295" s="1825"/>
      <c r="N295" s="1824"/>
      <c r="O295" s="1824"/>
      <c r="P295" s="1824"/>
      <c r="Q295" s="1824"/>
      <c r="R295" s="1824"/>
      <c r="S295" s="72"/>
      <c r="T295" s="72" t="s">
        <v>764</v>
      </c>
      <c r="V295" s="72"/>
      <c r="W295" s="72"/>
      <c r="X295" s="72"/>
      <c r="Y295" s="72"/>
      <c r="AA295" s="1825" t="s">
        <v>2377</v>
      </c>
      <c r="AB295" s="1825"/>
      <c r="AC295" s="1825"/>
      <c r="AD295" s="1825"/>
      <c r="AE295" s="1825"/>
      <c r="AF295" s="1825"/>
      <c r="AG295" s="1824"/>
      <c r="AH295" s="1824"/>
      <c r="AI295" s="1824"/>
      <c r="AJ295" s="1824"/>
      <c r="AK295" s="1824"/>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485</v>
      </c>
      <c r="C297" s="72"/>
      <c r="D297" s="72"/>
      <c r="E297" s="72"/>
      <c r="F297" s="72"/>
      <c r="H297" s="1852" t="s">
        <v>2367</v>
      </c>
      <c r="I297" s="1824"/>
      <c r="J297" s="1824"/>
      <c r="K297" s="1824"/>
      <c r="L297" s="1824"/>
      <c r="M297" s="1824"/>
      <c r="N297" s="1824"/>
      <c r="O297" s="1824"/>
      <c r="P297" s="1824"/>
      <c r="Q297" s="1824"/>
      <c r="R297" s="1824"/>
      <c r="T297" s="72" t="s">
        <v>40</v>
      </c>
      <c r="V297" s="72"/>
      <c r="W297" s="72"/>
      <c r="X297" s="72"/>
      <c r="Y297" s="72"/>
      <c r="AA297" s="1852" t="s">
        <v>2378</v>
      </c>
      <c r="AB297" s="1824"/>
      <c r="AC297" s="1824"/>
      <c r="AD297" s="1824"/>
      <c r="AE297" s="1824"/>
      <c r="AF297" s="1824"/>
      <c r="AG297" s="1824"/>
      <c r="AH297" s="1824"/>
      <c r="AI297" s="1824"/>
      <c r="AJ297" s="1824"/>
      <c r="AK297" s="1824"/>
      <c r="BA297" s="75"/>
    </row>
    <row r="298" spans="2:53" ht="13.2">
      <c r="B298" s="72" t="s">
        <v>761</v>
      </c>
      <c r="C298" s="72"/>
      <c r="D298" s="72"/>
      <c r="E298" s="72"/>
      <c r="F298" s="72"/>
      <c r="H298" s="1833" t="s">
        <v>2368</v>
      </c>
      <c r="I298" s="1825"/>
      <c r="J298" s="1825"/>
      <c r="K298" s="1825"/>
      <c r="L298" s="1825"/>
      <c r="M298" s="1825"/>
      <c r="N298" s="1825"/>
      <c r="O298" s="1825"/>
      <c r="P298" s="1825"/>
      <c r="Q298" s="1825"/>
      <c r="R298" s="1825"/>
      <c r="T298" s="72" t="s">
        <v>761</v>
      </c>
      <c r="V298" s="72"/>
      <c r="W298" s="72"/>
      <c r="X298" s="72"/>
      <c r="Y298" s="72"/>
      <c r="AA298" s="1825"/>
      <c r="AB298" s="1825"/>
      <c r="AC298" s="1825"/>
      <c r="AD298" s="1825"/>
      <c r="AE298" s="1825"/>
      <c r="AF298" s="1825"/>
      <c r="AG298" s="1825"/>
      <c r="AH298" s="1825"/>
      <c r="AI298" s="1825"/>
      <c r="AJ298" s="1825"/>
      <c r="AK298" s="1825"/>
      <c r="BA298" s="75"/>
    </row>
    <row r="299" spans="2:53" ht="13.2">
      <c r="B299" s="72" t="s">
        <v>763</v>
      </c>
      <c r="C299" s="72"/>
      <c r="D299" s="72"/>
      <c r="E299" s="72"/>
      <c r="F299" s="72"/>
      <c r="H299" s="1825" t="s">
        <v>2369</v>
      </c>
      <c r="I299" s="1825"/>
      <c r="J299" s="1825"/>
      <c r="K299" s="1825"/>
      <c r="L299" s="1825"/>
      <c r="M299" s="1825"/>
      <c r="N299" s="1825"/>
      <c r="O299" s="1825"/>
      <c r="P299" s="1825"/>
      <c r="Q299" s="1825"/>
      <c r="R299" s="1825"/>
      <c r="T299" s="72" t="s">
        <v>762</v>
      </c>
      <c r="V299" s="72"/>
      <c r="W299" s="72"/>
      <c r="X299" s="72"/>
      <c r="Y299" s="72"/>
      <c r="AA299" s="1825"/>
      <c r="AB299" s="1825"/>
      <c r="AC299" s="1825"/>
      <c r="AD299" s="1825"/>
      <c r="AE299" s="1825"/>
      <c r="AF299" s="1825"/>
      <c r="AG299" s="1825"/>
      <c r="AH299" s="1825"/>
      <c r="AI299" s="1825"/>
      <c r="AJ299" s="1825"/>
      <c r="AK299" s="1825"/>
      <c r="BA299" s="75"/>
    </row>
    <row r="300" spans="2:53" ht="13.2">
      <c r="B300" s="72" t="s">
        <v>415</v>
      </c>
      <c r="C300" s="72"/>
      <c r="D300" s="72"/>
      <c r="E300" s="72"/>
      <c r="F300" s="72"/>
      <c r="H300" s="1825" t="s">
        <v>2370</v>
      </c>
      <c r="I300" s="1825"/>
      <c r="J300" s="1825"/>
      <c r="K300" s="1825"/>
      <c r="L300" s="1825"/>
      <c r="M300" s="1825"/>
      <c r="N300" s="1825"/>
      <c r="O300" s="1825"/>
      <c r="P300" s="1825"/>
      <c r="Q300" s="1825"/>
      <c r="R300" s="1825"/>
      <c r="T300" s="72" t="s">
        <v>415</v>
      </c>
      <c r="V300" s="72"/>
      <c r="W300" s="72"/>
      <c r="X300" s="72"/>
      <c r="Y300" s="72"/>
      <c r="AA300" s="1825"/>
      <c r="AB300" s="1825"/>
      <c r="AC300" s="1825"/>
      <c r="AD300" s="1825"/>
      <c r="AE300" s="1825"/>
      <c r="AF300" s="1825"/>
      <c r="AG300" s="1825"/>
      <c r="AH300" s="1825"/>
      <c r="AI300" s="1825"/>
      <c r="AJ300" s="1825"/>
      <c r="AK300" s="1825"/>
      <c r="BA300" s="75"/>
    </row>
    <row r="301" spans="2:53" ht="12.75" customHeight="1">
      <c r="B301" s="72" t="s">
        <v>416</v>
      </c>
      <c r="C301" s="72"/>
      <c r="D301" s="72"/>
      <c r="E301" s="72"/>
      <c r="F301" s="72"/>
      <c r="G301" s="72"/>
      <c r="H301" s="1916" t="s">
        <v>2371</v>
      </c>
      <c r="I301" s="1916"/>
      <c r="J301" s="1916"/>
      <c r="K301" s="1916"/>
      <c r="L301" s="1916"/>
      <c r="M301" s="1916"/>
      <c r="N301" s="8" t="s">
        <v>892</v>
      </c>
      <c r="O301" s="8"/>
      <c r="P301" s="1852" t="s">
        <v>2348</v>
      </c>
      <c r="Q301" s="2041"/>
      <c r="R301" s="2041"/>
      <c r="S301" s="72"/>
      <c r="T301" s="72" t="s">
        <v>416</v>
      </c>
      <c r="V301" s="72"/>
      <c r="W301" s="72"/>
      <c r="X301" s="72"/>
      <c r="Y301" s="72"/>
      <c r="AA301" s="2023"/>
      <c r="AB301" s="2023"/>
      <c r="AC301" s="2023"/>
      <c r="AD301" s="2023"/>
      <c r="AE301" s="2023"/>
      <c r="AF301" s="2023"/>
      <c r="AG301" s="8" t="s">
        <v>892</v>
      </c>
      <c r="AH301" s="8"/>
      <c r="AI301" s="2041"/>
      <c r="AJ301" s="2041"/>
      <c r="AK301" s="2041"/>
      <c r="BA301" s="75"/>
    </row>
    <row r="302" spans="2:53" ht="13.2">
      <c r="B302" s="72" t="s">
        <v>417</v>
      </c>
      <c r="C302" s="72"/>
      <c r="D302" s="72"/>
      <c r="E302" s="72"/>
      <c r="F302" s="72"/>
      <c r="G302" s="72"/>
      <c r="H302" s="1827" t="s">
        <v>2348</v>
      </c>
      <c r="I302" s="1853"/>
      <c r="J302" s="1853"/>
      <c r="K302" s="1853"/>
      <c r="L302" s="1853"/>
      <c r="M302" s="1853"/>
      <c r="N302" s="74"/>
      <c r="O302" s="74"/>
      <c r="P302" s="76"/>
      <c r="Q302" s="76"/>
      <c r="R302" s="76"/>
      <c r="S302" s="72"/>
      <c r="T302" s="72" t="s">
        <v>417</v>
      </c>
      <c r="V302" s="72"/>
      <c r="W302" s="72"/>
      <c r="X302" s="72"/>
      <c r="Y302" s="72"/>
      <c r="AA302" s="1853"/>
      <c r="AB302" s="1853"/>
      <c r="AC302" s="1853"/>
      <c r="AD302" s="1853"/>
      <c r="AE302" s="1853"/>
      <c r="AF302" s="1853"/>
      <c r="AG302" s="74"/>
      <c r="AH302" s="74"/>
      <c r="AI302" s="76"/>
      <c r="AJ302" s="76"/>
      <c r="AK302" s="76"/>
      <c r="BA302" s="75"/>
    </row>
    <row r="303" spans="2:53" ht="13.2">
      <c r="B303" s="72" t="s">
        <v>764</v>
      </c>
      <c r="C303" s="72"/>
      <c r="D303" s="72"/>
      <c r="E303" s="72"/>
      <c r="F303" s="72"/>
      <c r="G303" s="72"/>
      <c r="H303" s="1825" t="s">
        <v>2372</v>
      </c>
      <c r="I303" s="1825"/>
      <c r="J303" s="1825"/>
      <c r="K303" s="1825"/>
      <c r="L303" s="1825"/>
      <c r="M303" s="1825"/>
      <c r="N303" s="1824"/>
      <c r="O303" s="1824"/>
      <c r="P303" s="1824"/>
      <c r="Q303" s="1824"/>
      <c r="R303" s="1824"/>
      <c r="S303" s="72"/>
      <c r="T303" s="72" t="s">
        <v>764</v>
      </c>
      <c r="V303" s="72"/>
      <c r="W303" s="72"/>
      <c r="X303" s="72"/>
      <c r="Y303" s="72"/>
      <c r="AA303" s="1825"/>
      <c r="AB303" s="1825"/>
      <c r="AC303" s="1825"/>
      <c r="AD303" s="1825"/>
      <c r="AE303" s="1825"/>
      <c r="AF303" s="1825"/>
      <c r="AG303" s="1824"/>
      <c r="AH303" s="1824"/>
      <c r="AI303" s="1824"/>
      <c r="AJ303" s="1824"/>
      <c r="AK303" s="1824"/>
      <c r="BA303" s="75"/>
    </row>
    <row r="304" spans="2:53" ht="13.2">
      <c r="BA304" s="75"/>
    </row>
    <row r="305" spans="1:53" ht="12.75" customHeight="1">
      <c r="B305" s="72" t="s">
        <v>765</v>
      </c>
      <c r="C305" s="72"/>
      <c r="D305" s="72"/>
      <c r="E305" s="72"/>
      <c r="F305" s="72"/>
      <c r="H305" s="1852" t="s">
        <v>2471</v>
      </c>
      <c r="I305" s="1824"/>
      <c r="J305" s="1824"/>
      <c r="K305" s="1824"/>
      <c r="L305" s="1824"/>
      <c r="M305" s="1824"/>
      <c r="N305" s="1824"/>
      <c r="O305" s="1824"/>
      <c r="P305" s="1824"/>
      <c r="Q305" s="1824"/>
      <c r="R305" s="1824"/>
      <c r="T305" s="8" t="s">
        <v>1193</v>
      </c>
      <c r="V305" s="72"/>
      <c r="W305" s="72"/>
      <c r="X305" s="72"/>
      <c r="Y305" s="72"/>
      <c r="AA305" s="1824" t="s">
        <v>2379</v>
      </c>
      <c r="AB305" s="1824"/>
      <c r="AC305" s="1824"/>
      <c r="AD305" s="1824"/>
      <c r="AE305" s="1824"/>
      <c r="AF305" s="1824"/>
      <c r="AG305" s="1824"/>
      <c r="AH305" s="1824"/>
      <c r="AI305" s="1824"/>
      <c r="AJ305" s="1824"/>
      <c r="AK305" s="1824"/>
      <c r="BA305" s="75"/>
    </row>
    <row r="306" spans="1:53" ht="12.75" customHeight="1">
      <c r="B306" s="72" t="s">
        <v>761</v>
      </c>
      <c r="C306" s="72"/>
      <c r="D306" s="72"/>
      <c r="E306" s="72"/>
      <c r="F306" s="72"/>
      <c r="H306" s="1833" t="s">
        <v>2432</v>
      </c>
      <c r="I306" s="1825"/>
      <c r="J306" s="1825"/>
      <c r="K306" s="1825"/>
      <c r="L306" s="1825"/>
      <c r="M306" s="1825"/>
      <c r="N306" s="1825"/>
      <c r="O306" s="1825"/>
      <c r="P306" s="1825"/>
      <c r="Q306" s="1825"/>
      <c r="R306" s="1825"/>
      <c r="T306" s="72" t="s">
        <v>761</v>
      </c>
      <c r="V306" s="72"/>
      <c r="W306" s="72"/>
      <c r="X306" s="72"/>
      <c r="Y306" s="72"/>
      <c r="AA306" s="1825" t="s">
        <v>2380</v>
      </c>
      <c r="AB306" s="1825"/>
      <c r="AC306" s="1825"/>
      <c r="AD306" s="1825"/>
      <c r="AE306" s="1825"/>
      <c r="AF306" s="1825"/>
      <c r="AG306" s="1825"/>
      <c r="AH306" s="1825"/>
      <c r="AI306" s="1825"/>
      <c r="AJ306" s="1825"/>
      <c r="AK306" s="1825"/>
      <c r="BA306" s="75"/>
    </row>
    <row r="307" spans="1:53" ht="12.75" customHeight="1">
      <c r="B307" s="72" t="s">
        <v>763</v>
      </c>
      <c r="C307" s="72"/>
      <c r="D307" s="72"/>
      <c r="E307" s="72"/>
      <c r="F307" s="72"/>
      <c r="H307" s="1825" t="s">
        <v>2433</v>
      </c>
      <c r="I307" s="1825"/>
      <c r="J307" s="1825"/>
      <c r="K307" s="1825"/>
      <c r="L307" s="1825"/>
      <c r="M307" s="1825"/>
      <c r="N307" s="1825"/>
      <c r="O307" s="1825"/>
      <c r="P307" s="1825"/>
      <c r="Q307" s="1825"/>
      <c r="R307" s="1825"/>
      <c r="T307" s="72" t="s">
        <v>762</v>
      </c>
      <c r="V307" s="72"/>
      <c r="W307" s="72"/>
      <c r="X307" s="72"/>
      <c r="Y307" s="72"/>
      <c r="AA307" s="1825" t="s">
        <v>2381</v>
      </c>
      <c r="AB307" s="1825"/>
      <c r="AC307" s="1825"/>
      <c r="AD307" s="1825"/>
      <c r="AE307" s="1825"/>
      <c r="AF307" s="1825"/>
      <c r="AG307" s="1825"/>
      <c r="AH307" s="1825"/>
      <c r="AI307" s="1825"/>
      <c r="AJ307" s="1825"/>
      <c r="AK307" s="1825"/>
      <c r="BA307" s="75"/>
    </row>
    <row r="308" spans="1:53" ht="12.75" customHeight="1">
      <c r="B308" s="72" t="s">
        <v>415</v>
      </c>
      <c r="C308" s="72"/>
      <c r="D308" s="72"/>
      <c r="E308" s="72"/>
      <c r="F308" s="72"/>
      <c r="H308" s="1825" t="s">
        <v>2434</v>
      </c>
      <c r="I308" s="1825"/>
      <c r="J308" s="1825"/>
      <c r="K308" s="1825"/>
      <c r="L308" s="1825"/>
      <c r="M308" s="1825"/>
      <c r="N308" s="1825"/>
      <c r="O308" s="1825"/>
      <c r="P308" s="1825"/>
      <c r="Q308" s="1825"/>
      <c r="R308" s="1825"/>
      <c r="T308" s="72" t="s">
        <v>415</v>
      </c>
      <c r="V308" s="72"/>
      <c r="W308" s="72"/>
      <c r="X308" s="72"/>
      <c r="Y308" s="72"/>
      <c r="AA308" s="1825" t="s">
        <v>2382</v>
      </c>
      <c r="AB308" s="1825"/>
      <c r="AC308" s="1825"/>
      <c r="AD308" s="1825"/>
      <c r="AE308" s="1825"/>
      <c r="AF308" s="1825"/>
      <c r="AG308" s="1825"/>
      <c r="AH308" s="1825"/>
      <c r="AI308" s="1825"/>
      <c r="AJ308" s="1825"/>
      <c r="AK308" s="1825"/>
      <c r="BA308" s="75"/>
    </row>
    <row r="309" spans="1:53" ht="13.2">
      <c r="B309" s="72" t="s">
        <v>416</v>
      </c>
      <c r="C309" s="72"/>
      <c r="D309" s="72"/>
      <c r="E309" s="72"/>
      <c r="F309" s="72"/>
      <c r="G309" s="72"/>
      <c r="H309" s="1916" t="s">
        <v>2435</v>
      </c>
      <c r="I309" s="1916"/>
      <c r="J309" s="1916"/>
      <c r="K309" s="1916"/>
      <c r="L309" s="1916"/>
      <c r="M309" s="1916"/>
      <c r="N309" s="8" t="s">
        <v>892</v>
      </c>
      <c r="O309" s="8"/>
      <c r="P309" s="1852" t="s">
        <v>2348</v>
      </c>
      <c r="Q309" s="2041"/>
      <c r="R309" s="2041"/>
      <c r="S309" s="72"/>
      <c r="T309" s="72" t="s">
        <v>416</v>
      </c>
      <c r="V309" s="72"/>
      <c r="W309" s="72"/>
      <c r="X309" s="72"/>
      <c r="Y309" s="72"/>
      <c r="AA309" s="1916">
        <v>3106228869</v>
      </c>
      <c r="AB309" s="1916"/>
      <c r="AC309" s="1916"/>
      <c r="AD309" s="1916"/>
      <c r="AE309" s="1916"/>
      <c r="AF309" s="1916"/>
      <c r="AG309" s="8" t="s">
        <v>892</v>
      </c>
      <c r="AH309" s="8"/>
      <c r="AI309" s="1852" t="s">
        <v>2348</v>
      </c>
      <c r="AJ309" s="2041"/>
      <c r="AK309" s="2041"/>
      <c r="BA309" s="75"/>
    </row>
    <row r="310" spans="1:53" ht="13.2">
      <c r="B310" s="72" t="s">
        <v>417</v>
      </c>
      <c r="C310" s="72"/>
      <c r="D310" s="72"/>
      <c r="E310" s="72"/>
      <c r="F310" s="72"/>
      <c r="G310" s="72"/>
      <c r="H310" s="1827" t="s">
        <v>2348</v>
      </c>
      <c r="I310" s="1853"/>
      <c r="J310" s="1853"/>
      <c r="K310" s="1853"/>
      <c r="L310" s="1853"/>
      <c r="M310" s="1853"/>
      <c r="N310" s="74"/>
      <c r="O310" s="74"/>
      <c r="P310" s="76"/>
      <c r="Q310" s="76"/>
      <c r="R310" s="76"/>
      <c r="S310" s="72"/>
      <c r="T310" s="72" t="s">
        <v>417</v>
      </c>
      <c r="V310" s="72"/>
      <c r="W310" s="72"/>
      <c r="X310" s="72"/>
      <c r="Y310" s="72"/>
      <c r="AA310" s="1827">
        <v>3108622399</v>
      </c>
      <c r="AB310" s="1827"/>
      <c r="AC310" s="1827"/>
      <c r="AD310" s="1827"/>
      <c r="AE310" s="1827"/>
      <c r="AF310" s="1827"/>
      <c r="AG310" s="74"/>
      <c r="AH310" s="74"/>
      <c r="AI310" s="76"/>
      <c r="AJ310" s="76"/>
      <c r="AK310" s="76"/>
      <c r="BA310" s="75"/>
    </row>
    <row r="311" spans="1:53" ht="13.2">
      <c r="B311" s="72" t="s">
        <v>764</v>
      </c>
      <c r="C311" s="72"/>
      <c r="D311" s="72"/>
      <c r="E311" s="72"/>
      <c r="F311" s="72"/>
      <c r="G311" s="72"/>
      <c r="H311" s="1825" t="s">
        <v>2436</v>
      </c>
      <c r="I311" s="1825"/>
      <c r="J311" s="1825"/>
      <c r="K311" s="1825"/>
      <c r="L311" s="1825"/>
      <c r="M311" s="1825"/>
      <c r="N311" s="1824"/>
      <c r="O311" s="1824"/>
      <c r="P311" s="1824"/>
      <c r="Q311" s="1824"/>
      <c r="R311" s="1824"/>
      <c r="S311" s="72"/>
      <c r="T311" s="72" t="s">
        <v>764</v>
      </c>
      <c r="V311" s="72"/>
      <c r="W311" s="72"/>
      <c r="X311" s="72"/>
      <c r="Y311" s="72"/>
      <c r="AA311" s="1825" t="s">
        <v>2383</v>
      </c>
      <c r="AB311" s="1825"/>
      <c r="AC311" s="1825"/>
      <c r="AD311" s="1825"/>
      <c r="AE311" s="1825"/>
      <c r="AF311" s="1825"/>
      <c r="AG311" s="1824"/>
      <c r="AH311" s="1824"/>
      <c r="AI311" s="1824"/>
      <c r="AJ311" s="1824"/>
      <c r="AK311" s="1824"/>
      <c r="BA311" s="75"/>
    </row>
    <row r="312" spans="1:53" ht="13.2">
      <c r="BA312" s="75"/>
    </row>
    <row r="313" spans="1:53" ht="13.2">
      <c r="B313" s="8" t="s">
        <v>1238</v>
      </c>
      <c r="C313" s="72"/>
      <c r="D313" s="72"/>
      <c r="E313" s="72"/>
      <c r="F313" s="72"/>
      <c r="H313" s="1852" t="s">
        <v>2471</v>
      </c>
      <c r="I313" s="1824"/>
      <c r="J313" s="1824"/>
      <c r="K313" s="1824"/>
      <c r="L313" s="1824"/>
      <c r="M313" s="1824"/>
      <c r="N313" s="1824"/>
      <c r="O313" s="1824"/>
      <c r="P313" s="1824"/>
      <c r="Q313" s="1824"/>
      <c r="R313" s="1824"/>
      <c r="T313" s="72" t="s">
        <v>41</v>
      </c>
      <c r="V313" s="72"/>
      <c r="W313" s="72"/>
      <c r="X313" s="72"/>
      <c r="Y313" s="72"/>
      <c r="AA313" s="1852" t="s">
        <v>2431</v>
      </c>
      <c r="AB313" s="1824"/>
      <c r="AC313" s="1824"/>
      <c r="AD313" s="1824"/>
      <c r="AE313" s="1824"/>
      <c r="AF313" s="1824"/>
      <c r="AG313" s="1824"/>
      <c r="AH313" s="1824"/>
      <c r="AI313" s="1824"/>
      <c r="AJ313" s="1824"/>
      <c r="AK313" s="1824"/>
      <c r="BA313" s="75"/>
    </row>
    <row r="314" spans="1:53" ht="13.2">
      <c r="B314" s="72" t="s">
        <v>761</v>
      </c>
      <c r="C314" s="72"/>
      <c r="D314" s="72"/>
      <c r="E314" s="72"/>
      <c r="F314" s="72"/>
      <c r="H314" s="1833" t="s">
        <v>2432</v>
      </c>
      <c r="I314" s="1825"/>
      <c r="J314" s="1825"/>
      <c r="K314" s="1825"/>
      <c r="L314" s="1825"/>
      <c r="M314" s="1825"/>
      <c r="N314" s="1825"/>
      <c r="O314" s="1825"/>
      <c r="P314" s="1825"/>
      <c r="Q314" s="1825"/>
      <c r="R314" s="1825"/>
      <c r="T314" s="72" t="s">
        <v>761</v>
      </c>
      <c r="V314" s="72"/>
      <c r="W314" s="72"/>
      <c r="X314" s="72"/>
      <c r="Y314" s="72"/>
      <c r="AA314" s="1833" t="s">
        <v>2437</v>
      </c>
      <c r="AB314" s="1825"/>
      <c r="AC314" s="1825"/>
      <c r="AD314" s="1825"/>
      <c r="AE314" s="1825"/>
      <c r="AF314" s="1825"/>
      <c r="AG314" s="1825"/>
      <c r="AH314" s="1825"/>
      <c r="AI314" s="1825"/>
      <c r="AJ314" s="1825"/>
      <c r="AK314" s="1825"/>
      <c r="BA314" s="75"/>
    </row>
    <row r="315" spans="1:53" ht="12.75" customHeight="1">
      <c r="B315" s="72" t="s">
        <v>763</v>
      </c>
      <c r="C315" s="72"/>
      <c r="D315" s="72"/>
      <c r="E315" s="72"/>
      <c r="F315" s="72"/>
      <c r="H315" s="1825" t="s">
        <v>2433</v>
      </c>
      <c r="I315" s="1825"/>
      <c r="J315" s="1825"/>
      <c r="K315" s="1825"/>
      <c r="L315" s="1825"/>
      <c r="M315" s="1825"/>
      <c r="N315" s="1825"/>
      <c r="O315" s="1825"/>
      <c r="P315" s="1825"/>
      <c r="Q315" s="1825"/>
      <c r="R315" s="1825"/>
      <c r="T315" s="72" t="s">
        <v>762</v>
      </c>
      <c r="V315" s="72"/>
      <c r="W315" s="72"/>
      <c r="X315" s="72"/>
      <c r="Y315" s="72"/>
      <c r="AA315" s="1833" t="s">
        <v>2438</v>
      </c>
      <c r="AB315" s="1825"/>
      <c r="AC315" s="1825"/>
      <c r="AD315" s="1825"/>
      <c r="AE315" s="1825"/>
      <c r="AF315" s="1825"/>
      <c r="AG315" s="1825"/>
      <c r="AH315" s="1825"/>
      <c r="AI315" s="1825"/>
      <c r="AJ315" s="1825"/>
      <c r="AK315" s="1825"/>
      <c r="BA315" s="75"/>
    </row>
    <row r="316" spans="1:53" ht="12.75" customHeight="1">
      <c r="A316" s="50"/>
      <c r="B316" s="72" t="s">
        <v>415</v>
      </c>
      <c r="C316" s="72"/>
      <c r="D316" s="72"/>
      <c r="E316" s="72"/>
      <c r="F316" s="72"/>
      <c r="H316" s="1825" t="s">
        <v>2434</v>
      </c>
      <c r="I316" s="1825"/>
      <c r="J316" s="1825"/>
      <c r="K316" s="1825"/>
      <c r="L316" s="1825"/>
      <c r="M316" s="1825"/>
      <c r="N316" s="1825"/>
      <c r="O316" s="1825"/>
      <c r="P316" s="1825"/>
      <c r="Q316" s="1825"/>
      <c r="R316" s="1825"/>
      <c r="T316" s="72" t="s">
        <v>415</v>
      </c>
      <c r="V316" s="72"/>
      <c r="W316" s="72"/>
      <c r="X316" s="72"/>
      <c r="Y316" s="72"/>
      <c r="AA316" s="1833" t="s">
        <v>2439</v>
      </c>
      <c r="AB316" s="1825"/>
      <c r="AC316" s="1825"/>
      <c r="AD316" s="1825"/>
      <c r="AE316" s="1825"/>
      <c r="AF316" s="1825"/>
      <c r="AG316" s="1825"/>
      <c r="AH316" s="1825"/>
      <c r="AI316" s="1825"/>
      <c r="AJ316" s="1825"/>
      <c r="AK316" s="1825"/>
      <c r="AL316" s="50"/>
      <c r="BA316" s="75"/>
    </row>
    <row r="317" spans="1:53" ht="12.75" customHeight="1">
      <c r="A317" s="50"/>
      <c r="B317" s="72" t="s">
        <v>416</v>
      </c>
      <c r="C317" s="72"/>
      <c r="D317" s="72"/>
      <c r="E317" s="72"/>
      <c r="F317" s="72"/>
      <c r="G317" s="72"/>
      <c r="H317" s="1916" t="s">
        <v>2435</v>
      </c>
      <c r="I317" s="1916"/>
      <c r="J317" s="1916"/>
      <c r="K317" s="1916"/>
      <c r="L317" s="1916"/>
      <c r="M317" s="1916"/>
      <c r="N317" s="8" t="s">
        <v>892</v>
      </c>
      <c r="O317" s="8"/>
      <c r="P317" s="1852" t="s">
        <v>2348</v>
      </c>
      <c r="Q317" s="2041"/>
      <c r="R317" s="2041"/>
      <c r="S317" s="72"/>
      <c r="T317" s="72" t="s">
        <v>416</v>
      </c>
      <c r="V317" s="72"/>
      <c r="W317" s="72"/>
      <c r="X317" s="72"/>
      <c r="Y317" s="72"/>
      <c r="AA317" s="1916" t="s">
        <v>2440</v>
      </c>
      <c r="AB317" s="2023"/>
      <c r="AC317" s="2023"/>
      <c r="AD317" s="2023"/>
      <c r="AE317" s="2023"/>
      <c r="AF317" s="2023"/>
      <c r="AG317" s="8" t="s">
        <v>892</v>
      </c>
      <c r="AH317" s="8"/>
      <c r="AI317" s="1852"/>
      <c r="AJ317" s="2041"/>
      <c r="AK317" s="2041"/>
      <c r="AL317" s="50"/>
      <c r="BA317" s="75"/>
    </row>
    <row r="318" spans="1:53" ht="12.75" customHeight="1">
      <c r="A318" s="50"/>
      <c r="B318" s="72" t="s">
        <v>417</v>
      </c>
      <c r="C318" s="72"/>
      <c r="D318" s="72"/>
      <c r="E318" s="72"/>
      <c r="F318" s="72"/>
      <c r="G318" s="72"/>
      <c r="H318" s="1827" t="s">
        <v>2348</v>
      </c>
      <c r="I318" s="1827"/>
      <c r="J318" s="1827"/>
      <c r="K318" s="1827"/>
      <c r="L318" s="1827"/>
      <c r="M318" s="1827"/>
      <c r="N318" s="74"/>
      <c r="O318" s="74"/>
      <c r="P318" s="76"/>
      <c r="Q318" s="76"/>
      <c r="R318" s="76"/>
      <c r="S318" s="72"/>
      <c r="T318" s="72" t="s">
        <v>417</v>
      </c>
      <c r="V318" s="72"/>
      <c r="W318" s="72"/>
      <c r="X318" s="72"/>
      <c r="Y318" s="72"/>
      <c r="AA318" s="1827"/>
      <c r="AB318" s="1853"/>
      <c r="AC318" s="1853"/>
      <c r="AD318" s="1853"/>
      <c r="AE318" s="1853"/>
      <c r="AF318" s="1853"/>
      <c r="AG318" s="74"/>
      <c r="AH318" s="74"/>
      <c r="AI318" s="76"/>
      <c r="AJ318" s="76"/>
      <c r="AK318" s="76"/>
      <c r="AL318" s="50"/>
      <c r="BA318" s="75"/>
    </row>
    <row r="319" spans="1:53" ht="13.2">
      <c r="A319" s="50"/>
      <c r="B319" s="72" t="s">
        <v>764</v>
      </c>
      <c r="C319" s="72"/>
      <c r="D319" s="72"/>
      <c r="E319" s="72"/>
      <c r="F319" s="72"/>
      <c r="G319" s="72"/>
      <c r="H319" s="1825" t="s">
        <v>2436</v>
      </c>
      <c r="I319" s="1825"/>
      <c r="J319" s="1825"/>
      <c r="K319" s="1825"/>
      <c r="L319" s="1825"/>
      <c r="M319" s="1825"/>
      <c r="N319" s="1824"/>
      <c r="O319" s="1824"/>
      <c r="P319" s="1824"/>
      <c r="Q319" s="1824"/>
      <c r="R319" s="1824"/>
      <c r="S319" s="72"/>
      <c r="T319" s="72" t="s">
        <v>764</v>
      </c>
      <c r="V319" s="72"/>
      <c r="W319" s="72"/>
      <c r="X319" s="72"/>
      <c r="Y319" s="72"/>
      <c r="AA319" s="1833" t="s">
        <v>2441</v>
      </c>
      <c r="AB319" s="1825"/>
      <c r="AC319" s="1825"/>
      <c r="AD319" s="1825"/>
      <c r="AE319" s="1825"/>
      <c r="AF319" s="1825"/>
      <c r="AG319" s="1824"/>
      <c r="AH319" s="1824"/>
      <c r="AI319" s="1824"/>
      <c r="AJ319" s="1824"/>
      <c r="AK319" s="1824"/>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1239</v>
      </c>
      <c r="C321" s="72"/>
      <c r="D321" s="72"/>
      <c r="E321" s="72"/>
      <c r="F321" s="72"/>
      <c r="H321" s="1824"/>
      <c r="I321" s="1824"/>
      <c r="J321" s="1824"/>
      <c r="K321" s="1824"/>
      <c r="L321" s="1824"/>
      <c r="M321" s="1824"/>
      <c r="N321" s="1824"/>
      <c r="O321" s="1824"/>
      <c r="P321" s="1824"/>
      <c r="Q321" s="1824"/>
      <c r="R321" s="1824"/>
      <c r="T321" s="72" t="s">
        <v>42</v>
      </c>
      <c r="V321" s="72"/>
      <c r="W321" s="72"/>
      <c r="X321" s="72"/>
      <c r="Y321" s="72"/>
      <c r="AA321" s="1852" t="s">
        <v>2471</v>
      </c>
      <c r="AB321" s="1824"/>
      <c r="AC321" s="1824"/>
      <c r="AD321" s="1824"/>
      <c r="AE321" s="1824"/>
      <c r="AF321" s="1824"/>
      <c r="AG321" s="1824"/>
      <c r="AH321" s="1824"/>
      <c r="AI321" s="1824"/>
      <c r="AJ321" s="1824"/>
      <c r="AK321" s="1824"/>
      <c r="AL321" s="50"/>
      <c r="BA321" s="75"/>
    </row>
    <row r="322" spans="1:53" ht="13.2">
      <c r="A322" s="50"/>
      <c r="B322" s="72" t="s">
        <v>761</v>
      </c>
      <c r="C322" s="72"/>
      <c r="D322" s="72"/>
      <c r="E322" s="72"/>
      <c r="F322" s="72"/>
      <c r="H322" s="1825"/>
      <c r="I322" s="1825"/>
      <c r="J322" s="1825"/>
      <c r="K322" s="1825"/>
      <c r="L322" s="1825"/>
      <c r="M322" s="1825"/>
      <c r="N322" s="1825"/>
      <c r="O322" s="1825"/>
      <c r="P322" s="1825"/>
      <c r="Q322" s="1825"/>
      <c r="R322" s="1825"/>
      <c r="T322" s="72" t="s">
        <v>761</v>
      </c>
      <c r="V322" s="72"/>
      <c r="W322" s="72"/>
      <c r="X322" s="72"/>
      <c r="Y322" s="72"/>
      <c r="AA322" s="1833" t="s">
        <v>2390</v>
      </c>
      <c r="AB322" s="1825"/>
      <c r="AC322" s="1825"/>
      <c r="AD322" s="1825"/>
      <c r="AE322" s="1825"/>
      <c r="AF322" s="1825"/>
      <c r="AG322" s="1825"/>
      <c r="AH322" s="1825"/>
      <c r="AI322" s="1825"/>
      <c r="AJ322" s="1825"/>
      <c r="AK322" s="1825"/>
      <c r="AL322" s="50"/>
      <c r="BA322" s="75"/>
    </row>
    <row r="323" spans="1:53" ht="13.2">
      <c r="A323" s="50"/>
      <c r="B323" s="72" t="s">
        <v>763</v>
      </c>
      <c r="C323" s="72"/>
      <c r="D323" s="72"/>
      <c r="E323" s="72"/>
      <c r="F323" s="72"/>
      <c r="H323" s="1825"/>
      <c r="I323" s="1825"/>
      <c r="J323" s="1825"/>
      <c r="K323" s="1825"/>
      <c r="L323" s="1825"/>
      <c r="M323" s="1825"/>
      <c r="N323" s="1825"/>
      <c r="O323" s="1825"/>
      <c r="P323" s="1825"/>
      <c r="Q323" s="1825"/>
      <c r="R323" s="1825"/>
      <c r="T323" s="72" t="s">
        <v>762</v>
      </c>
      <c r="V323" s="72"/>
      <c r="W323" s="72"/>
      <c r="X323" s="72"/>
      <c r="Y323" s="72"/>
      <c r="AA323" s="1833" t="s">
        <v>2391</v>
      </c>
      <c r="AB323" s="1825"/>
      <c r="AC323" s="1825"/>
      <c r="AD323" s="1825"/>
      <c r="AE323" s="1825"/>
      <c r="AF323" s="1825"/>
      <c r="AG323" s="1825"/>
      <c r="AH323" s="1825"/>
      <c r="AI323" s="1825"/>
      <c r="AJ323" s="1825"/>
      <c r="AK323" s="1825"/>
      <c r="AL323" s="50"/>
      <c r="BA323" s="75"/>
    </row>
    <row r="324" spans="1:53" ht="13.2">
      <c r="A324" s="50"/>
      <c r="B324" s="72" t="s">
        <v>415</v>
      </c>
      <c r="C324" s="72"/>
      <c r="D324" s="72"/>
      <c r="E324" s="72"/>
      <c r="F324" s="72"/>
      <c r="H324" s="1825"/>
      <c r="I324" s="1825"/>
      <c r="J324" s="1825"/>
      <c r="K324" s="1825"/>
      <c r="L324" s="1825"/>
      <c r="M324" s="1825"/>
      <c r="N324" s="1825"/>
      <c r="O324" s="1825"/>
      <c r="P324" s="1825"/>
      <c r="Q324" s="1825"/>
      <c r="R324" s="1825"/>
      <c r="T324" s="72" t="s">
        <v>415</v>
      </c>
      <c r="V324" s="72"/>
      <c r="W324" s="72"/>
      <c r="X324" s="72"/>
      <c r="Y324" s="72"/>
      <c r="AA324" s="1833" t="s">
        <v>2392</v>
      </c>
      <c r="AB324" s="1825"/>
      <c r="AC324" s="1825"/>
      <c r="AD324" s="1825"/>
      <c r="AE324" s="1825"/>
      <c r="AF324" s="1825"/>
      <c r="AG324" s="1825"/>
      <c r="AH324" s="1825"/>
      <c r="AI324" s="1825"/>
      <c r="AJ324" s="1825"/>
      <c r="AK324" s="1825"/>
      <c r="AL324" s="50"/>
      <c r="BA324" s="75"/>
    </row>
    <row r="325" spans="1:53" ht="13.2">
      <c r="A325" s="50"/>
      <c r="B325" s="72" t="s">
        <v>416</v>
      </c>
      <c r="C325" s="72"/>
      <c r="D325" s="72"/>
      <c r="E325" s="72"/>
      <c r="F325" s="72"/>
      <c r="G325" s="72"/>
      <c r="H325" s="2023"/>
      <c r="I325" s="2023"/>
      <c r="J325" s="2023"/>
      <c r="K325" s="2023"/>
      <c r="L325" s="2023"/>
      <c r="M325" s="2023"/>
      <c r="N325" s="8" t="s">
        <v>892</v>
      </c>
      <c r="O325" s="8"/>
      <c r="P325" s="2041"/>
      <c r="Q325" s="2041"/>
      <c r="R325" s="2041"/>
      <c r="S325" s="72"/>
      <c r="T325" s="72" t="s">
        <v>416</v>
      </c>
      <c r="V325" s="72"/>
      <c r="W325" s="72"/>
      <c r="X325" s="72"/>
      <c r="Y325" s="72"/>
      <c r="AA325" s="2023">
        <v>5123493212</v>
      </c>
      <c r="AB325" s="2023"/>
      <c r="AC325" s="2023"/>
      <c r="AD325" s="2023"/>
      <c r="AE325" s="2023"/>
      <c r="AF325" s="2023"/>
      <c r="AG325" s="8" t="s">
        <v>892</v>
      </c>
      <c r="AH325" s="8"/>
      <c r="AI325" s="1852" t="s">
        <v>2348</v>
      </c>
      <c r="AJ325" s="2041"/>
      <c r="AK325" s="2041"/>
      <c r="AL325" s="50"/>
      <c r="BA325" s="75"/>
    </row>
    <row r="326" spans="1:53" ht="13.2">
      <c r="A326" s="50"/>
      <c r="B326" s="72" t="s">
        <v>417</v>
      </c>
      <c r="C326" s="72"/>
      <c r="D326" s="72"/>
      <c r="E326" s="72"/>
      <c r="F326" s="72"/>
      <c r="G326" s="72"/>
      <c r="H326" s="1853"/>
      <c r="I326" s="1853"/>
      <c r="J326" s="1853"/>
      <c r="K326" s="1853"/>
      <c r="L326" s="1853"/>
      <c r="M326" s="1853"/>
      <c r="N326" s="74"/>
      <c r="O326" s="74"/>
      <c r="P326" s="76"/>
      <c r="Q326" s="76"/>
      <c r="R326" s="76"/>
      <c r="S326" s="72"/>
      <c r="T326" s="72" t="s">
        <v>417</v>
      </c>
      <c r="V326" s="72"/>
      <c r="W326" s="72"/>
      <c r="X326" s="72"/>
      <c r="Y326" s="72"/>
      <c r="AA326" s="1827" t="s">
        <v>2348</v>
      </c>
      <c r="AB326" s="1853"/>
      <c r="AC326" s="1853"/>
      <c r="AD326" s="1853"/>
      <c r="AE326" s="1853"/>
      <c r="AF326" s="1853"/>
      <c r="AG326" s="74"/>
      <c r="AH326" s="74"/>
      <c r="AI326" s="76"/>
      <c r="AJ326" s="76"/>
      <c r="AK326" s="76"/>
      <c r="AL326" s="50"/>
      <c r="BA326" s="75"/>
    </row>
    <row r="327" spans="1:53" ht="13.2">
      <c r="A327" s="50"/>
      <c r="B327" s="72" t="s">
        <v>764</v>
      </c>
      <c r="C327" s="72"/>
      <c r="D327" s="72"/>
      <c r="E327" s="72"/>
      <c r="F327" s="72"/>
      <c r="G327" s="72"/>
      <c r="H327" s="1825"/>
      <c r="I327" s="1825"/>
      <c r="J327" s="1825"/>
      <c r="K327" s="1825"/>
      <c r="L327" s="1825"/>
      <c r="M327" s="1825"/>
      <c r="N327" s="1824"/>
      <c r="O327" s="1824"/>
      <c r="P327" s="1824"/>
      <c r="Q327" s="1824"/>
      <c r="R327" s="1824"/>
      <c r="S327" s="72"/>
      <c r="T327" s="72" t="s">
        <v>764</v>
      </c>
      <c r="V327" s="72"/>
      <c r="W327" s="72"/>
      <c r="X327" s="72"/>
      <c r="Y327" s="72"/>
      <c r="AA327" s="1833" t="s">
        <v>2393</v>
      </c>
      <c r="AB327" s="1825"/>
      <c r="AC327" s="1825"/>
      <c r="AD327" s="1825"/>
      <c r="AE327" s="1825"/>
      <c r="AF327" s="1825"/>
      <c r="AG327" s="1824"/>
      <c r="AH327" s="1824"/>
      <c r="AI327" s="1824"/>
      <c r="AJ327" s="1824"/>
      <c r="AK327" s="1824"/>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852" t="s">
        <v>2471</v>
      </c>
      <c r="I329" s="1824"/>
      <c r="J329" s="1824"/>
      <c r="K329" s="1824"/>
      <c r="L329" s="1824"/>
      <c r="M329" s="1824"/>
      <c r="N329" s="1824"/>
      <c r="O329" s="1824"/>
      <c r="P329" s="1824"/>
      <c r="Q329" s="1824"/>
      <c r="R329" s="1824"/>
      <c r="S329" s="701"/>
      <c r="T329" s="630" t="s">
        <v>1194</v>
      </c>
      <c r="V329" s="72"/>
      <c r="W329" s="72"/>
      <c r="X329" s="72"/>
      <c r="Y329" s="72"/>
      <c r="AA329" s="1824" t="s">
        <v>2340</v>
      </c>
      <c r="AB329" s="1824"/>
      <c r="AC329" s="1824"/>
      <c r="AD329" s="1824"/>
      <c r="AE329" s="1824"/>
      <c r="AF329" s="1824"/>
      <c r="AG329" s="1824"/>
      <c r="AH329" s="1824"/>
      <c r="AI329" s="1824"/>
      <c r="AJ329" s="1824"/>
      <c r="AK329" s="1824"/>
      <c r="AL329" s="50"/>
      <c r="BA329" s="75"/>
    </row>
    <row r="330" spans="1:53" ht="13.2">
      <c r="B330" s="72" t="s">
        <v>761</v>
      </c>
      <c r="C330" s="72"/>
      <c r="D330" s="72"/>
      <c r="E330" s="72"/>
      <c r="F330" s="72"/>
      <c r="H330" s="1833" t="s">
        <v>2390</v>
      </c>
      <c r="I330" s="1825"/>
      <c r="J330" s="1825"/>
      <c r="K330" s="1825"/>
      <c r="L330" s="1825"/>
      <c r="M330" s="1825"/>
      <c r="N330" s="1825"/>
      <c r="O330" s="1825"/>
      <c r="P330" s="1825"/>
      <c r="Q330" s="1825"/>
      <c r="R330" s="1825"/>
      <c r="S330" s="701"/>
      <c r="T330" s="72" t="s">
        <v>761</v>
      </c>
      <c r="V330" s="72"/>
      <c r="W330" s="72"/>
      <c r="X330" s="72"/>
      <c r="Y330" s="72"/>
      <c r="AA330" s="1825" t="s">
        <v>2384</v>
      </c>
      <c r="AB330" s="1825"/>
      <c r="AC330" s="1825"/>
      <c r="AD330" s="1825"/>
      <c r="AE330" s="1825"/>
      <c r="AF330" s="1825"/>
      <c r="AG330" s="1825"/>
      <c r="AH330" s="1825"/>
      <c r="AI330" s="1825"/>
      <c r="AJ330" s="1825"/>
      <c r="AK330" s="1825"/>
      <c r="AL330" s="50"/>
      <c r="BA330" s="75"/>
    </row>
    <row r="331" spans="1:53" ht="13.2">
      <c r="B331" s="72" t="s">
        <v>763</v>
      </c>
      <c r="C331" s="72"/>
      <c r="D331" s="72"/>
      <c r="E331" s="72"/>
      <c r="F331" s="72"/>
      <c r="G331" s="72"/>
      <c r="H331" s="1833" t="s">
        <v>2391</v>
      </c>
      <c r="I331" s="1825"/>
      <c r="J331" s="1825"/>
      <c r="K331" s="1825"/>
      <c r="L331" s="1825"/>
      <c r="M331" s="1825"/>
      <c r="N331" s="1825"/>
      <c r="O331" s="1825"/>
      <c r="P331" s="1825"/>
      <c r="Q331" s="1825"/>
      <c r="R331" s="1825"/>
      <c r="S331" s="701"/>
      <c r="T331" s="72" t="s">
        <v>762</v>
      </c>
      <c r="V331" s="72"/>
      <c r="W331" s="72"/>
      <c r="X331" s="72"/>
      <c r="Y331" s="72"/>
      <c r="AA331" s="1825" t="s">
        <v>2385</v>
      </c>
      <c r="AB331" s="1825"/>
      <c r="AC331" s="1825"/>
      <c r="AD331" s="1825"/>
      <c r="AE331" s="1825"/>
      <c r="AF331" s="1825"/>
      <c r="AG331" s="1825"/>
      <c r="AH331" s="1825"/>
      <c r="AI331" s="1825"/>
      <c r="AJ331" s="1825"/>
      <c r="AK331" s="1825"/>
      <c r="AL331" s="50"/>
      <c r="BA331" s="75"/>
    </row>
    <row r="332" spans="1:53" ht="13.2">
      <c r="A332" s="50"/>
      <c r="B332" s="72" t="s">
        <v>415</v>
      </c>
      <c r="C332" s="72"/>
      <c r="D332" s="72"/>
      <c r="E332" s="72"/>
      <c r="F332" s="72"/>
      <c r="H332" s="1833" t="s">
        <v>2392</v>
      </c>
      <c r="I332" s="1825"/>
      <c r="J332" s="1825"/>
      <c r="K332" s="1825"/>
      <c r="L332" s="1825"/>
      <c r="M332" s="1825"/>
      <c r="N332" s="1825"/>
      <c r="O332" s="1825"/>
      <c r="P332" s="1825"/>
      <c r="Q332" s="1825"/>
      <c r="R332" s="1825"/>
      <c r="S332" s="701"/>
      <c r="T332" s="72" t="s">
        <v>415</v>
      </c>
      <c r="V332" s="72"/>
      <c r="W332" s="72"/>
      <c r="X332" s="72"/>
      <c r="Y332" s="72"/>
      <c r="AA332" s="1825" t="s">
        <v>2386</v>
      </c>
      <c r="AB332" s="1825"/>
      <c r="AC332" s="1825"/>
      <c r="AD332" s="1825"/>
      <c r="AE332" s="1825"/>
      <c r="AF332" s="1825"/>
      <c r="AG332" s="1825"/>
      <c r="AH332" s="1825"/>
      <c r="AI332" s="1825"/>
      <c r="AJ332" s="1825"/>
      <c r="AK332" s="1825"/>
      <c r="AL332" s="50"/>
      <c r="BA332" s="75"/>
    </row>
    <row r="333" spans="1:53" ht="13.2">
      <c r="A333" s="50"/>
      <c r="B333" s="72" t="s">
        <v>416</v>
      </c>
      <c r="C333" s="72"/>
      <c r="D333" s="72"/>
      <c r="E333" s="72"/>
      <c r="F333" s="72"/>
      <c r="G333" s="72"/>
      <c r="H333" s="2023">
        <v>5123493212</v>
      </c>
      <c r="I333" s="2023"/>
      <c r="J333" s="2023"/>
      <c r="K333" s="2023"/>
      <c r="L333" s="2023"/>
      <c r="M333" s="2023"/>
      <c r="N333" s="8" t="s">
        <v>892</v>
      </c>
      <c r="O333" s="8"/>
      <c r="P333" s="2041"/>
      <c r="Q333" s="2041"/>
      <c r="R333" s="2041"/>
      <c r="S333" s="3"/>
      <c r="T333" s="72" t="s">
        <v>416</v>
      </c>
      <c r="V333" s="72"/>
      <c r="W333" s="72"/>
      <c r="X333" s="72"/>
      <c r="Y333" s="72"/>
      <c r="AA333" s="1916" t="s">
        <v>2387</v>
      </c>
      <c r="AB333" s="1916"/>
      <c r="AC333" s="1916"/>
      <c r="AD333" s="1916"/>
      <c r="AE333" s="1916"/>
      <c r="AF333" s="1916"/>
      <c r="AG333" s="8" t="s">
        <v>892</v>
      </c>
      <c r="AH333" s="8"/>
      <c r="AI333" s="1852" t="s">
        <v>2348</v>
      </c>
      <c r="AJ333" s="2041"/>
      <c r="AK333" s="2041"/>
      <c r="AL333" s="50"/>
      <c r="BA333" s="75"/>
    </row>
    <row r="334" spans="1:53" ht="13.2">
      <c r="A334" s="50"/>
      <c r="B334" s="72" t="s">
        <v>417</v>
      </c>
      <c r="C334" s="72"/>
      <c r="D334" s="72"/>
      <c r="E334" s="72"/>
      <c r="F334" s="72"/>
      <c r="G334" s="72"/>
      <c r="H334" s="1853"/>
      <c r="I334" s="1853"/>
      <c r="J334" s="1853"/>
      <c r="K334" s="1853"/>
      <c r="L334" s="1853"/>
      <c r="M334" s="1853"/>
      <c r="N334" s="74"/>
      <c r="O334" s="74"/>
      <c r="P334" s="76"/>
      <c r="Q334" s="76"/>
      <c r="R334" s="76"/>
      <c r="S334" s="3"/>
      <c r="T334" s="72" t="s">
        <v>417</v>
      </c>
      <c r="V334" s="72"/>
      <c r="W334" s="72"/>
      <c r="X334" s="72"/>
      <c r="Y334" s="72"/>
      <c r="AA334" s="1827" t="s">
        <v>2388</v>
      </c>
      <c r="AB334" s="1827"/>
      <c r="AC334" s="1827"/>
      <c r="AD334" s="1827"/>
      <c r="AE334" s="1827"/>
      <c r="AF334" s="1827"/>
      <c r="AG334" s="74"/>
      <c r="AH334" s="74"/>
      <c r="AI334" s="76"/>
      <c r="AJ334" s="76"/>
      <c r="AK334" s="76"/>
      <c r="AL334" s="50"/>
      <c r="BA334" s="75"/>
    </row>
    <row r="335" spans="1:53" ht="13.2">
      <c r="A335" s="50"/>
      <c r="B335" s="72" t="s">
        <v>764</v>
      </c>
      <c r="C335" s="72"/>
      <c r="D335" s="72"/>
      <c r="E335" s="72"/>
      <c r="F335" s="72"/>
      <c r="G335" s="72"/>
      <c r="H335" s="1833" t="s">
        <v>2393</v>
      </c>
      <c r="I335" s="1825"/>
      <c r="J335" s="1825"/>
      <c r="K335" s="1825"/>
      <c r="L335" s="1825"/>
      <c r="M335" s="1825"/>
      <c r="N335" s="1824"/>
      <c r="O335" s="1824"/>
      <c r="P335" s="1824"/>
      <c r="Q335" s="1824"/>
      <c r="R335" s="1824"/>
      <c r="S335" s="701"/>
      <c r="T335" s="72" t="s">
        <v>764</v>
      </c>
      <c r="V335" s="72"/>
      <c r="W335" s="72"/>
      <c r="X335" s="72"/>
      <c r="Y335" s="72"/>
      <c r="AA335" s="1825" t="s">
        <v>2389</v>
      </c>
      <c r="AB335" s="1825"/>
      <c r="AC335" s="1825"/>
      <c r="AD335" s="1825"/>
      <c r="AE335" s="1825"/>
      <c r="AF335" s="1825"/>
      <c r="AG335" s="1824"/>
      <c r="AH335" s="1824"/>
      <c r="AI335" s="1824"/>
      <c r="AJ335" s="1824"/>
      <c r="AK335" s="1824"/>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24"/>
      <c r="I337" s="1824"/>
      <c r="J337" s="1824"/>
      <c r="K337" s="1824"/>
      <c r="L337" s="1824"/>
      <c r="M337" s="1824"/>
      <c r="N337" s="1824"/>
      <c r="O337" s="1824"/>
      <c r="P337" s="1824"/>
      <c r="Q337" s="1824"/>
      <c r="R337" s="1824"/>
      <c r="T337" s="578" t="s">
        <v>1237</v>
      </c>
      <c r="AA337" s="1824"/>
      <c r="AB337" s="1824"/>
      <c r="AC337" s="1824"/>
      <c r="AD337" s="1824"/>
      <c r="AE337" s="1824"/>
      <c r="AF337" s="1824"/>
      <c r="AG337" s="1824"/>
      <c r="AH337" s="1824"/>
      <c r="AI337" s="1824"/>
      <c r="AJ337" s="1824"/>
      <c r="AK337" s="1824"/>
      <c r="AL337" s="50"/>
      <c r="BA337" s="75"/>
    </row>
    <row r="338" spans="1:53" ht="13.2">
      <c r="A338" s="50"/>
      <c r="B338" s="578" t="s">
        <v>761</v>
      </c>
      <c r="C338" s="578"/>
      <c r="D338" s="578"/>
      <c r="E338" s="578"/>
      <c r="F338" s="578"/>
      <c r="G338" s="579"/>
      <c r="H338" s="1825"/>
      <c r="I338" s="1825"/>
      <c r="J338" s="1825"/>
      <c r="K338" s="1825"/>
      <c r="L338" s="1825"/>
      <c r="M338" s="1825"/>
      <c r="N338" s="1825"/>
      <c r="O338" s="1825"/>
      <c r="P338" s="1825"/>
      <c r="Q338" s="1825"/>
      <c r="R338" s="1825"/>
      <c r="T338" s="72" t="s">
        <v>761</v>
      </c>
      <c r="AA338" s="1825"/>
      <c r="AB338" s="1825"/>
      <c r="AC338" s="1825"/>
      <c r="AD338" s="1825"/>
      <c r="AE338" s="1825"/>
      <c r="AF338" s="1825"/>
      <c r="AG338" s="1825"/>
      <c r="AH338" s="1825"/>
      <c r="AI338" s="1825"/>
      <c r="AJ338" s="1825"/>
      <c r="AK338" s="1825"/>
      <c r="AL338" s="50"/>
      <c r="BA338" s="75"/>
    </row>
    <row r="339" spans="1:53" ht="13.2">
      <c r="A339" s="50"/>
      <c r="B339" s="578" t="s">
        <v>763</v>
      </c>
      <c r="C339" s="578"/>
      <c r="D339" s="578"/>
      <c r="E339" s="578"/>
      <c r="F339" s="578"/>
      <c r="G339" s="578"/>
      <c r="H339" s="1825"/>
      <c r="I339" s="1825"/>
      <c r="J339" s="1825"/>
      <c r="K339" s="1825"/>
      <c r="L339" s="1825"/>
      <c r="M339" s="1825"/>
      <c r="N339" s="1825"/>
      <c r="O339" s="1825"/>
      <c r="P339" s="1825"/>
      <c r="Q339" s="1825"/>
      <c r="R339" s="1825"/>
      <c r="T339" s="72" t="s">
        <v>762</v>
      </c>
      <c r="AA339" s="1825"/>
      <c r="AB339" s="1825"/>
      <c r="AC339" s="1825"/>
      <c r="AD339" s="1825"/>
      <c r="AE339" s="1825"/>
      <c r="AF339" s="1825"/>
      <c r="AG339" s="1825"/>
      <c r="AH339" s="1825"/>
      <c r="AI339" s="1825"/>
      <c r="AJ339" s="1825"/>
      <c r="AK339" s="1825"/>
      <c r="AL339" s="50"/>
    </row>
    <row r="340" spans="1:53" ht="13.2">
      <c r="A340" s="50"/>
      <c r="B340" s="578" t="s">
        <v>415</v>
      </c>
      <c r="C340" s="578"/>
      <c r="D340" s="578"/>
      <c r="E340" s="578"/>
      <c r="F340" s="578"/>
      <c r="G340" s="579"/>
      <c r="H340" s="1825"/>
      <c r="I340" s="1825"/>
      <c r="J340" s="1825"/>
      <c r="K340" s="1825"/>
      <c r="L340" s="1825"/>
      <c r="M340" s="1825"/>
      <c r="N340" s="1825"/>
      <c r="O340" s="1825"/>
      <c r="P340" s="1825"/>
      <c r="Q340" s="1825"/>
      <c r="R340" s="1825"/>
      <c r="T340" s="72" t="s">
        <v>415</v>
      </c>
      <c r="AA340" s="1825"/>
      <c r="AB340" s="1825"/>
      <c r="AC340" s="1825"/>
      <c r="AD340" s="1825"/>
      <c r="AE340" s="1825"/>
      <c r="AF340" s="1825"/>
      <c r="AG340" s="1825"/>
      <c r="AH340" s="1825"/>
      <c r="AI340" s="1825"/>
      <c r="AJ340" s="1825"/>
      <c r="AK340" s="1825"/>
      <c r="AL340" s="50"/>
    </row>
    <row r="341" spans="1:53" ht="13.2">
      <c r="A341" s="50"/>
      <c r="B341" s="578" t="s">
        <v>416</v>
      </c>
      <c r="C341" s="578"/>
      <c r="D341" s="578"/>
      <c r="E341" s="578"/>
      <c r="F341" s="578"/>
      <c r="G341" s="578"/>
      <c r="H341" s="2023"/>
      <c r="I341" s="2023"/>
      <c r="J341" s="2023"/>
      <c r="K341" s="2023"/>
      <c r="L341" s="2023"/>
      <c r="M341" s="2023"/>
      <c r="N341" s="8" t="s">
        <v>892</v>
      </c>
      <c r="O341" s="8"/>
      <c r="P341" s="2041"/>
      <c r="Q341" s="2041"/>
      <c r="R341" s="2041"/>
      <c r="T341" s="72" t="s">
        <v>416</v>
      </c>
      <c r="AA341" s="2023"/>
      <c r="AB341" s="2023"/>
      <c r="AC341" s="2023"/>
      <c r="AD341" s="2023"/>
      <c r="AE341" s="2023"/>
      <c r="AF341" s="2023"/>
      <c r="AG341" s="8" t="s">
        <v>892</v>
      </c>
      <c r="AH341" s="8"/>
      <c r="AI341" s="2041"/>
      <c r="AJ341" s="2041"/>
      <c r="AK341" s="2041"/>
      <c r="AL341" s="50"/>
    </row>
    <row r="342" spans="1:53" ht="13.2">
      <c r="A342" s="50"/>
      <c r="B342" s="578" t="s">
        <v>417</v>
      </c>
      <c r="C342" s="578"/>
      <c r="D342" s="578"/>
      <c r="E342" s="578"/>
      <c r="F342" s="578"/>
      <c r="G342" s="578"/>
      <c r="H342" s="1853"/>
      <c r="I342" s="1853"/>
      <c r="J342" s="1853"/>
      <c r="K342" s="1853"/>
      <c r="L342" s="1853"/>
      <c r="M342" s="1853"/>
      <c r="N342" s="74"/>
      <c r="O342" s="74"/>
      <c r="P342" s="76"/>
      <c r="Q342" s="76"/>
      <c r="R342" s="76"/>
      <c r="T342" s="72" t="s">
        <v>417</v>
      </c>
      <c r="AA342" s="1853"/>
      <c r="AB342" s="1853"/>
      <c r="AC342" s="1853"/>
      <c r="AD342" s="1853"/>
      <c r="AE342" s="1853"/>
      <c r="AF342" s="1853"/>
      <c r="AG342" s="74"/>
      <c r="AH342" s="74"/>
      <c r="AI342" s="76"/>
      <c r="AJ342" s="76"/>
      <c r="AK342" s="76"/>
      <c r="AL342" s="50"/>
    </row>
    <row r="343" spans="1:53" ht="12.75" customHeight="1">
      <c r="A343" s="50"/>
      <c r="B343" s="578" t="s">
        <v>764</v>
      </c>
      <c r="C343" s="578"/>
      <c r="D343" s="578"/>
      <c r="E343" s="578"/>
      <c r="F343" s="578"/>
      <c r="G343" s="578"/>
      <c r="H343" s="1825"/>
      <c r="I343" s="1825"/>
      <c r="J343" s="1825"/>
      <c r="K343" s="1825"/>
      <c r="L343" s="1825"/>
      <c r="M343" s="1825"/>
      <c r="N343" s="1824"/>
      <c r="O343" s="1824"/>
      <c r="P343" s="1824"/>
      <c r="Q343" s="1824"/>
      <c r="R343" s="1824"/>
      <c r="T343" s="72" t="s">
        <v>764</v>
      </c>
      <c r="AA343" s="1825"/>
      <c r="AB343" s="1825"/>
      <c r="AC343" s="1825"/>
      <c r="AD343" s="1825"/>
      <c r="AE343" s="1825"/>
      <c r="AF343" s="1825"/>
      <c r="AG343" s="1824"/>
      <c r="AH343" s="1824"/>
      <c r="AI343" s="1824"/>
      <c r="AJ343" s="1824"/>
      <c r="AK343" s="1824"/>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2052" t="s">
        <v>543</v>
      </c>
      <c r="B345" s="2052"/>
      <c r="C345" s="2052"/>
      <c r="D345" s="2052"/>
      <c r="E345" s="2052"/>
      <c r="F345" s="2052"/>
      <c r="G345" s="2052"/>
      <c r="H345" s="2052"/>
      <c r="I345" s="2052"/>
      <c r="J345" s="2052"/>
      <c r="K345" s="2052"/>
      <c r="L345" s="2052"/>
      <c r="M345" s="2052"/>
      <c r="N345" s="2052"/>
      <c r="O345" s="2052"/>
      <c r="P345" s="2052"/>
      <c r="Q345" s="2052"/>
      <c r="R345" s="2052"/>
      <c r="S345" s="2052"/>
      <c r="T345" s="2052"/>
      <c r="U345" s="2052"/>
      <c r="V345" s="2052"/>
      <c r="W345" s="2052"/>
      <c r="X345" s="2052"/>
      <c r="Y345" s="2052"/>
      <c r="Z345" s="2052"/>
      <c r="AA345" s="2052"/>
      <c r="AB345" s="2052"/>
      <c r="AC345" s="2052"/>
      <c r="AD345" s="2052"/>
      <c r="AE345" s="2052"/>
      <c r="AF345" s="2052"/>
      <c r="AG345" s="2052"/>
      <c r="AH345" s="2052"/>
      <c r="AI345" s="2052"/>
      <c r="AJ345" s="2052"/>
      <c r="AK345" s="2052"/>
      <c r="AL345" s="2052"/>
    </row>
    <row r="346" spans="1:53" ht="12.75" customHeight="1" thickBot="1">
      <c r="A346" s="2053"/>
      <c r="B346" s="2053"/>
      <c r="C346" s="2053"/>
      <c r="D346" s="2053"/>
      <c r="E346" s="2053"/>
      <c r="F346" s="2053"/>
      <c r="G346" s="2053"/>
      <c r="H346" s="2053"/>
      <c r="I346" s="2053"/>
      <c r="J346" s="2053"/>
      <c r="K346" s="2053"/>
      <c r="L346" s="2053"/>
      <c r="M346" s="2053"/>
      <c r="N346" s="2053"/>
      <c r="O346" s="2053"/>
      <c r="P346" s="2053"/>
      <c r="Q346" s="2053"/>
      <c r="R346" s="2053"/>
      <c r="S346" s="2053"/>
      <c r="T346" s="2053"/>
      <c r="U346" s="2053"/>
      <c r="V346" s="2053"/>
      <c r="W346" s="2053"/>
      <c r="X346" s="2053"/>
      <c r="Y346" s="2053"/>
      <c r="Z346" s="2053"/>
      <c r="AA346" s="2053"/>
      <c r="AB346" s="2053"/>
      <c r="AC346" s="2053"/>
      <c r="AD346" s="2053"/>
      <c r="AE346" s="2053"/>
      <c r="AF346" s="2053"/>
      <c r="AG346" s="2053"/>
      <c r="AH346" s="2053"/>
      <c r="AI346" s="2053"/>
      <c r="AJ346" s="2053"/>
      <c r="AK346" s="2053"/>
      <c r="AL346" s="2053"/>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715</v>
      </c>
      <c r="B348" s="63"/>
      <c r="C348" s="63" t="s">
        <v>587</v>
      </c>
      <c r="K348" s="35"/>
      <c r="L348" s="35"/>
    </row>
    <row r="349" spans="1:53" ht="12.75" customHeight="1">
      <c r="D349" s="16" t="s">
        <v>45</v>
      </c>
      <c r="M349" s="1826" t="s">
        <v>119</v>
      </c>
      <c r="N349" s="1826"/>
      <c r="P349" s="16" t="s">
        <v>2172</v>
      </c>
      <c r="AJ349" s="1826" t="s">
        <v>119</v>
      </c>
      <c r="AK349" s="1826"/>
    </row>
    <row r="350" spans="1:53" ht="12.75" customHeight="1">
      <c r="D350" s="72" t="s">
        <v>2086</v>
      </c>
      <c r="M350" s="1826" t="s">
        <v>135</v>
      </c>
      <c r="N350" s="1826"/>
      <c r="P350" s="72" t="s">
        <v>2173</v>
      </c>
      <c r="AJ350" s="1847">
        <v>30</v>
      </c>
      <c r="AK350" s="1847"/>
    </row>
    <row r="351" spans="1:53" ht="12.75" customHeight="1">
      <c r="D351" s="16" t="s">
        <v>348</v>
      </c>
      <c r="M351" s="1826" t="s">
        <v>135</v>
      </c>
      <c r="N351" s="1826"/>
      <c r="P351" s="16" t="s">
        <v>2174</v>
      </c>
      <c r="AJ351" s="1826" t="s">
        <v>119</v>
      </c>
      <c r="AK351" s="1826"/>
    </row>
    <row r="352" spans="1:53" ht="12.75" customHeight="1">
      <c r="D352" s="16" t="s">
        <v>349</v>
      </c>
      <c r="M352" s="1826" t="s">
        <v>135</v>
      </c>
      <c r="N352" s="1826"/>
      <c r="Q352" s="72"/>
    </row>
    <row r="353" spans="1:57" ht="12.75" customHeight="1">
      <c r="P353" s="579"/>
      <c r="Q353" s="578"/>
      <c r="R353" s="579"/>
    </row>
    <row r="354" spans="1:57" ht="12.75" customHeight="1"/>
    <row r="355" spans="1:57" ht="13.2">
      <c r="A355" s="63" t="s">
        <v>8</v>
      </c>
      <c r="B355" s="63"/>
      <c r="C355" s="63" t="s">
        <v>959</v>
      </c>
      <c r="D355" s="63"/>
    </row>
    <row r="356" spans="1:57" ht="13.2">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826" t="s">
        <v>135</v>
      </c>
      <c r="O357" s="1826"/>
      <c r="P357" s="83"/>
      <c r="Q357" s="83"/>
      <c r="R357" s="83"/>
      <c r="S357" s="83"/>
      <c r="T357" s="83"/>
      <c r="U357" s="83"/>
      <c r="V357" s="83"/>
      <c r="W357" s="83"/>
      <c r="X357" s="83"/>
      <c r="Y357" s="84"/>
      <c r="Z357" s="84"/>
      <c r="AC357" s="83"/>
      <c r="AD357" s="83"/>
      <c r="AE357" s="83"/>
    </row>
    <row r="358" spans="1:57" ht="13.2">
      <c r="E358" s="16" t="s">
        <v>795</v>
      </c>
      <c r="Y358" s="1826" t="s">
        <v>135</v>
      </c>
      <c r="Z358" s="1826"/>
    </row>
    <row r="359" spans="1:57" ht="13.2">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977</v>
      </c>
      <c r="E360" s="83"/>
      <c r="F360" s="83"/>
      <c r="G360" s="83"/>
      <c r="H360" s="83"/>
      <c r="I360" s="83"/>
      <c r="J360" s="1826" t="s">
        <v>135</v>
      </c>
      <c r="K360" s="1826"/>
      <c r="L360" s="83"/>
      <c r="M360" s="83"/>
      <c r="N360" s="83"/>
      <c r="O360" s="83"/>
      <c r="P360" s="83"/>
      <c r="Q360" s="83"/>
      <c r="R360" s="83"/>
      <c r="S360" s="83"/>
      <c r="T360" s="83"/>
      <c r="U360" s="83"/>
      <c r="V360" s="83"/>
      <c r="W360" s="83"/>
      <c r="X360" s="83"/>
      <c r="Y360" s="83"/>
      <c r="Z360" s="83"/>
      <c r="AC360" s="83"/>
      <c r="AD360" s="83"/>
      <c r="AE360" s="83"/>
    </row>
    <row r="361" spans="1:57" ht="13.2">
      <c r="E361" s="1632" t="s">
        <v>350</v>
      </c>
      <c r="F361" s="1632"/>
      <c r="G361" s="1632"/>
      <c r="H361" s="1632"/>
      <c r="I361" s="1632"/>
      <c r="J361" s="1632"/>
      <c r="K361" s="1632"/>
      <c r="L361" s="1632"/>
      <c r="M361" s="1632"/>
      <c r="N361" s="1632"/>
      <c r="O361" s="1632"/>
      <c r="P361" s="1632"/>
      <c r="Q361" s="1632"/>
      <c r="R361" s="1632"/>
      <c r="S361" s="1632"/>
      <c r="T361" s="1632"/>
      <c r="U361" s="1632"/>
      <c r="V361" s="1632"/>
      <c r="W361" s="1632"/>
      <c r="X361" s="1632"/>
      <c r="Y361" s="1632"/>
      <c r="Z361" s="1632"/>
      <c r="AA361" s="1632"/>
      <c r="AB361" s="1632"/>
      <c r="AC361" s="1632"/>
      <c r="AD361" s="1632"/>
      <c r="AE361" s="1632"/>
      <c r="AF361" s="1632"/>
      <c r="AG361" s="1632"/>
      <c r="AH361" s="1632"/>
      <c r="BE361" s="16" t="s">
        <v>135</v>
      </c>
    </row>
    <row r="362" spans="1:57" ht="13.2">
      <c r="E362" s="1632"/>
      <c r="F362" s="1632"/>
      <c r="G362" s="1632"/>
      <c r="H362" s="1632"/>
      <c r="I362" s="1632"/>
      <c r="J362" s="1632"/>
      <c r="K362" s="1632"/>
      <c r="L362" s="1632"/>
      <c r="M362" s="1632"/>
      <c r="N362" s="1632"/>
      <c r="O362" s="1632"/>
      <c r="P362" s="1632"/>
      <c r="Q362" s="1632"/>
      <c r="R362" s="1632"/>
      <c r="S362" s="1632"/>
      <c r="T362" s="1632"/>
      <c r="U362" s="1632"/>
      <c r="V362" s="1632"/>
      <c r="W362" s="1632"/>
      <c r="X362" s="1632"/>
      <c r="Y362" s="1632"/>
      <c r="Z362" s="1632"/>
      <c r="AA362" s="1632"/>
      <c r="AB362" s="1632"/>
      <c r="AC362" s="1632"/>
      <c r="AD362" s="1632"/>
      <c r="AE362" s="1632"/>
      <c r="AF362" s="1632"/>
      <c r="AG362" s="1632"/>
      <c r="AH362" s="1632"/>
      <c r="BE362" s="16" t="s">
        <v>528</v>
      </c>
    </row>
    <row r="363" spans="1:57" ht="12.75" customHeight="1">
      <c r="E363" s="8" t="s">
        <v>652</v>
      </c>
      <c r="F363" s="8"/>
      <c r="G363" s="8"/>
      <c r="H363" s="8"/>
      <c r="I363" s="8"/>
      <c r="J363" s="8"/>
      <c r="K363" s="8"/>
      <c r="L363" s="8"/>
      <c r="N363" s="1912"/>
      <c r="O363" s="1912"/>
      <c r="P363" s="1912"/>
      <c r="Q363" s="1912"/>
      <c r="R363" s="8"/>
      <c r="U363" s="8" t="s">
        <v>653</v>
      </c>
      <c r="V363" s="8"/>
      <c r="W363" s="8"/>
      <c r="X363" s="8"/>
      <c r="Y363" s="8"/>
      <c r="Z363" s="8"/>
      <c r="AA363" s="8"/>
      <c r="AB363" s="8"/>
      <c r="AC363" s="1912"/>
      <c r="AD363" s="1912"/>
      <c r="AE363" s="1912"/>
      <c r="AF363" s="1912"/>
      <c r="BE363" s="16" t="s">
        <v>119</v>
      </c>
    </row>
    <row r="364" spans="1:57" ht="13.2">
      <c r="E364" s="8" t="s">
        <v>654</v>
      </c>
      <c r="F364" s="8"/>
      <c r="G364" s="8"/>
      <c r="H364" s="8"/>
      <c r="I364" s="8"/>
      <c r="J364" s="8"/>
      <c r="K364" s="8"/>
      <c r="L364" s="8"/>
      <c r="N364" s="1912"/>
      <c r="O364" s="1912"/>
      <c r="P364" s="1912"/>
      <c r="Q364" s="1912"/>
      <c r="R364" s="8"/>
      <c r="U364" s="8" t="s">
        <v>655</v>
      </c>
      <c r="V364" s="8"/>
      <c r="W364" s="8"/>
      <c r="X364" s="8"/>
      <c r="Y364" s="8"/>
      <c r="Z364" s="8"/>
      <c r="AA364" s="8"/>
      <c r="AB364" s="8"/>
      <c r="AC364" s="1912"/>
      <c r="AD364" s="1912"/>
      <c r="AE364" s="1912"/>
      <c r="AF364" s="1912"/>
    </row>
    <row r="365" spans="1:57" ht="12.75" customHeight="1">
      <c r="E365" s="8" t="s">
        <v>69</v>
      </c>
      <c r="F365" s="8"/>
      <c r="G365" s="8"/>
      <c r="H365" s="8"/>
      <c r="I365" s="8"/>
      <c r="J365" s="8"/>
      <c r="K365" s="8"/>
      <c r="L365" s="8"/>
      <c r="N365" s="1912"/>
      <c r="O365" s="1912"/>
      <c r="P365" s="1912"/>
      <c r="Q365" s="1912"/>
      <c r="R365" s="8"/>
      <c r="V365" s="8"/>
      <c r="W365" s="8"/>
      <c r="X365" s="8"/>
      <c r="Y365" s="8"/>
      <c r="Z365" s="8"/>
      <c r="AA365" s="8"/>
      <c r="AB365" s="8"/>
    </row>
    <row r="366" spans="1:57" ht="13.2">
      <c r="E366" s="8" t="s">
        <v>70</v>
      </c>
      <c r="F366" s="8"/>
      <c r="G366" s="8"/>
      <c r="H366" s="8"/>
      <c r="I366" s="8"/>
      <c r="J366" s="8"/>
      <c r="K366" s="8"/>
      <c r="L366" s="8"/>
      <c r="N366" s="2135"/>
      <c r="O366" s="2135"/>
      <c r="P366" s="2135"/>
      <c r="Q366" s="2135"/>
      <c r="R366" s="2135"/>
      <c r="S366" s="2135"/>
      <c r="T366" s="2135"/>
      <c r="U366" s="2135"/>
      <c r="V366" s="2135"/>
      <c r="W366" s="2135"/>
      <c r="X366" s="2135"/>
      <c r="Y366" s="2135"/>
      <c r="Z366" s="2135"/>
      <c r="AA366" s="2135"/>
      <c r="AB366" s="2135"/>
      <c r="AC366" s="2135"/>
      <c r="AD366" s="2135"/>
      <c r="AE366" s="2135"/>
      <c r="AF366" s="2135"/>
    </row>
    <row r="367" spans="1:57" ht="13.2">
      <c r="E367" s="8"/>
      <c r="F367" s="8"/>
      <c r="G367" s="8"/>
      <c r="H367" s="8"/>
      <c r="I367" s="8"/>
      <c r="J367" s="8"/>
      <c r="K367" s="8"/>
      <c r="L367" s="8"/>
      <c r="N367" s="2136"/>
      <c r="O367" s="2136"/>
      <c r="P367" s="2136"/>
      <c r="Q367" s="2136"/>
      <c r="R367" s="2136"/>
      <c r="S367" s="2136"/>
      <c r="T367" s="2136"/>
      <c r="U367" s="2136"/>
      <c r="V367" s="2136"/>
      <c r="W367" s="2136"/>
      <c r="X367" s="2136"/>
      <c r="Y367" s="2136"/>
      <c r="Z367" s="2136"/>
      <c r="AA367" s="2136"/>
      <c r="AB367" s="2136"/>
      <c r="AC367" s="2136"/>
      <c r="AD367" s="2136"/>
      <c r="AE367" s="2136"/>
      <c r="AF367" s="2136"/>
    </row>
    <row r="368" spans="1:57" ht="13.2">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9" t="s">
        <v>256</v>
      </c>
      <c r="O370" s="579"/>
      <c r="P370" s="759"/>
      <c r="Q370" s="759" t="s">
        <v>257</v>
      </c>
      <c r="R370" s="579"/>
      <c r="S370" s="1881">
        <v>97</v>
      </c>
      <c r="T370" s="1881"/>
      <c r="U370" s="758" t="s">
        <v>258</v>
      </c>
      <c r="V370" s="1881">
        <v>954</v>
      </c>
      <c r="W370" s="1881"/>
      <c r="X370" s="579"/>
      <c r="Y370" s="759" t="s">
        <v>256</v>
      </c>
      <c r="Z370" s="579"/>
      <c r="AA370" s="759"/>
      <c r="AB370" s="759" t="s">
        <v>257</v>
      </c>
      <c r="AC370" s="579"/>
      <c r="AD370" s="1880" t="s">
        <v>2348</v>
      </c>
      <c r="AE370" s="1881"/>
      <c r="AF370" s="758" t="s">
        <v>258</v>
      </c>
      <c r="AG370" s="1880" t="s">
        <v>2348</v>
      </c>
      <c r="AH370" s="1881"/>
    </row>
    <row r="371" spans="1:36" ht="12.75" customHeight="1">
      <c r="D371" s="579"/>
      <c r="E371" s="578" t="s">
        <v>1336</v>
      </c>
      <c r="F371" s="578"/>
      <c r="G371" s="578"/>
      <c r="H371" s="578"/>
      <c r="I371" s="578"/>
      <c r="J371" s="578"/>
      <c r="K371" s="578"/>
      <c r="L371" s="578"/>
      <c r="M371" s="579"/>
      <c r="N371" s="1881">
        <v>1998</v>
      </c>
      <c r="O371" s="1881"/>
      <c r="P371" s="1881"/>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57" t="s">
        <v>119</v>
      </c>
      <c r="AH372" s="2057"/>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57" t="s">
        <v>528</v>
      </c>
      <c r="AH373" s="2057"/>
    </row>
    <row r="374" spans="1:36" ht="12.75" customHeight="1">
      <c r="D374" s="579"/>
      <c r="E374" s="578"/>
      <c r="F374" s="578"/>
      <c r="G374" s="789" t="s">
        <v>1388</v>
      </c>
      <c r="H374" s="578"/>
      <c r="I374" s="578"/>
      <c r="J374" s="578"/>
      <c r="K374" s="578"/>
      <c r="L374" s="578"/>
      <c r="M374" s="579"/>
      <c r="N374" s="579"/>
      <c r="O374" s="579"/>
      <c r="P374" s="579"/>
      <c r="Q374" s="579"/>
      <c r="R374" s="579"/>
      <c r="S374" s="579"/>
      <c r="T374" s="579"/>
      <c r="U374" s="579"/>
      <c r="V374" s="2057" t="s">
        <v>135</v>
      </c>
      <c r="W374" s="2057"/>
      <c r="X374" s="579"/>
      <c r="Y374" s="723"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2057" t="s">
        <v>119</v>
      </c>
      <c r="W375" s="2057"/>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824" t="s">
        <v>2394</v>
      </c>
      <c r="K378" s="1824"/>
      <c r="L378" s="1824"/>
      <c r="M378" s="1824"/>
      <c r="N378" s="1824"/>
      <c r="O378" s="1824"/>
      <c r="P378" s="1824"/>
      <c r="Q378" s="1824"/>
      <c r="R378" s="1824"/>
      <c r="S378" s="1824"/>
      <c r="T378" s="1824"/>
      <c r="U378" s="1824"/>
      <c r="V378" s="18" t="s">
        <v>772</v>
      </c>
      <c r="W378" s="18"/>
      <c r="X378" s="18"/>
      <c r="Y378" s="18"/>
      <c r="Z378" s="18"/>
      <c r="AA378" s="18"/>
      <c r="AB378" s="18"/>
      <c r="AC378" s="1852" t="s">
        <v>2395</v>
      </c>
      <c r="AD378" s="1824"/>
      <c r="AE378" s="1824"/>
      <c r="AF378" s="1824"/>
      <c r="AG378" s="1824"/>
      <c r="AH378" s="1824"/>
      <c r="AI378" s="1824"/>
      <c r="AJ378" s="1824"/>
    </row>
    <row r="379" spans="1:36" ht="12.75" customHeight="1">
      <c r="D379" s="72" t="s">
        <v>2175</v>
      </c>
      <c r="J379" s="1833" t="s">
        <v>2395</v>
      </c>
      <c r="K379" s="1825"/>
      <c r="L379" s="1825"/>
      <c r="M379" s="1825"/>
      <c r="N379" s="1825"/>
      <c r="O379" s="1825"/>
      <c r="P379" s="1825"/>
      <c r="Q379" s="1825"/>
      <c r="R379" s="1825"/>
      <c r="S379" s="1825"/>
      <c r="T379" s="1825"/>
      <c r="U379" s="1825"/>
      <c r="V379" s="72" t="s">
        <v>2175</v>
      </c>
      <c r="W379" s="18"/>
      <c r="X379" s="18"/>
      <c r="Y379" s="18"/>
      <c r="Z379" s="18"/>
      <c r="AA379" s="18"/>
      <c r="AB379" s="18"/>
      <c r="AC379" s="1852" t="s">
        <v>2395</v>
      </c>
      <c r="AD379" s="1824"/>
      <c r="AE379" s="1824"/>
      <c r="AF379" s="1824"/>
      <c r="AG379" s="1824"/>
      <c r="AH379" s="1824"/>
      <c r="AI379" s="1824"/>
      <c r="AJ379" s="1824"/>
    </row>
    <row r="380" spans="1:36" ht="12.75" customHeight="1">
      <c r="D380" s="72" t="s">
        <v>600</v>
      </c>
      <c r="J380" s="1833" t="s">
        <v>2396</v>
      </c>
      <c r="K380" s="1825"/>
      <c r="L380" s="1825"/>
      <c r="M380" s="1825"/>
      <c r="N380" s="1825"/>
      <c r="O380" s="1825"/>
      <c r="P380" s="1825"/>
      <c r="Q380" s="1825"/>
      <c r="R380" s="1825"/>
      <c r="S380" s="1825"/>
      <c r="T380" s="1825"/>
      <c r="U380" s="1825"/>
      <c r="V380" s="72" t="s">
        <v>600</v>
      </c>
      <c r="W380" s="18"/>
      <c r="X380" s="18"/>
      <c r="Y380" s="18"/>
      <c r="Z380" s="18"/>
      <c r="AA380" s="18"/>
      <c r="AB380" s="18"/>
      <c r="AC380" s="1852" t="s">
        <v>2396</v>
      </c>
      <c r="AD380" s="1824"/>
      <c r="AE380" s="1824"/>
      <c r="AF380" s="1824"/>
      <c r="AG380" s="1824"/>
      <c r="AH380" s="1824"/>
      <c r="AI380" s="1824"/>
      <c r="AJ380" s="1824"/>
    </row>
    <row r="381" spans="1:36" ht="12.75" customHeight="1">
      <c r="D381" s="727" t="s">
        <v>2176</v>
      </c>
      <c r="I381" s="102"/>
      <c r="J381" s="1953" t="s">
        <v>2365</v>
      </c>
      <c r="K381" s="1746"/>
      <c r="L381" s="1746"/>
      <c r="M381" s="1746"/>
      <c r="N381" s="1746"/>
      <c r="O381" s="1746"/>
      <c r="P381" s="1746"/>
      <c r="Q381" s="1746"/>
      <c r="R381" s="1746"/>
      <c r="S381" s="1746"/>
      <c r="T381" s="1746"/>
      <c r="U381" s="1746"/>
      <c r="V381" s="1852" t="s">
        <v>2397</v>
      </c>
      <c r="W381" s="1824"/>
      <c r="X381" s="1824"/>
      <c r="Y381" s="1824"/>
      <c r="Z381" s="1824"/>
      <c r="AA381" s="1824"/>
      <c r="AB381" s="1824"/>
      <c r="AC381" s="1824"/>
      <c r="AD381" s="1824"/>
      <c r="AE381" s="1824"/>
      <c r="AF381" s="1824"/>
      <c r="AG381" s="1824"/>
      <c r="AH381" s="1824"/>
      <c r="AI381" s="1824"/>
      <c r="AJ381" s="1824"/>
    </row>
    <row r="382" spans="1:36" ht="12.75" customHeight="1">
      <c r="D382" s="16" t="s">
        <v>611</v>
      </c>
      <c r="Q382" s="2028">
        <v>44508</v>
      </c>
      <c r="R382" s="2028"/>
      <c r="S382" s="2028"/>
      <c r="T382" s="2028"/>
      <c r="U382" s="2028"/>
      <c r="V382" s="16" t="s">
        <v>184</v>
      </c>
      <c r="AI382" s="1826" t="s">
        <v>528</v>
      </c>
      <c r="AJ382" s="1826"/>
    </row>
    <row r="383" spans="1:36" ht="12.75" customHeight="1">
      <c r="D383" s="16" t="s">
        <v>612</v>
      </c>
      <c r="Q383" s="2028" t="s">
        <v>2348</v>
      </c>
      <c r="R383" s="1749"/>
      <c r="S383" s="1749"/>
      <c r="T383" s="1749"/>
      <c r="U383" s="1749"/>
      <c r="W383" s="43" t="s">
        <v>20</v>
      </c>
      <c r="AG383" s="1918">
        <v>0</v>
      </c>
      <c r="AH383" s="1918"/>
      <c r="AI383" s="1918"/>
      <c r="AJ383" s="1918"/>
    </row>
    <row r="384" spans="1:36" ht="12.75" customHeight="1">
      <c r="D384" s="16" t="s">
        <v>301</v>
      </c>
      <c r="Q384" s="1764">
        <v>5326572</v>
      </c>
      <c r="R384" s="1764"/>
      <c r="S384" s="1764"/>
      <c r="T384" s="1764"/>
      <c r="U384" s="1764"/>
      <c r="V384" s="72" t="s">
        <v>2177</v>
      </c>
      <c r="AG384" s="2166">
        <v>44986</v>
      </c>
      <c r="AH384" s="2166"/>
      <c r="AI384" s="2166"/>
      <c r="AJ384" s="2166"/>
    </row>
    <row r="385" spans="4:36" ht="12.75" customHeight="1">
      <c r="D385" s="16" t="s">
        <v>416</v>
      </c>
      <c r="I385" s="1916">
        <v>8586792828</v>
      </c>
      <c r="J385" s="1916"/>
      <c r="K385" s="1916"/>
      <c r="L385" s="1916"/>
      <c r="M385" s="1916"/>
      <c r="N385" s="1916"/>
      <c r="Q385" s="326" t="s">
        <v>892</v>
      </c>
      <c r="S385" s="1917" t="s">
        <v>2348</v>
      </c>
      <c r="T385" s="1917"/>
      <c r="U385" s="1917"/>
      <c r="V385" s="16" t="s">
        <v>19</v>
      </c>
      <c r="AI385" s="1826" t="s">
        <v>528</v>
      </c>
      <c r="AJ385" s="1826"/>
    </row>
    <row r="386" spans="4:36" s="50" customFormat="1" ht="12.75" customHeight="1">
      <c r="D386" s="16" t="s">
        <v>185</v>
      </c>
      <c r="E386" s="16"/>
      <c r="F386" s="16"/>
      <c r="G386" s="16"/>
      <c r="H386" s="16"/>
      <c r="I386" s="16"/>
      <c r="J386" s="16"/>
      <c r="K386" s="16"/>
      <c r="L386" s="16"/>
      <c r="M386" s="16"/>
      <c r="N386" s="16"/>
      <c r="O386" s="16"/>
      <c r="P386" s="16"/>
      <c r="Q386" s="1744">
        <v>0</v>
      </c>
      <c r="R386" s="1744"/>
      <c r="S386" s="1744"/>
      <c r="T386" s="1744"/>
      <c r="U386" s="1744"/>
      <c r="V386" s="16" t="s">
        <v>186</v>
      </c>
      <c r="W386" s="16"/>
      <c r="X386" s="16"/>
      <c r="Y386" s="16"/>
      <c r="Z386" s="16"/>
      <c r="AA386" s="16"/>
      <c r="AB386" s="16"/>
      <c r="AC386" s="16"/>
      <c r="AD386" s="16"/>
      <c r="AE386" s="16"/>
      <c r="AF386" s="16"/>
      <c r="AG386" s="1918">
        <v>260191</v>
      </c>
      <c r="AH386" s="1918"/>
      <c r="AI386" s="1918"/>
      <c r="AJ386" s="1918"/>
    </row>
    <row r="387" spans="4:36" s="50" customFormat="1" ht="12.75" customHeight="1">
      <c r="D387" s="16" t="s">
        <v>29</v>
      </c>
      <c r="E387" s="16"/>
      <c r="F387" s="16"/>
      <c r="G387" s="16"/>
      <c r="H387" s="16"/>
      <c r="I387" s="16"/>
      <c r="J387" s="16"/>
      <c r="K387" s="16"/>
      <c r="L387" s="16"/>
      <c r="M387" s="16"/>
      <c r="N387" s="16"/>
      <c r="O387" s="16"/>
      <c r="P387" s="16"/>
      <c r="Q387" s="1919">
        <v>1.6E-2</v>
      </c>
      <c r="R387" s="1919"/>
      <c r="S387" s="1919"/>
      <c r="T387" s="1919"/>
      <c r="U387" s="1919"/>
      <c r="V387" s="16" t="s">
        <v>1841</v>
      </c>
      <c r="W387" s="16"/>
      <c r="X387" s="16"/>
      <c r="Y387" s="16"/>
      <c r="Z387" s="16"/>
      <c r="AA387" s="16"/>
      <c r="AB387" s="16"/>
      <c r="AC387" s="16"/>
      <c r="AD387" s="16"/>
      <c r="AE387" s="16"/>
      <c r="AF387" s="16"/>
      <c r="AG387" s="1918">
        <v>0</v>
      </c>
      <c r="AH387" s="1918"/>
      <c r="AI387" s="1918"/>
      <c r="AJ387" s="1918"/>
    </row>
    <row r="388" spans="4:36" s="50" customFormat="1" ht="12.75" customHeight="1">
      <c r="D388" s="16" t="s">
        <v>2178</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18">
        <f>AG387</f>
        <v>0</v>
      </c>
      <c r="AH388" s="1918"/>
      <c r="AI388" s="1918"/>
      <c r="AJ388" s="191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2179</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826" t="s">
        <v>528</v>
      </c>
      <c r="AJ390" s="1826"/>
    </row>
    <row r="391" spans="4:36" s="50" customFormat="1" ht="12.75" customHeight="1">
      <c r="D391" s="72" t="s">
        <v>2180</v>
      </c>
      <c r="E391" s="16"/>
      <c r="F391" s="16"/>
      <c r="G391" s="16"/>
      <c r="H391" s="16"/>
      <c r="I391" s="16"/>
      <c r="J391" s="16"/>
      <c r="K391" s="16"/>
      <c r="L391" s="16"/>
      <c r="M391" s="16"/>
      <c r="N391" s="16"/>
      <c r="O391" s="16"/>
      <c r="P391" s="16"/>
      <c r="Q391" s="16"/>
      <c r="R391" s="16"/>
      <c r="S391" s="16"/>
      <c r="T391" s="1882" t="s">
        <v>2339</v>
      </c>
      <c r="U391" s="1883"/>
      <c r="V391" s="1883"/>
      <c r="W391" s="1883"/>
      <c r="X391" s="1883"/>
      <c r="Y391" s="1883"/>
      <c r="Z391" s="1883"/>
      <c r="AA391" s="1883"/>
      <c r="AB391" s="1883"/>
      <c r="AC391" s="1883"/>
      <c r="AD391" s="1883"/>
      <c r="AE391" s="1883"/>
      <c r="AF391" s="1883"/>
      <c r="AG391" s="1883"/>
      <c r="AH391" s="1883"/>
      <c r="AI391" s="1883"/>
      <c r="AJ391" s="1883"/>
    </row>
    <row r="392" spans="4:36" s="50" customFormat="1" ht="12.75" customHeight="1">
      <c r="D392" s="72" t="s">
        <v>2181</v>
      </c>
      <c r="E392" s="16"/>
      <c r="F392" s="16"/>
      <c r="G392" s="16"/>
      <c r="H392" s="16"/>
      <c r="I392" s="16"/>
      <c r="J392" s="16"/>
      <c r="K392" s="16"/>
      <c r="L392" s="16"/>
      <c r="M392" s="16"/>
      <c r="N392" s="16"/>
      <c r="O392" s="16"/>
      <c r="P392" s="16"/>
      <c r="Q392" s="16"/>
      <c r="R392" s="16"/>
      <c r="S392" s="16"/>
      <c r="T392" s="1882" t="s">
        <v>2348</v>
      </c>
      <c r="U392" s="1883"/>
      <c r="V392" s="1883"/>
      <c r="W392" s="1883"/>
      <c r="X392" s="1883"/>
      <c r="Y392" s="1883"/>
      <c r="Z392" s="1883"/>
      <c r="AA392" s="1883"/>
      <c r="AB392" s="1883"/>
      <c r="AC392" s="1883"/>
      <c r="AD392" s="1883"/>
      <c r="AE392" s="1883"/>
      <c r="AF392" s="1883"/>
      <c r="AG392" s="1883"/>
      <c r="AH392" s="1883"/>
      <c r="AI392" s="1883"/>
      <c r="AJ392" s="188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2182</v>
      </c>
      <c r="E394" s="16"/>
      <c r="F394" s="16"/>
      <c r="G394" s="16"/>
      <c r="H394" s="16"/>
      <c r="I394" s="16"/>
      <c r="J394" s="16"/>
      <c r="K394" s="16"/>
      <c r="L394" s="16"/>
      <c r="M394" s="16"/>
      <c r="N394" s="16"/>
      <c r="O394" s="16"/>
      <c r="P394" s="16"/>
      <c r="Q394" s="16"/>
      <c r="R394" s="16"/>
      <c r="S394" s="1883" t="s">
        <v>528</v>
      </c>
      <c r="T394" s="1883"/>
      <c r="U394" s="1883"/>
      <c r="V394" s="727" t="s">
        <v>2183</v>
      </c>
      <c r="W394" s="16"/>
      <c r="X394" s="16"/>
      <c r="Y394" s="16"/>
      <c r="Z394" s="16"/>
      <c r="AA394" s="16"/>
      <c r="AG394" s="1924"/>
      <c r="AH394" s="1924"/>
      <c r="AI394" s="1924"/>
      <c r="AJ394" s="1924"/>
    </row>
    <row r="395" spans="4:36" s="50" customFormat="1" ht="12.75" customHeight="1">
      <c r="D395" s="72" t="s">
        <v>2184</v>
      </c>
      <c r="E395" s="16"/>
      <c r="F395" s="16"/>
      <c r="G395" s="16"/>
      <c r="H395" s="16"/>
      <c r="I395" s="16"/>
      <c r="J395" s="16"/>
      <c r="K395" s="16"/>
      <c r="L395" s="16"/>
      <c r="M395" s="16"/>
      <c r="N395" s="16"/>
      <c r="O395" s="16"/>
      <c r="P395" s="16"/>
      <c r="Q395" s="16"/>
      <c r="R395" s="16"/>
      <c r="S395" s="1883" t="s">
        <v>135</v>
      </c>
      <c r="T395" s="1883"/>
      <c r="U395" s="1883"/>
      <c r="V395" s="727" t="s">
        <v>2185</v>
      </c>
      <c r="W395" s="16"/>
      <c r="X395" s="16"/>
      <c r="Y395" s="16"/>
      <c r="Z395" s="16"/>
      <c r="AA395" s="16"/>
      <c r="AE395" s="1925" t="s">
        <v>2348</v>
      </c>
      <c r="AF395" s="1926"/>
      <c r="AG395" s="1926"/>
      <c r="AH395" s="1926"/>
      <c r="AI395" s="1926"/>
      <c r="AJ395" s="1926"/>
    </row>
    <row r="396" spans="4:36" s="50" customFormat="1" ht="12.75" customHeight="1">
      <c r="D396" s="72" t="s">
        <v>2186</v>
      </c>
      <c r="E396" s="16"/>
      <c r="F396" s="16"/>
      <c r="G396" s="16"/>
      <c r="H396" s="16"/>
      <c r="I396" s="16"/>
      <c r="J396" s="16"/>
      <c r="K396" s="2027" t="s">
        <v>2348</v>
      </c>
      <c r="L396" s="2027"/>
      <c r="M396" s="2027"/>
      <c r="N396" s="2027"/>
      <c r="O396" s="2027"/>
      <c r="P396" s="2027"/>
      <c r="Q396" s="2027"/>
      <c r="R396" s="2027"/>
      <c r="S396" s="2027"/>
      <c r="T396" s="2027"/>
      <c r="U396" s="2027"/>
      <c r="V396" s="2027"/>
      <c r="W396" s="2027"/>
      <c r="X396" s="2027"/>
      <c r="Y396" s="2027"/>
      <c r="Z396" s="2027"/>
      <c r="AA396" s="2027"/>
      <c r="AB396" s="2027"/>
      <c r="AC396" s="2027"/>
      <c r="AD396" s="2027"/>
      <c r="AE396" s="2027"/>
      <c r="AF396" s="2027"/>
      <c r="AG396" s="2027"/>
      <c r="AH396" s="2027"/>
      <c r="AI396" s="2027"/>
      <c r="AJ396" s="2027"/>
    </row>
    <row r="397" spans="4:36" s="50" customFormat="1" ht="12.75" customHeight="1">
      <c r="D397" s="72" t="s">
        <v>2187</v>
      </c>
      <c r="E397" s="16"/>
      <c r="F397" s="16"/>
      <c r="G397" s="16"/>
      <c r="H397" s="16"/>
      <c r="I397" s="16"/>
      <c r="J397" s="16"/>
      <c r="K397" s="2027" t="s">
        <v>2348</v>
      </c>
      <c r="L397" s="2027"/>
      <c r="M397" s="2027"/>
      <c r="N397" s="2027"/>
      <c r="O397" s="2027"/>
      <c r="P397" s="2027"/>
      <c r="Q397" s="2027"/>
      <c r="R397" s="2027"/>
      <c r="S397" s="2027"/>
      <c r="T397" s="2027"/>
      <c r="U397" s="2027"/>
      <c r="V397" s="2027"/>
      <c r="W397" s="2027"/>
      <c r="X397" s="2027"/>
      <c r="Y397" s="2027"/>
      <c r="Z397" s="2027"/>
      <c r="AA397" s="2027"/>
      <c r="AB397" s="2027"/>
      <c r="AC397" s="2027"/>
      <c r="AD397" s="2027"/>
      <c r="AE397" s="2027"/>
      <c r="AF397" s="2027"/>
      <c r="AG397" s="2027"/>
      <c r="AH397" s="2027"/>
      <c r="AI397" s="2027"/>
      <c r="AJ397" s="2027"/>
    </row>
    <row r="398" spans="4:36" s="50" customFormat="1" ht="12.75" customHeight="1">
      <c r="D398" s="327" t="s">
        <v>2188</v>
      </c>
      <c r="E398" s="1344"/>
      <c r="F398" s="1344"/>
      <c r="G398" s="1344"/>
      <c r="H398" s="1344"/>
      <c r="I398" s="1344"/>
      <c r="J398" s="1344"/>
      <c r="K398" s="1344"/>
      <c r="L398" s="1344"/>
      <c r="M398" s="1344"/>
      <c r="N398" s="1344"/>
      <c r="O398" s="1344"/>
      <c r="P398" s="1344"/>
      <c r="Q398" s="1344"/>
      <c r="R398" s="1344"/>
      <c r="S398" s="2029" t="s">
        <v>2442</v>
      </c>
      <c r="T398" s="2029"/>
      <c r="U398" s="2029"/>
      <c r="V398" s="2029"/>
      <c r="W398" s="2029"/>
      <c r="X398" s="2029"/>
      <c r="Y398" s="2029"/>
      <c r="Z398" s="2029"/>
      <c r="AA398" s="2029"/>
      <c r="AB398" s="2029"/>
      <c r="AC398" s="2029"/>
      <c r="AD398" s="2029"/>
      <c r="AE398" s="2029"/>
      <c r="AF398" s="2029"/>
      <c r="AG398" s="2029"/>
      <c r="AH398" s="2029"/>
      <c r="AI398" s="2029"/>
      <c r="AJ398" s="2029"/>
    </row>
    <row r="399" spans="4:36" s="50" customFormat="1" ht="12.75" customHeight="1">
      <c r="D399" s="1546" t="s">
        <v>2190</v>
      </c>
      <c r="E399" s="1546"/>
      <c r="F399" s="1546"/>
      <c r="G399" s="1546"/>
      <c r="H399" s="1546"/>
      <c r="I399" s="1546"/>
      <c r="J399" s="1546"/>
      <c r="K399" s="1546"/>
      <c r="L399" s="1546"/>
      <c r="M399" s="1546"/>
      <c r="N399" s="1546"/>
      <c r="O399" s="1546"/>
      <c r="P399" s="1546"/>
      <c r="Q399" s="1546"/>
      <c r="R399" s="1546"/>
      <c r="S399" s="1546"/>
      <c r="T399" s="1546"/>
      <c r="U399" s="1546"/>
      <c r="V399" s="1546"/>
      <c r="W399" s="1546"/>
      <c r="X399" s="1546"/>
      <c r="Y399" s="1546"/>
      <c r="Z399" s="1546"/>
      <c r="AA399" s="1546"/>
      <c r="AB399" s="1546"/>
      <c r="AC399" s="1546"/>
      <c r="AD399" s="1546"/>
      <c r="AE399" s="1546"/>
      <c r="AF399" s="1546"/>
      <c r="AG399" s="1546"/>
      <c r="AH399" s="1546"/>
      <c r="AI399" s="1546"/>
      <c r="AJ399" s="1546"/>
    </row>
    <row r="400" spans="4:36" s="50" customFormat="1" ht="12.75" customHeight="1">
      <c r="D400" s="1546"/>
      <c r="E400" s="1546"/>
      <c r="F400" s="1546"/>
      <c r="G400" s="1546"/>
      <c r="H400" s="1546"/>
      <c r="I400" s="1546"/>
      <c r="J400" s="1546"/>
      <c r="K400" s="1546"/>
      <c r="L400" s="1546"/>
      <c r="M400" s="1546"/>
      <c r="N400" s="1546"/>
      <c r="O400" s="1546"/>
      <c r="P400" s="1546"/>
      <c r="Q400" s="1546"/>
      <c r="R400" s="1546"/>
      <c r="S400" s="1546"/>
      <c r="T400" s="1546"/>
      <c r="U400" s="1546"/>
      <c r="V400" s="1546"/>
      <c r="W400" s="1546"/>
      <c r="X400" s="1546"/>
      <c r="Y400" s="1546"/>
      <c r="Z400" s="1546"/>
      <c r="AA400" s="1546"/>
      <c r="AB400" s="1546"/>
      <c r="AC400" s="1546"/>
      <c r="AD400" s="1546"/>
      <c r="AE400" s="1546"/>
      <c r="AF400" s="1546"/>
      <c r="AG400" s="1546"/>
      <c r="AH400" s="1546"/>
      <c r="AI400" s="1546"/>
      <c r="AJ400" s="1546"/>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1899</v>
      </c>
      <c r="I403" s="1852" t="s">
        <v>2443</v>
      </c>
      <c r="J403" s="1852"/>
      <c r="K403" s="1852"/>
      <c r="L403" s="1852"/>
      <c r="M403" s="1852"/>
      <c r="N403" s="1852"/>
      <c r="O403" s="1852"/>
      <c r="P403" s="1852"/>
      <c r="Q403" s="1852"/>
      <c r="R403" s="1852"/>
      <c r="S403" s="1852"/>
      <c r="T403" s="1852"/>
      <c r="U403" s="1852"/>
      <c r="V403" s="1852"/>
      <c r="W403" s="1852"/>
      <c r="X403" s="1852"/>
      <c r="Y403" s="1852"/>
      <c r="Z403" s="1852"/>
      <c r="AA403" s="1852"/>
      <c r="AB403" s="1852"/>
      <c r="AC403" s="1852"/>
      <c r="AD403" s="1852"/>
    </row>
    <row r="404" spans="1:36" ht="12.75" customHeight="1">
      <c r="C404" s="35"/>
      <c r="E404" s="16" t="s">
        <v>930</v>
      </c>
      <c r="R404" s="1826" t="s">
        <v>135</v>
      </c>
      <c r="S404" s="1826"/>
      <c r="T404" s="16" t="s">
        <v>318</v>
      </c>
      <c r="AD404" s="1912">
        <v>0</v>
      </c>
      <c r="AE404" s="1912"/>
    </row>
    <row r="405" spans="1:36" ht="12.75" customHeight="1">
      <c r="C405" s="35"/>
      <c r="E405" s="16" t="s">
        <v>931</v>
      </c>
      <c r="R405" s="1826" t="s">
        <v>119</v>
      </c>
      <c r="S405" s="1826"/>
      <c r="T405" s="16" t="s">
        <v>318</v>
      </c>
      <c r="AD405" s="1912">
        <v>3</v>
      </c>
      <c r="AE405" s="1912"/>
    </row>
    <row r="406" spans="1:36" ht="12.75" customHeight="1">
      <c r="E406" s="16" t="s">
        <v>932</v>
      </c>
      <c r="S406" s="1826" t="s">
        <v>135</v>
      </c>
      <c r="T406" s="1826"/>
    </row>
    <row r="407" spans="1:36" ht="12.75" customHeight="1">
      <c r="E407" s="16" t="s">
        <v>310</v>
      </c>
      <c r="H407" s="2069" t="s">
        <v>2398</v>
      </c>
      <c r="I407" s="2069"/>
      <c r="J407" s="2069"/>
      <c r="K407" s="2069"/>
      <c r="L407" s="2069"/>
      <c r="M407" s="2069"/>
      <c r="N407" s="2069"/>
      <c r="O407" s="2069"/>
      <c r="P407" s="2069"/>
      <c r="Q407" s="2069"/>
      <c r="R407" s="2069"/>
      <c r="S407" s="2069"/>
      <c r="T407" s="2069"/>
      <c r="U407" s="2069"/>
      <c r="V407" s="2069"/>
      <c r="W407" s="2069"/>
      <c r="X407" s="2069"/>
      <c r="Y407" s="2069"/>
      <c r="Z407" s="2069"/>
      <c r="AA407" s="2069"/>
      <c r="AB407" s="2069"/>
      <c r="AC407" s="2069"/>
      <c r="AD407" s="2069"/>
      <c r="AE407" s="2069"/>
      <c r="AF407" s="2069"/>
      <c r="AG407" s="2069"/>
      <c r="AH407" s="2069"/>
      <c r="AI407" s="2069"/>
      <c r="AJ407" s="2069"/>
    </row>
    <row r="408" spans="1:36" ht="12.75" customHeight="1">
      <c r="H408" s="2070"/>
      <c r="I408" s="2070"/>
      <c r="J408" s="2070"/>
      <c r="K408" s="2070"/>
      <c r="L408" s="2070"/>
      <c r="M408" s="2070"/>
      <c r="N408" s="2070"/>
      <c r="O408" s="2070"/>
      <c r="P408" s="2070"/>
      <c r="Q408" s="2070"/>
      <c r="R408" s="2070"/>
      <c r="S408" s="2070"/>
      <c r="T408" s="2070"/>
      <c r="U408" s="2070"/>
      <c r="V408" s="2070"/>
      <c r="W408" s="2070"/>
      <c r="X408" s="2070"/>
      <c r="Y408" s="2070"/>
      <c r="Z408" s="2070"/>
      <c r="AA408" s="2070"/>
      <c r="AB408" s="2070"/>
      <c r="AC408" s="2070"/>
      <c r="AD408" s="2070"/>
      <c r="AE408" s="2070"/>
      <c r="AF408" s="2070"/>
      <c r="AG408" s="2070"/>
      <c r="AH408" s="2070"/>
      <c r="AI408" s="2070"/>
      <c r="AJ408" s="2070"/>
    </row>
    <row r="409" spans="1:36" ht="12.75" customHeight="1"/>
    <row r="410" spans="1:36" ht="12.75" customHeight="1">
      <c r="A410" s="63" t="s">
        <v>134</v>
      </c>
      <c r="B410" s="63"/>
      <c r="C410" s="63"/>
      <c r="D410" s="63" t="s">
        <v>985</v>
      </c>
      <c r="AE410" s="8"/>
      <c r="AF410" s="63" t="s">
        <v>1313</v>
      </c>
    </row>
    <row r="411" spans="1:36" ht="12.75" customHeight="1">
      <c r="E411" s="1891"/>
      <c r="F411" s="1891"/>
      <c r="G411" s="1891"/>
      <c r="H411" s="33" t="s">
        <v>986</v>
      </c>
      <c r="I411" s="1891"/>
      <c r="J411" s="1891"/>
      <c r="K411" s="1891"/>
      <c r="L411" s="16" t="s">
        <v>987</v>
      </c>
      <c r="N411" s="240" t="s">
        <v>925</v>
      </c>
      <c r="P411" s="2061">
        <v>3.5329999999999999</v>
      </c>
      <c r="Q411" s="2061"/>
      <c r="R411" s="2061"/>
      <c r="S411" s="16" t="s">
        <v>988</v>
      </c>
      <c r="W411" s="2068">
        <f>IF(E411&gt;0,(E411*I411),(P411*43560))</f>
        <v>153897.48000000001</v>
      </c>
      <c r="X411" s="2068"/>
      <c r="Y411" s="2068"/>
      <c r="Z411" s="16" t="s">
        <v>989</v>
      </c>
      <c r="AF411" s="1892">
        <f>IF(P411&gt;0,(AG430/P411),(AG430/(W411/43560)))</f>
        <v>27.172374752335127</v>
      </c>
      <c r="AG411" s="1892"/>
      <c r="AH411" s="1892"/>
    </row>
    <row r="412" spans="1:36" ht="12.75" customHeight="1">
      <c r="E412" s="16" t="s">
        <v>223</v>
      </c>
    </row>
    <row r="413" spans="1:36" ht="12.75" customHeight="1">
      <c r="E413" s="2066"/>
      <c r="F413" s="2066"/>
      <c r="G413" s="2066"/>
      <c r="H413" s="2066"/>
      <c r="I413" s="2066"/>
      <c r="J413" s="2066"/>
      <c r="K413" s="2066"/>
      <c r="L413" s="2066"/>
      <c r="M413" s="2066"/>
      <c r="N413" s="2066"/>
      <c r="O413" s="2066"/>
      <c r="P413" s="2066"/>
      <c r="Q413" s="2066"/>
      <c r="R413" s="2066"/>
      <c r="S413" s="2066"/>
      <c r="T413" s="2066"/>
      <c r="U413" s="2066"/>
      <c r="V413" s="2066"/>
      <c r="W413" s="2066"/>
      <c r="X413" s="2066"/>
      <c r="Y413" s="2066"/>
      <c r="Z413" s="2066"/>
      <c r="AA413" s="2066"/>
      <c r="AB413" s="2066"/>
      <c r="AC413" s="2066"/>
      <c r="AD413" s="2066"/>
      <c r="AE413" s="2066"/>
      <c r="AF413" s="2066"/>
      <c r="AG413" s="2066"/>
      <c r="AH413" s="2066"/>
      <c r="AI413" s="2066"/>
      <c r="AJ413" s="2066"/>
    </row>
    <row r="414" spans="1:36" s="50" customFormat="1" ht="12.75" customHeight="1">
      <c r="E414" s="412" t="s">
        <v>2191</v>
      </c>
      <c r="F414" s="59"/>
      <c r="G414" s="59"/>
      <c r="H414" s="59"/>
      <c r="I414" s="1911">
        <v>3.1739999999999999</v>
      </c>
      <c r="J414" s="1911"/>
      <c r="K414" s="1911"/>
      <c r="L414" s="59"/>
      <c r="M414" s="412"/>
      <c r="N414" s="59"/>
      <c r="O414" s="59"/>
      <c r="P414" s="1890">
        <f>(CQ629+CS634+CQ648)/I414</f>
        <v>52.930056710775048</v>
      </c>
      <c r="Q414" s="1890"/>
      <c r="R414" s="1890"/>
      <c r="S414" s="412" t="s">
        <v>2192</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497</v>
      </c>
      <c r="P417" s="1826">
        <v>5</v>
      </c>
      <c r="Q417" s="1826"/>
      <c r="S417" s="16" t="s">
        <v>148</v>
      </c>
      <c r="AE417" s="1826">
        <v>4</v>
      </c>
      <c r="AF417" s="1826"/>
    </row>
    <row r="418" spans="1:36" ht="12.75" customHeight="1">
      <c r="E418" s="16" t="s">
        <v>149</v>
      </c>
      <c r="P418" s="1826">
        <v>1</v>
      </c>
      <c r="Q418" s="1826"/>
      <c r="S418" s="16" t="s">
        <v>788</v>
      </c>
      <c r="AE418" s="1826" t="s">
        <v>135</v>
      </c>
      <c r="AF418" s="1826"/>
    </row>
    <row r="419" spans="1:36" ht="13.2">
      <c r="F419" s="81" t="s">
        <v>246</v>
      </c>
    </row>
    <row r="420" spans="1:36" ht="13.2">
      <c r="F420" s="1948"/>
      <c r="G420" s="1948"/>
      <c r="H420" s="1948"/>
      <c r="I420" s="1948"/>
      <c r="J420" s="1948"/>
      <c r="K420" s="1948"/>
      <c r="L420" s="1948"/>
      <c r="M420" s="1948"/>
      <c r="N420" s="1948"/>
      <c r="O420" s="1948"/>
      <c r="P420" s="1948"/>
      <c r="Q420" s="1948"/>
      <c r="R420" s="1948"/>
      <c r="S420" s="1948"/>
      <c r="T420" s="1948"/>
      <c r="U420" s="1948"/>
      <c r="V420" s="1948"/>
      <c r="W420" s="1948"/>
      <c r="X420" s="1948"/>
      <c r="Y420" s="1948"/>
      <c r="Z420" s="1948"/>
      <c r="AA420" s="1948"/>
      <c r="AB420" s="1948"/>
      <c r="AC420" s="1948"/>
      <c r="AD420" s="1948"/>
      <c r="AE420" s="1948"/>
      <c r="AF420" s="1948"/>
      <c r="AG420" s="1948"/>
      <c r="AH420" s="1948"/>
    </row>
    <row r="421" spans="1:36" ht="13.2">
      <c r="F421" s="1949"/>
      <c r="G421" s="1949"/>
      <c r="H421" s="1949"/>
      <c r="I421" s="1949"/>
      <c r="J421" s="1949"/>
      <c r="K421" s="1949"/>
      <c r="L421" s="1949"/>
      <c r="M421" s="1949"/>
      <c r="N421" s="1949"/>
      <c r="O421" s="1949"/>
      <c r="P421" s="1949"/>
      <c r="Q421" s="1949"/>
      <c r="R421" s="1949"/>
      <c r="S421" s="1949"/>
      <c r="T421" s="1949"/>
      <c r="U421" s="1949"/>
      <c r="V421" s="1949"/>
      <c r="W421" s="1949"/>
      <c r="X421" s="1949"/>
      <c r="Y421" s="1949"/>
      <c r="Z421" s="1949"/>
      <c r="AA421" s="1949"/>
      <c r="AB421" s="1949"/>
      <c r="AC421" s="1949"/>
      <c r="AD421" s="1949"/>
      <c r="AE421" s="1949"/>
      <c r="AF421" s="1949"/>
      <c r="AG421" s="1949"/>
      <c r="AH421" s="1949"/>
    </row>
    <row r="422" spans="1:36" ht="13.2">
      <c r="E422" s="16" t="s">
        <v>934</v>
      </c>
      <c r="N422" s="50"/>
      <c r="O422" s="50"/>
      <c r="P422" s="390"/>
      <c r="Q422" s="1826" t="s">
        <v>119</v>
      </c>
      <c r="R422" s="1826"/>
      <c r="S422" s="50"/>
      <c r="T422" s="50"/>
      <c r="U422" s="50"/>
      <c r="V422" s="50"/>
      <c r="W422" s="50"/>
      <c r="X422" s="50"/>
      <c r="Y422" s="50"/>
      <c r="Z422" s="50"/>
      <c r="AA422" s="50"/>
      <c r="AB422" s="50"/>
      <c r="AC422" s="50"/>
      <c r="AD422" s="50"/>
      <c r="AE422" s="390"/>
      <c r="AF422" s="390"/>
    </row>
    <row r="423" spans="1:36" ht="13.2">
      <c r="F423" s="16" t="s">
        <v>935</v>
      </c>
      <c r="N423" s="50"/>
      <c r="O423" s="50"/>
      <c r="P423" s="390"/>
      <c r="Q423" s="390"/>
      <c r="R423" s="50"/>
      <c r="S423" s="50"/>
      <c r="T423" s="50"/>
      <c r="U423" s="50"/>
      <c r="V423" s="50"/>
      <c r="W423" s="50"/>
      <c r="X423" s="50"/>
      <c r="Y423" s="50"/>
      <c r="Z423" s="50"/>
      <c r="AA423" s="50"/>
      <c r="AB423" s="50"/>
      <c r="AC423" s="50"/>
      <c r="AD423" s="50"/>
      <c r="AE423" s="1826" t="s">
        <v>135</v>
      </c>
      <c r="AF423" s="2067"/>
    </row>
    <row r="424" spans="1:36" ht="13.2">
      <c r="S424" s="35"/>
      <c r="T424" s="35"/>
    </row>
    <row r="425" spans="1:36" ht="12.75" customHeight="1">
      <c r="A425" s="63"/>
      <c r="B425" s="63"/>
      <c r="C425" s="63"/>
      <c r="E425" s="8" t="s">
        <v>87</v>
      </c>
      <c r="Z425" s="1826" t="s">
        <v>528</v>
      </c>
      <c r="AA425" s="182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826" t="s">
        <v>528</v>
      </c>
      <c r="AA427" s="1826"/>
    </row>
    <row r="428" spans="1:36" ht="12.75" customHeight="1">
      <c r="AG428" s="16">
        <v>0</v>
      </c>
    </row>
    <row r="429" spans="1:36" ht="12.75" customHeight="1">
      <c r="A429" s="63" t="s">
        <v>408</v>
      </c>
      <c r="B429" s="63"/>
      <c r="C429" s="63"/>
      <c r="D429" s="63" t="s">
        <v>188</v>
      </c>
      <c r="AF429" s="94"/>
    </row>
    <row r="430" spans="1:36" ht="12.75" customHeight="1">
      <c r="D430" s="1780" t="s">
        <v>397</v>
      </c>
      <c r="E430" s="1781"/>
      <c r="F430" s="1781"/>
      <c r="G430" s="1781"/>
      <c r="H430" s="1781"/>
      <c r="I430" s="1781"/>
      <c r="J430" s="1781"/>
      <c r="K430" s="1781"/>
      <c r="L430" s="1781"/>
      <c r="M430" s="1781"/>
      <c r="N430" s="1781"/>
      <c r="O430" s="1781"/>
      <c r="P430" s="1781"/>
      <c r="Q430" s="1781"/>
      <c r="R430" s="1781"/>
      <c r="S430" s="1781"/>
      <c r="T430" s="1781"/>
      <c r="U430" s="1781"/>
      <c r="V430" s="1781"/>
      <c r="W430" s="1781"/>
      <c r="X430" s="1781"/>
      <c r="Y430" s="1781"/>
      <c r="Z430" s="1781"/>
      <c r="AA430" s="1781"/>
      <c r="AB430" s="1781"/>
      <c r="AC430" s="1781"/>
      <c r="AD430" s="1781"/>
      <c r="AE430" s="1781"/>
      <c r="AF430" s="1943"/>
      <c r="AG430" s="1909">
        <v>96</v>
      </c>
      <c r="AH430" s="1909"/>
      <c r="AI430" s="1909"/>
      <c r="AJ430" s="1909"/>
    </row>
    <row r="431" spans="1:36" ht="12.75" customHeight="1">
      <c r="D431" s="1910" t="s">
        <v>1490</v>
      </c>
      <c r="E431" s="1885"/>
      <c r="F431" s="1885"/>
      <c r="G431" s="1885"/>
      <c r="H431" s="1885"/>
      <c r="I431" s="1885"/>
      <c r="J431" s="1885"/>
      <c r="K431" s="1885"/>
      <c r="L431" s="1885"/>
      <c r="M431" s="1885"/>
      <c r="N431" s="1885"/>
      <c r="O431" s="1885"/>
      <c r="P431" s="1885"/>
      <c r="Q431" s="1885"/>
      <c r="R431" s="1885"/>
      <c r="S431" s="1885"/>
      <c r="T431" s="1885"/>
      <c r="U431" s="1885"/>
      <c r="V431" s="1885"/>
      <c r="W431" s="1885"/>
      <c r="X431" s="1885"/>
      <c r="Y431" s="1885"/>
      <c r="Z431" s="1885"/>
      <c r="AA431" s="1885"/>
      <c r="AB431" s="1885"/>
      <c r="AC431" s="1885"/>
      <c r="AD431" s="1885"/>
      <c r="AE431" s="1885"/>
      <c r="AF431" s="1886"/>
      <c r="AG431" s="1950">
        <v>0</v>
      </c>
      <c r="AH431" s="1951"/>
      <c r="AI431" s="1951"/>
      <c r="AJ431" s="1951"/>
    </row>
    <row r="432" spans="1:36" ht="12.75" customHeight="1">
      <c r="D432" s="1910" t="s">
        <v>1491</v>
      </c>
      <c r="E432" s="1885"/>
      <c r="F432" s="1885"/>
      <c r="G432" s="1885"/>
      <c r="H432" s="1885"/>
      <c r="I432" s="1885"/>
      <c r="J432" s="1885"/>
      <c r="K432" s="1885"/>
      <c r="L432" s="1885"/>
      <c r="M432" s="1885"/>
      <c r="N432" s="1885"/>
      <c r="O432" s="1885"/>
      <c r="P432" s="1885"/>
      <c r="Q432" s="1885"/>
      <c r="R432" s="1885"/>
      <c r="S432" s="1885"/>
      <c r="T432" s="1885"/>
      <c r="U432" s="1885"/>
      <c r="V432" s="1885"/>
      <c r="W432" s="1885"/>
      <c r="X432" s="1885"/>
      <c r="Y432" s="1885"/>
      <c r="Z432" s="1885"/>
      <c r="AA432" s="1885"/>
      <c r="AB432" s="1885"/>
      <c r="AC432" s="1885"/>
      <c r="AD432" s="1885"/>
      <c r="AE432" s="1885"/>
      <c r="AF432" s="1886"/>
      <c r="AG432" s="1909">
        <v>94</v>
      </c>
      <c r="AH432" s="1909"/>
      <c r="AI432" s="1909"/>
      <c r="AJ432" s="1909"/>
    </row>
    <row r="433" spans="4:36" ht="12.75" customHeight="1">
      <c r="D433" s="1910" t="s">
        <v>1487</v>
      </c>
      <c r="E433" s="1885"/>
      <c r="F433" s="1885"/>
      <c r="G433" s="1885"/>
      <c r="H433" s="1885"/>
      <c r="I433" s="1885"/>
      <c r="J433" s="1885"/>
      <c r="K433" s="1885"/>
      <c r="L433" s="1885"/>
      <c r="M433" s="1885"/>
      <c r="N433" s="1885"/>
      <c r="O433" s="1885"/>
      <c r="P433" s="1885"/>
      <c r="Q433" s="1885"/>
      <c r="R433" s="1885"/>
      <c r="S433" s="1885"/>
      <c r="T433" s="1885"/>
      <c r="U433" s="1885"/>
      <c r="V433" s="1885"/>
      <c r="W433" s="1885"/>
      <c r="X433" s="1885"/>
      <c r="Y433" s="1885"/>
      <c r="Z433" s="1885"/>
      <c r="AA433" s="1885"/>
      <c r="AB433" s="1885"/>
      <c r="AC433" s="1885"/>
      <c r="AD433" s="1885"/>
      <c r="AE433" s="1885"/>
      <c r="AF433" s="1886"/>
      <c r="AG433" s="1909">
        <v>94</v>
      </c>
      <c r="AH433" s="1909"/>
      <c r="AI433" s="1909"/>
      <c r="AJ433" s="1909"/>
    </row>
    <row r="434" spans="4:36" ht="12.75" customHeight="1">
      <c r="D434" s="1910" t="s">
        <v>1492</v>
      </c>
      <c r="E434" s="1885"/>
      <c r="F434" s="1885"/>
      <c r="G434" s="1885"/>
      <c r="H434" s="1885"/>
      <c r="I434" s="1885"/>
      <c r="J434" s="1885"/>
      <c r="K434" s="1885"/>
      <c r="L434" s="1885"/>
      <c r="M434" s="1885"/>
      <c r="N434" s="1885"/>
      <c r="O434" s="1885"/>
      <c r="P434" s="1885"/>
      <c r="Q434" s="1885"/>
      <c r="R434" s="1885"/>
      <c r="S434" s="1885"/>
      <c r="T434" s="1885"/>
      <c r="U434" s="1885"/>
      <c r="V434" s="1885"/>
      <c r="W434" s="1885"/>
      <c r="X434" s="1885"/>
      <c r="Y434" s="1885"/>
      <c r="Z434" s="1885"/>
      <c r="AA434" s="1885"/>
      <c r="AB434" s="1885"/>
      <c r="AC434" s="1885"/>
      <c r="AD434" s="1885"/>
      <c r="AE434" s="1885"/>
      <c r="AF434" s="1886"/>
      <c r="AG434" s="1944">
        <f>IF(ISERROR(AG433/AG432),"",AG433/AG432)</f>
        <v>1</v>
      </c>
      <c r="AH434" s="1944"/>
      <c r="AI434" s="1944"/>
      <c r="AJ434" s="1944"/>
    </row>
    <row r="435" spans="4:36" ht="12.75" customHeight="1">
      <c r="D435" s="1910" t="s">
        <v>1489</v>
      </c>
      <c r="E435" s="1885"/>
      <c r="F435" s="1885"/>
      <c r="G435" s="1885"/>
      <c r="H435" s="1885"/>
      <c r="I435" s="1885"/>
      <c r="J435" s="1885"/>
      <c r="K435" s="1885"/>
      <c r="L435" s="1885"/>
      <c r="M435" s="1885"/>
      <c r="N435" s="1885"/>
      <c r="O435" s="1885"/>
      <c r="P435" s="1885"/>
      <c r="Q435" s="1885"/>
      <c r="R435" s="1885"/>
      <c r="S435" s="1885"/>
      <c r="T435" s="1885"/>
      <c r="U435" s="1885"/>
      <c r="V435" s="1885"/>
      <c r="W435" s="1885"/>
      <c r="X435" s="1885"/>
      <c r="Y435" s="1885"/>
      <c r="Z435" s="1885"/>
      <c r="AA435" s="1885"/>
      <c r="AB435" s="1885"/>
      <c r="AC435" s="1885"/>
      <c r="AD435" s="1885"/>
      <c r="AE435" s="1885"/>
      <c r="AF435" s="1886"/>
      <c r="AG435" s="1908">
        <v>69837</v>
      </c>
      <c r="AH435" s="1908"/>
      <c r="AI435" s="1908"/>
      <c r="AJ435" s="1908"/>
    </row>
    <row r="436" spans="4:36" ht="12.75" customHeight="1">
      <c r="D436" s="1910" t="s">
        <v>1488</v>
      </c>
      <c r="E436" s="1885"/>
      <c r="F436" s="1885"/>
      <c r="G436" s="1885"/>
      <c r="H436" s="1885"/>
      <c r="I436" s="1885"/>
      <c r="J436" s="1885"/>
      <c r="K436" s="1885"/>
      <c r="L436" s="1885"/>
      <c r="M436" s="1885"/>
      <c r="N436" s="1885"/>
      <c r="O436" s="1885"/>
      <c r="P436" s="1885"/>
      <c r="Q436" s="1885"/>
      <c r="R436" s="1885"/>
      <c r="S436" s="1885"/>
      <c r="T436" s="1885"/>
      <c r="U436" s="1885"/>
      <c r="V436" s="1885"/>
      <c r="W436" s="1885"/>
      <c r="X436" s="1885"/>
      <c r="Y436" s="1885"/>
      <c r="Z436" s="1885"/>
      <c r="AA436" s="1885"/>
      <c r="AB436" s="1885"/>
      <c r="AC436" s="1885"/>
      <c r="AD436" s="1885"/>
      <c r="AE436" s="1885"/>
      <c r="AF436" s="1886"/>
      <c r="AG436" s="1908">
        <v>69837</v>
      </c>
      <c r="AH436" s="1908"/>
      <c r="AI436" s="1908"/>
      <c r="AJ436" s="1908"/>
    </row>
    <row r="437" spans="4:36" ht="12.75" customHeight="1">
      <c r="D437" s="1910" t="s">
        <v>1495</v>
      </c>
      <c r="E437" s="1885"/>
      <c r="F437" s="1885"/>
      <c r="G437" s="1885"/>
      <c r="H437" s="1885"/>
      <c r="I437" s="1885"/>
      <c r="J437" s="1885"/>
      <c r="K437" s="1885"/>
      <c r="L437" s="1885"/>
      <c r="M437" s="1885"/>
      <c r="N437" s="1885"/>
      <c r="O437" s="1885"/>
      <c r="P437" s="1885"/>
      <c r="Q437" s="1885"/>
      <c r="R437" s="1885"/>
      <c r="S437" s="1885"/>
      <c r="T437" s="1885"/>
      <c r="U437" s="1885"/>
      <c r="V437" s="1885"/>
      <c r="W437" s="1885"/>
      <c r="X437" s="1885"/>
      <c r="Y437" s="1885"/>
      <c r="Z437" s="1885"/>
      <c r="AA437" s="1885"/>
      <c r="AB437" s="1885"/>
      <c r="AC437" s="1885"/>
      <c r="AD437" s="1885"/>
      <c r="AE437" s="1885"/>
      <c r="AF437" s="1886"/>
      <c r="AG437" s="1944">
        <f>IF(ISERROR(AG436/AG435),"",AG436/AG435)</f>
        <v>1</v>
      </c>
      <c r="AH437" s="1944"/>
      <c r="AI437" s="1944"/>
      <c r="AJ437" s="1944"/>
    </row>
    <row r="438" spans="4:36" ht="12.75" customHeight="1">
      <c r="D438" s="1910" t="s">
        <v>1493</v>
      </c>
      <c r="E438" s="1885"/>
      <c r="F438" s="1885"/>
      <c r="G438" s="1885"/>
      <c r="H438" s="1885"/>
      <c r="I438" s="1885"/>
      <c r="J438" s="1885"/>
      <c r="K438" s="1885"/>
      <c r="L438" s="1885"/>
      <c r="M438" s="1885"/>
      <c r="N438" s="1885"/>
      <c r="O438" s="1885"/>
      <c r="P438" s="1885"/>
      <c r="Q438" s="1885"/>
      <c r="R438" s="1885"/>
      <c r="S438" s="1885"/>
      <c r="T438" s="1885"/>
      <c r="U438" s="1885"/>
      <c r="V438" s="1885"/>
      <c r="W438" s="1885"/>
      <c r="X438" s="1885"/>
      <c r="Y438" s="1885"/>
      <c r="Z438" s="1885"/>
      <c r="AA438" s="1885"/>
      <c r="AB438" s="1885"/>
      <c r="AC438" s="1885"/>
      <c r="AD438" s="1885"/>
      <c r="AE438" s="1885"/>
      <c r="AF438" s="1886"/>
      <c r="AG438" s="1944">
        <f>MIN(IF(AG434&gt;AG437,AG437,AG434),1)</f>
        <v>1</v>
      </c>
      <c r="AH438" s="1944"/>
      <c r="AI438" s="1944"/>
      <c r="AJ438" s="1944"/>
    </row>
    <row r="439" spans="4:36" ht="13.2">
      <c r="D439" s="1884" t="s">
        <v>1900</v>
      </c>
      <c r="E439" s="1781"/>
      <c r="F439" s="1781"/>
      <c r="G439" s="1781"/>
      <c r="H439" s="1781"/>
      <c r="I439" s="1781"/>
      <c r="J439" s="1781"/>
      <c r="K439" s="1781"/>
      <c r="L439" s="1781"/>
      <c r="M439" s="1781"/>
      <c r="N439" s="1781"/>
      <c r="O439" s="1781"/>
      <c r="P439" s="1781"/>
      <c r="Q439" s="1781"/>
      <c r="R439" s="1781"/>
      <c r="S439" s="1781"/>
      <c r="T439" s="1781"/>
      <c r="U439" s="1781"/>
      <c r="V439" s="1781"/>
      <c r="W439" s="1781"/>
      <c r="X439" s="1781"/>
      <c r="Y439" s="1781"/>
      <c r="Z439" s="1781"/>
      <c r="AA439" s="1781"/>
      <c r="AB439" s="1781"/>
      <c r="AC439" s="1781"/>
      <c r="AD439" s="1781"/>
      <c r="AE439" s="1781"/>
      <c r="AF439" s="1943"/>
      <c r="AG439" s="1908">
        <v>2728</v>
      </c>
      <c r="AH439" s="1908"/>
      <c r="AI439" s="1908"/>
      <c r="AJ439" s="1908"/>
    </row>
    <row r="440" spans="4:36" ht="13.2">
      <c r="D440" s="1910" t="s">
        <v>230</v>
      </c>
      <c r="E440" s="1885"/>
      <c r="F440" s="1885"/>
      <c r="G440" s="1885"/>
      <c r="H440" s="1885"/>
      <c r="I440" s="1885"/>
      <c r="J440" s="1885"/>
      <c r="K440" s="1885"/>
      <c r="L440" s="1885"/>
      <c r="M440" s="1885"/>
      <c r="N440" s="1885"/>
      <c r="O440" s="1885"/>
      <c r="P440" s="1885"/>
      <c r="Q440" s="1885"/>
      <c r="R440" s="1885"/>
      <c r="S440" s="1885"/>
      <c r="T440" s="1885"/>
      <c r="U440" s="1885"/>
      <c r="V440" s="1885"/>
      <c r="W440" s="1885"/>
      <c r="X440" s="1885"/>
      <c r="Y440" s="1885"/>
      <c r="Z440" s="1885"/>
      <c r="AA440" s="1885"/>
      <c r="AB440" s="1885"/>
      <c r="AC440" s="1885"/>
      <c r="AD440" s="1885"/>
      <c r="AE440" s="1885"/>
      <c r="AF440" s="1886"/>
      <c r="AG440" s="1908">
        <v>0</v>
      </c>
      <c r="AH440" s="1908"/>
      <c r="AI440" s="1908"/>
      <c r="AJ440" s="1908"/>
    </row>
    <row r="441" spans="4:36" ht="12.75" customHeight="1">
      <c r="D441" s="1884" t="s">
        <v>1901</v>
      </c>
      <c r="E441" s="1885"/>
      <c r="F441" s="1885"/>
      <c r="G441" s="1885"/>
      <c r="H441" s="1885"/>
      <c r="I441" s="1885"/>
      <c r="J441" s="1885"/>
      <c r="K441" s="1885"/>
      <c r="L441" s="1885"/>
      <c r="M441" s="1885"/>
      <c r="N441" s="1885"/>
      <c r="O441" s="1885"/>
      <c r="P441" s="1885"/>
      <c r="Q441" s="1885"/>
      <c r="R441" s="1885"/>
      <c r="S441" s="1885"/>
      <c r="T441" s="1885"/>
      <c r="U441" s="1885"/>
      <c r="V441" s="1885"/>
      <c r="W441" s="1885"/>
      <c r="X441" s="1885"/>
      <c r="Y441" s="1885"/>
      <c r="Z441" s="1885"/>
      <c r="AA441" s="1885"/>
      <c r="AB441" s="1885"/>
      <c r="AC441" s="1885"/>
      <c r="AD441" s="1885"/>
      <c r="AE441" s="1885"/>
      <c r="AF441" s="1886"/>
      <c r="AG441" s="1908">
        <f>AG439+1050+1050</f>
        <v>4828</v>
      </c>
      <c r="AH441" s="1908"/>
      <c r="AI441" s="1908"/>
      <c r="AJ441" s="1908"/>
    </row>
    <row r="442" spans="4:36" ht="13.2">
      <c r="D442" s="1910" t="s">
        <v>1494</v>
      </c>
      <c r="E442" s="1885"/>
      <c r="F442" s="1885"/>
      <c r="G442" s="1885"/>
      <c r="H442" s="1885"/>
      <c r="I442" s="1885"/>
      <c r="J442" s="1885"/>
      <c r="K442" s="1885"/>
      <c r="L442" s="1885"/>
      <c r="M442" s="1885"/>
      <c r="N442" s="1885"/>
      <c r="O442" s="1885"/>
      <c r="P442" s="1885"/>
      <c r="Q442" s="1885"/>
      <c r="R442" s="1885"/>
      <c r="S442" s="1885"/>
      <c r="T442" s="1885"/>
      <c r="U442" s="1885"/>
      <c r="V442" s="1885"/>
      <c r="W442" s="1885"/>
      <c r="X442" s="1885"/>
      <c r="Y442" s="1885"/>
      <c r="Z442" s="1885"/>
      <c r="AA442" s="1885"/>
      <c r="AB442" s="1885"/>
      <c r="AC442" s="1885"/>
      <c r="AD442" s="1885"/>
      <c r="AE442" s="1885"/>
      <c r="AF442" s="1886"/>
      <c r="AG442" s="1908">
        <v>0</v>
      </c>
      <c r="AH442" s="1908"/>
      <c r="AI442" s="1908"/>
      <c r="AJ442" s="1908"/>
    </row>
    <row r="443" spans="4:36" ht="13.2">
      <c r="D443" s="1910" t="s">
        <v>1496</v>
      </c>
      <c r="E443" s="1885"/>
      <c r="F443" s="1885"/>
      <c r="G443" s="1885"/>
      <c r="H443" s="1885"/>
      <c r="I443" s="1885"/>
      <c r="J443" s="1885"/>
      <c r="K443" s="1885"/>
      <c r="L443" s="1885"/>
      <c r="M443" s="1885"/>
      <c r="N443" s="1885"/>
      <c r="O443" s="1885"/>
      <c r="P443" s="1885"/>
      <c r="Q443" s="1885"/>
      <c r="R443" s="1885"/>
      <c r="S443" s="1885"/>
      <c r="T443" s="1885"/>
      <c r="U443" s="1885"/>
      <c r="V443" s="1885"/>
      <c r="W443" s="1885"/>
      <c r="X443" s="1885"/>
      <c r="Y443" s="1885"/>
      <c r="Z443" s="1885"/>
      <c r="AA443" s="1885"/>
      <c r="AB443" s="1885"/>
      <c r="AC443" s="1885"/>
      <c r="AD443" s="1885"/>
      <c r="AE443" s="1885"/>
      <c r="AF443" s="1886"/>
      <c r="AG443" s="1965">
        <f>AG435+AG439+AG441+AG442</f>
        <v>77393</v>
      </c>
      <c r="AH443" s="1965"/>
      <c r="AI443" s="1965"/>
      <c r="AJ443" s="1965"/>
    </row>
    <row r="444" spans="4:36" ht="13.2">
      <c r="D444" s="2064" t="s">
        <v>1902</v>
      </c>
      <c r="E444" s="2064"/>
      <c r="F444" s="2064"/>
      <c r="G444" s="2064"/>
      <c r="H444" s="2064"/>
      <c r="I444" s="2064"/>
      <c r="J444" s="2064"/>
      <c r="K444" s="2064"/>
      <c r="L444" s="2064"/>
      <c r="M444" s="2064"/>
      <c r="N444" s="2064"/>
      <c r="O444" s="2064"/>
      <c r="P444" s="2064"/>
      <c r="Q444" s="2064"/>
      <c r="R444" s="2064"/>
      <c r="S444" s="2064"/>
      <c r="T444" s="2064"/>
      <c r="U444" s="2064"/>
      <c r="V444" s="2064"/>
      <c r="W444" s="2064"/>
      <c r="X444" s="2064"/>
      <c r="Y444" s="2064"/>
      <c r="Z444" s="2064"/>
      <c r="AA444" s="2064"/>
      <c r="AB444" s="2064"/>
      <c r="AC444" s="2064"/>
      <c r="AD444" s="2064"/>
      <c r="AE444" s="2064"/>
      <c r="AF444" s="2064"/>
      <c r="AG444" s="2064"/>
      <c r="AH444" s="2064"/>
      <c r="AI444" s="2064"/>
      <c r="AJ444" s="2064"/>
    </row>
    <row r="445" spans="4:36" ht="13.65" customHeight="1">
      <c r="D445" s="2065"/>
      <c r="E445" s="2065"/>
      <c r="F445" s="2065"/>
      <c r="G445" s="2065"/>
      <c r="H445" s="2065"/>
      <c r="I445" s="2065"/>
      <c r="J445" s="2065"/>
      <c r="K445" s="2065"/>
      <c r="L445" s="2065"/>
      <c r="M445" s="2065"/>
      <c r="N445" s="2065"/>
      <c r="O445" s="2065"/>
      <c r="P445" s="2065"/>
      <c r="Q445" s="2065"/>
      <c r="R445" s="2065"/>
      <c r="S445" s="2065"/>
      <c r="T445" s="2065"/>
      <c r="U445" s="2065"/>
      <c r="V445" s="2065"/>
      <c r="W445" s="2065"/>
      <c r="X445" s="2065"/>
      <c r="Y445" s="2065"/>
      <c r="Z445" s="2065"/>
      <c r="AA445" s="2065"/>
      <c r="AB445" s="2065"/>
      <c r="AC445" s="2065"/>
      <c r="AD445" s="2065"/>
      <c r="AE445" s="2065"/>
      <c r="AF445" s="2065"/>
      <c r="AG445" s="2065"/>
      <c r="AH445" s="2065"/>
      <c r="AI445" s="2065"/>
      <c r="AJ445" s="2065"/>
    </row>
    <row r="446" spans="4:36" ht="13.2">
      <c r="D446" s="1964"/>
      <c r="E446" s="1964"/>
      <c r="F446" s="1964"/>
      <c r="G446" s="1964"/>
      <c r="H446" s="1964"/>
      <c r="I446" s="1964"/>
      <c r="J446" s="1964"/>
      <c r="K446" s="1964"/>
      <c r="L446" s="1964"/>
      <c r="M446" s="1964"/>
      <c r="N446" s="1964"/>
      <c r="O446" s="1964"/>
      <c r="P446" s="1964"/>
      <c r="Q446" s="1964"/>
      <c r="R446" s="1964"/>
      <c r="S446" s="1964"/>
      <c r="T446" s="1964"/>
      <c r="U446" s="1964"/>
      <c r="V446" s="1964"/>
      <c r="W446" s="1964"/>
      <c r="X446" s="1964"/>
      <c r="Y446" s="1964"/>
      <c r="Z446" s="1964"/>
      <c r="AA446" s="1964"/>
      <c r="AB446" s="1964"/>
      <c r="AC446" s="1964"/>
      <c r="AD446" s="1964"/>
      <c r="AE446" s="1964"/>
      <c r="AF446" s="1964"/>
      <c r="AG446" s="1964"/>
      <c r="AH446" s="1964"/>
      <c r="AI446" s="1964"/>
      <c r="AJ446" s="1964"/>
    </row>
    <row r="447" spans="4:36" ht="13.2">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42">
        <f>'Sources and Uses Budget'!B104/Application!AG430</f>
        <v>530284.28125</v>
      </c>
      <c r="AD447" s="1942"/>
      <c r="AE447" s="1942"/>
      <c r="AF447" s="1942"/>
      <c r="AG447" s="2036"/>
      <c r="AH447" s="2036"/>
      <c r="AI447" s="2036"/>
      <c r="AJ447" s="2036"/>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42">
        <f>'Sources and Uses Budget'!C104/Application!AG430</f>
        <v>530284.28125</v>
      </c>
      <c r="AD448" s="1942"/>
      <c r="AE448" s="1942"/>
      <c r="AF448" s="1942"/>
      <c r="AG448" s="2036"/>
      <c r="AH448" s="2036"/>
      <c r="AI448" s="2036"/>
      <c r="AJ448" s="2036"/>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42">
        <f>('Sources and Uses Budget'!S106+'Sources and Uses Budget'!T106)/Application!AG430</f>
        <v>412592.42708333331</v>
      </c>
      <c r="AD449" s="1942"/>
      <c r="AE449" s="1942"/>
      <c r="AF449" s="1942"/>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20" t="s">
        <v>235</v>
      </c>
      <c r="E458" s="1921"/>
      <c r="F458" s="1921"/>
      <c r="G458" s="1921"/>
      <c r="H458" s="1921"/>
      <c r="I458" s="1921"/>
      <c r="J458" s="1921"/>
      <c r="K458" s="1921"/>
      <c r="L458" s="1921"/>
      <c r="M458" s="1921"/>
      <c r="N458" s="1921"/>
      <c r="O458" s="1921"/>
      <c r="P458" s="1921"/>
      <c r="Q458" s="1921"/>
      <c r="R458" s="1921"/>
      <c r="S458" s="1921"/>
      <c r="T458" s="1921"/>
      <c r="U458" s="1921"/>
      <c r="V458" s="1922"/>
      <c r="W458" s="1887" t="s">
        <v>135</v>
      </c>
      <c r="X458" s="1888"/>
      <c r="Y458" s="1889"/>
      <c r="Z458" s="478"/>
      <c r="AA458" s="478"/>
      <c r="AB458" s="478"/>
      <c r="AC458" s="478"/>
      <c r="AD458" s="478"/>
      <c r="AE458" s="478"/>
      <c r="AF458" s="478"/>
      <c r="AG458" s="478"/>
      <c r="AH458" s="478"/>
      <c r="AI458" s="478"/>
      <c r="AJ458" s="327"/>
      <c r="AK458" s="327"/>
      <c r="AL458" s="327"/>
    </row>
    <row r="459" spans="1:38" ht="12.75" customHeight="1">
      <c r="A459" s="327"/>
      <c r="B459" s="327"/>
      <c r="C459" s="327"/>
      <c r="D459" s="1920" t="s">
        <v>236</v>
      </c>
      <c r="E459" s="1921"/>
      <c r="F459" s="1921"/>
      <c r="G459" s="1921"/>
      <c r="H459" s="1921"/>
      <c r="I459" s="1921"/>
      <c r="J459" s="1921"/>
      <c r="K459" s="1921"/>
      <c r="L459" s="1921"/>
      <c r="M459" s="1921"/>
      <c r="N459" s="1921"/>
      <c r="O459" s="1921"/>
      <c r="P459" s="1921"/>
      <c r="Q459" s="1921"/>
      <c r="R459" s="1921"/>
      <c r="S459" s="1921"/>
      <c r="T459" s="1921"/>
      <c r="U459" s="1921"/>
      <c r="V459" s="1922"/>
      <c r="W459" s="1887" t="s">
        <v>135</v>
      </c>
      <c r="X459" s="1888"/>
      <c r="Y459" s="1889"/>
      <c r="Z459" s="478"/>
      <c r="AA459" s="478"/>
      <c r="AB459" s="478"/>
      <c r="AC459" s="478"/>
      <c r="AD459" s="478"/>
      <c r="AE459" s="478"/>
      <c r="AF459" s="478"/>
      <c r="AG459" s="478"/>
      <c r="AH459" s="478"/>
      <c r="AI459" s="478"/>
      <c r="AJ459" s="327"/>
      <c r="AK459" s="327"/>
      <c r="AL459" s="327"/>
    </row>
    <row r="460" spans="1:38" ht="12.75" customHeight="1">
      <c r="A460" s="327"/>
      <c r="B460" s="327"/>
      <c r="C460" s="327"/>
      <c r="D460" s="1920" t="s">
        <v>237</v>
      </c>
      <c r="E460" s="1921"/>
      <c r="F460" s="1921"/>
      <c r="G460" s="1921"/>
      <c r="H460" s="1921"/>
      <c r="I460" s="1921"/>
      <c r="J460" s="1921"/>
      <c r="K460" s="1921"/>
      <c r="L460" s="1921"/>
      <c r="M460" s="1921"/>
      <c r="N460" s="1921"/>
      <c r="O460" s="1921"/>
      <c r="P460" s="1921"/>
      <c r="Q460" s="1921"/>
      <c r="R460" s="1921"/>
      <c r="S460" s="1921"/>
      <c r="T460" s="1921"/>
      <c r="U460" s="1921"/>
      <c r="V460" s="1922"/>
      <c r="W460" s="1887" t="s">
        <v>135</v>
      </c>
      <c r="X460" s="1888"/>
      <c r="Y460" s="1889"/>
      <c r="Z460" s="478"/>
      <c r="AA460" s="478"/>
      <c r="AB460" s="478"/>
      <c r="AC460" s="478"/>
      <c r="AD460" s="478"/>
      <c r="AE460" s="478"/>
      <c r="AF460" s="478"/>
      <c r="AG460" s="478"/>
      <c r="AH460" s="478"/>
      <c r="AI460" s="478"/>
      <c r="AJ460" s="327"/>
      <c r="AK460" s="327"/>
      <c r="AL460" s="327"/>
    </row>
    <row r="461" spans="1:38" ht="12.75" customHeight="1">
      <c r="A461" s="327"/>
      <c r="B461" s="327"/>
      <c r="C461" s="327"/>
      <c r="D461" s="1920" t="s">
        <v>241</v>
      </c>
      <c r="E461" s="1921"/>
      <c r="F461" s="1921"/>
      <c r="G461" s="1921"/>
      <c r="H461" s="1921"/>
      <c r="I461" s="1921"/>
      <c r="J461" s="1921"/>
      <c r="K461" s="1921"/>
      <c r="L461" s="1921"/>
      <c r="M461" s="1921"/>
      <c r="N461" s="1921"/>
      <c r="O461" s="1921"/>
      <c r="P461" s="1921"/>
      <c r="Q461" s="1921"/>
      <c r="R461" s="1921"/>
      <c r="S461" s="1921"/>
      <c r="T461" s="1921"/>
      <c r="U461" s="1921"/>
      <c r="V461" s="1922"/>
      <c r="W461" s="1887" t="s">
        <v>135</v>
      </c>
      <c r="X461" s="1888"/>
      <c r="Y461" s="1889"/>
      <c r="Z461" s="478"/>
      <c r="AA461" s="478"/>
      <c r="AB461" s="478"/>
      <c r="AC461" s="478"/>
      <c r="AD461" s="478"/>
      <c r="AE461" s="478"/>
      <c r="AF461" s="478"/>
      <c r="AG461" s="478"/>
      <c r="AH461" s="478"/>
      <c r="AI461" s="478"/>
      <c r="AJ461" s="327"/>
      <c r="AK461" s="327"/>
      <c r="AL461" s="327"/>
    </row>
    <row r="462" spans="1:38" ht="12.75" customHeight="1">
      <c r="A462" s="327"/>
      <c r="B462" s="327"/>
      <c r="C462" s="327"/>
      <c r="D462" s="1945" t="s">
        <v>1197</v>
      </c>
      <c r="E462" s="1921"/>
      <c r="F462" s="1921"/>
      <c r="G462" s="1921"/>
      <c r="H462" s="1921"/>
      <c r="I462" s="1921"/>
      <c r="J462" s="1921"/>
      <c r="K462" s="1921"/>
      <c r="L462" s="1921"/>
      <c r="M462" s="1921"/>
      <c r="N462" s="1921"/>
      <c r="O462" s="1921"/>
      <c r="P462" s="1921"/>
      <c r="Q462" s="1921"/>
      <c r="R462" s="1921"/>
      <c r="S462" s="1921"/>
      <c r="T462" s="1921"/>
      <c r="U462" s="1921"/>
      <c r="V462" s="1922"/>
      <c r="W462" s="1887" t="s">
        <v>135</v>
      </c>
      <c r="X462" s="1888"/>
      <c r="Y462" s="1889"/>
      <c r="Z462" s="478"/>
      <c r="AA462" s="478"/>
      <c r="AB462" s="478"/>
      <c r="AC462" s="478"/>
      <c r="AD462" s="478"/>
      <c r="AE462" s="478"/>
      <c r="AF462" s="478"/>
      <c r="AG462" s="478"/>
      <c r="AH462" s="478"/>
      <c r="AI462" s="478"/>
      <c r="AJ462" s="327"/>
      <c r="AK462" s="327"/>
      <c r="AL462" s="327"/>
    </row>
    <row r="463" spans="1:38" ht="12.75" customHeight="1">
      <c r="A463" s="327"/>
      <c r="B463" s="327"/>
      <c r="C463" s="327"/>
      <c r="D463" s="1920" t="s">
        <v>245</v>
      </c>
      <c r="E463" s="1921"/>
      <c r="F463" s="1921"/>
      <c r="G463" s="1921"/>
      <c r="H463" s="1921"/>
      <c r="I463" s="1921"/>
      <c r="J463" s="1921"/>
      <c r="K463" s="1921"/>
      <c r="L463" s="1921"/>
      <c r="M463" s="1921"/>
      <c r="N463" s="1921"/>
      <c r="O463" s="1921"/>
      <c r="P463" s="1921"/>
      <c r="Q463" s="1921"/>
      <c r="R463" s="1921"/>
      <c r="S463" s="1921"/>
      <c r="T463" s="1921"/>
      <c r="U463" s="1921"/>
      <c r="V463" s="1922"/>
      <c r="W463" s="1887" t="s">
        <v>135</v>
      </c>
      <c r="X463" s="1888"/>
      <c r="Y463" s="1889"/>
      <c r="Z463" s="478"/>
      <c r="AA463" s="478"/>
      <c r="AB463" s="478"/>
      <c r="AC463" s="478"/>
      <c r="AD463" s="478"/>
      <c r="AE463" s="478"/>
      <c r="AF463" s="478"/>
      <c r="AG463" s="478"/>
      <c r="AH463" s="478"/>
      <c r="AI463" s="478"/>
      <c r="AJ463" s="327"/>
      <c r="AK463" s="327"/>
      <c r="AL463" s="327"/>
    </row>
    <row r="464" spans="1:38" ht="12.75" customHeight="1">
      <c r="A464" s="861"/>
      <c r="B464" s="861"/>
      <c r="C464" s="861"/>
      <c r="D464" s="1945" t="s">
        <v>1414</v>
      </c>
      <c r="E464" s="1946"/>
      <c r="F464" s="1946"/>
      <c r="G464" s="1946"/>
      <c r="H464" s="1946"/>
      <c r="I464" s="1946"/>
      <c r="J464" s="1946"/>
      <c r="K464" s="1946"/>
      <c r="L464" s="1946"/>
      <c r="M464" s="1946"/>
      <c r="N464" s="1946"/>
      <c r="O464" s="1946"/>
      <c r="P464" s="1946"/>
      <c r="Q464" s="1946"/>
      <c r="R464" s="1946"/>
      <c r="S464" s="1946"/>
      <c r="T464" s="1946"/>
      <c r="U464" s="1946"/>
      <c r="V464" s="1947"/>
      <c r="W464" s="1969" t="s">
        <v>135</v>
      </c>
      <c r="X464" s="1970"/>
      <c r="Y464" s="1971"/>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36"/>
      <c r="H465" s="1937"/>
      <c r="I465" s="1937"/>
      <c r="J465" s="1937"/>
      <c r="K465" s="1937"/>
      <c r="L465" s="1937"/>
      <c r="M465" s="1937"/>
      <c r="N465" s="1937"/>
      <c r="O465" s="1937"/>
      <c r="P465" s="1937"/>
      <c r="Q465" s="1937"/>
      <c r="R465" s="1937"/>
      <c r="S465" s="1937"/>
      <c r="T465" s="1937"/>
      <c r="U465" s="1937"/>
      <c r="V465" s="1938"/>
      <c r="W465" s="1887" t="s">
        <v>135</v>
      </c>
      <c r="X465" s="1888"/>
      <c r="Y465" s="1889"/>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1415</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2062" t="s">
        <v>238</v>
      </c>
      <c r="E469" s="2063"/>
      <c r="F469" s="2063"/>
      <c r="G469" s="2063"/>
      <c r="H469" s="2063"/>
      <c r="I469" s="2063"/>
      <c r="J469" s="2063"/>
      <c r="K469" s="2063"/>
      <c r="L469" s="2063"/>
      <c r="M469" s="2063"/>
      <c r="N469" s="2063"/>
      <c r="O469" s="2063"/>
      <c r="P469" s="2063"/>
      <c r="Q469" s="2063"/>
      <c r="R469" s="2063"/>
      <c r="S469" s="2063"/>
      <c r="T469" s="2063"/>
      <c r="U469" s="2063"/>
      <c r="V469" s="2063"/>
      <c r="W469" s="1961"/>
      <c r="X469" s="1961"/>
      <c r="Y469" s="1962"/>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920" t="s">
        <v>239</v>
      </c>
      <c r="E470" s="1921"/>
      <c r="F470" s="1921"/>
      <c r="G470" s="1921"/>
      <c r="H470" s="1921"/>
      <c r="I470" s="1921"/>
      <c r="J470" s="1921"/>
      <c r="K470" s="1921"/>
      <c r="L470" s="1921"/>
      <c r="M470" s="1921"/>
      <c r="N470" s="1921"/>
      <c r="O470" s="1921"/>
      <c r="P470" s="1921"/>
      <c r="Q470" s="1921"/>
      <c r="R470" s="1921"/>
      <c r="S470" s="1921"/>
      <c r="T470" s="1921"/>
      <c r="U470" s="1921"/>
      <c r="V470" s="1922"/>
      <c r="W470" s="1887" t="s">
        <v>135</v>
      </c>
      <c r="X470" s="1888"/>
      <c r="Y470" s="1889"/>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2052" t="s">
        <v>1112</v>
      </c>
      <c r="B473" s="2052"/>
      <c r="C473" s="2052"/>
      <c r="D473" s="2052"/>
      <c r="E473" s="2052"/>
      <c r="F473" s="2052"/>
      <c r="G473" s="2052"/>
      <c r="H473" s="2052"/>
      <c r="I473" s="2052"/>
      <c r="J473" s="2052"/>
      <c r="K473" s="2052"/>
      <c r="L473" s="2052"/>
      <c r="M473" s="2052"/>
      <c r="N473" s="2052"/>
      <c r="O473" s="2052"/>
      <c r="P473" s="2052"/>
      <c r="Q473" s="2052"/>
      <c r="R473" s="2052"/>
      <c r="S473" s="2052"/>
      <c r="T473" s="2052"/>
      <c r="U473" s="2052"/>
      <c r="V473" s="2052"/>
      <c r="W473" s="2052"/>
      <c r="X473" s="2052"/>
      <c r="Y473" s="2052"/>
      <c r="Z473" s="2052"/>
      <c r="AA473" s="2052"/>
      <c r="AB473" s="2052"/>
      <c r="AC473" s="2052"/>
      <c r="AD473" s="2052"/>
      <c r="AE473" s="2052"/>
      <c r="AF473" s="2052"/>
      <c r="AG473" s="2052"/>
      <c r="AH473" s="2052"/>
      <c r="AI473" s="2052"/>
      <c r="AJ473" s="2052"/>
      <c r="AK473" s="2052"/>
      <c r="AL473" s="205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2053"/>
      <c r="B474" s="2053"/>
      <c r="C474" s="2053"/>
      <c r="D474" s="2053"/>
      <c r="E474" s="2053"/>
      <c r="F474" s="2053"/>
      <c r="G474" s="2053"/>
      <c r="H474" s="2053"/>
      <c r="I474" s="2053"/>
      <c r="J474" s="2053"/>
      <c r="K474" s="2053"/>
      <c r="L474" s="2053"/>
      <c r="M474" s="2053"/>
      <c r="N474" s="2053"/>
      <c r="O474" s="2053"/>
      <c r="P474" s="2053"/>
      <c r="Q474" s="2053"/>
      <c r="R474" s="2053"/>
      <c r="S474" s="2053"/>
      <c r="T474" s="2053"/>
      <c r="U474" s="2053"/>
      <c r="V474" s="2053"/>
      <c r="W474" s="2053"/>
      <c r="X474" s="2053"/>
      <c r="Y474" s="2053"/>
      <c r="Z474" s="2053"/>
      <c r="AA474" s="2053"/>
      <c r="AB474" s="2053"/>
      <c r="AC474" s="2053"/>
      <c r="AD474" s="2053"/>
      <c r="AE474" s="2053"/>
      <c r="AF474" s="2053"/>
      <c r="AG474" s="2053"/>
      <c r="AH474" s="2053"/>
      <c r="AI474" s="2053"/>
      <c r="AJ474" s="2053"/>
      <c r="AK474" s="2053"/>
      <c r="AL474" s="205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39" t="s">
        <v>1113</v>
      </c>
      <c r="U478" s="1940"/>
      <c r="V478" s="1940"/>
      <c r="W478" s="1940"/>
      <c r="X478" s="1940"/>
      <c r="Y478" s="1940"/>
      <c r="Z478" s="1940"/>
      <c r="AA478" s="1940"/>
      <c r="AB478" s="1940"/>
      <c r="AC478" s="1940"/>
      <c r="AD478" s="1940"/>
      <c r="AE478" s="1940"/>
      <c r="AF478" s="1940"/>
      <c r="AG478" s="1940"/>
      <c r="AH478" s="194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1975" t="s">
        <v>865</v>
      </c>
      <c r="U479" s="1975"/>
      <c r="V479" s="1975"/>
      <c r="W479" s="1975"/>
      <c r="X479" s="1975"/>
      <c r="Y479" s="1975" t="s">
        <v>866</v>
      </c>
      <c r="Z479" s="1975"/>
      <c r="AA479" s="1975"/>
      <c r="AB479" s="1975"/>
      <c r="AC479" s="1975"/>
      <c r="AD479" s="1975" t="s">
        <v>926</v>
      </c>
      <c r="AE479" s="1975"/>
      <c r="AF479" s="1975"/>
      <c r="AG479" s="1975"/>
      <c r="AH479" s="197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1975"/>
      <c r="U480" s="1975"/>
      <c r="V480" s="1975"/>
      <c r="W480" s="1975"/>
      <c r="X480" s="1975"/>
      <c r="Y480" s="1975"/>
      <c r="Z480" s="1975"/>
      <c r="AA480" s="1975"/>
      <c r="AB480" s="1975"/>
      <c r="AC480" s="1975"/>
      <c r="AD480" s="1975"/>
      <c r="AE480" s="1975"/>
      <c r="AF480" s="1975"/>
      <c r="AG480" s="1975"/>
      <c r="AH480" s="197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553</v>
      </c>
      <c r="F481" s="91"/>
      <c r="G481" s="91"/>
      <c r="H481" s="91"/>
      <c r="I481" s="91"/>
      <c r="J481" s="91"/>
      <c r="K481" s="91"/>
      <c r="L481" s="91"/>
      <c r="M481" s="91"/>
      <c r="N481" s="91"/>
      <c r="O481" s="91"/>
      <c r="P481" s="91"/>
      <c r="Q481" s="91"/>
      <c r="R481" s="91"/>
      <c r="S481" s="92"/>
      <c r="T481" s="1923"/>
      <c r="U481" s="1923"/>
      <c r="V481" s="1923"/>
      <c r="W481" s="1923"/>
      <c r="X481" s="1923"/>
      <c r="Y481" s="1923"/>
      <c r="Z481" s="1923"/>
      <c r="AA481" s="1923"/>
      <c r="AB481" s="1923"/>
      <c r="AC481" s="1923"/>
      <c r="AD481" s="1923">
        <v>44495</v>
      </c>
      <c r="AE481" s="1923"/>
      <c r="AF481" s="1923"/>
      <c r="AG481" s="1923"/>
      <c r="AH481" s="192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554</v>
      </c>
      <c r="F482" s="91"/>
      <c r="G482" s="91"/>
      <c r="H482" s="91"/>
      <c r="I482" s="91"/>
      <c r="J482" s="91"/>
      <c r="K482" s="91"/>
      <c r="L482" s="91"/>
      <c r="M482" s="91"/>
      <c r="N482" s="91"/>
      <c r="O482" s="91"/>
      <c r="P482" s="91"/>
      <c r="Q482" s="91"/>
      <c r="R482" s="91"/>
      <c r="S482" s="91"/>
      <c r="T482" s="1923"/>
      <c r="U482" s="1923"/>
      <c r="V482" s="1923"/>
      <c r="W482" s="1923"/>
      <c r="X482" s="1923"/>
      <c r="Y482" s="1923">
        <v>44896</v>
      </c>
      <c r="Z482" s="1923"/>
      <c r="AA482" s="1923"/>
      <c r="AB482" s="1923"/>
      <c r="AC482" s="1923"/>
      <c r="AD482" s="1923"/>
      <c r="AE482" s="1923"/>
      <c r="AF482" s="1923"/>
      <c r="AG482" s="1923"/>
      <c r="AH482" s="192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555</v>
      </c>
      <c r="F483" s="91"/>
      <c r="G483" s="91"/>
      <c r="H483" s="91"/>
      <c r="I483" s="91"/>
      <c r="J483" s="91"/>
      <c r="K483" s="91"/>
      <c r="L483" s="91"/>
      <c r="M483" s="91"/>
      <c r="N483" s="91"/>
      <c r="O483" s="91"/>
      <c r="P483" s="91"/>
      <c r="Q483" s="91"/>
      <c r="R483" s="91"/>
      <c r="S483" s="91"/>
      <c r="T483" s="1923"/>
      <c r="U483" s="1923"/>
      <c r="V483" s="1923"/>
      <c r="W483" s="1923"/>
      <c r="X483" s="1923"/>
      <c r="Y483" s="1923"/>
      <c r="Z483" s="1923"/>
      <c r="AA483" s="1923"/>
      <c r="AB483" s="1923"/>
      <c r="AC483" s="1923"/>
      <c r="AD483" s="1960" t="s">
        <v>2348</v>
      </c>
      <c r="AE483" s="1923"/>
      <c r="AF483" s="1923"/>
      <c r="AG483" s="1923"/>
      <c r="AH483" s="192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556</v>
      </c>
      <c r="F484" s="91"/>
      <c r="G484" s="91"/>
      <c r="H484" s="91"/>
      <c r="I484" s="91"/>
      <c r="J484" s="91"/>
      <c r="K484" s="91"/>
      <c r="L484" s="91"/>
      <c r="M484" s="91"/>
      <c r="N484" s="91"/>
      <c r="O484" s="91"/>
      <c r="P484" s="91"/>
      <c r="Q484" s="91"/>
      <c r="R484" s="91"/>
      <c r="S484" s="91"/>
      <c r="T484" s="1923"/>
      <c r="U484" s="1923"/>
      <c r="V484" s="1923"/>
      <c r="W484" s="1923"/>
      <c r="X484" s="1923"/>
      <c r="Y484" s="1923">
        <v>44896</v>
      </c>
      <c r="Z484" s="1923"/>
      <c r="AA484" s="1923"/>
      <c r="AB484" s="1923"/>
      <c r="AC484" s="1923"/>
      <c r="AD484" s="1923"/>
      <c r="AE484" s="1923"/>
      <c r="AF484" s="1923"/>
      <c r="AG484" s="1923"/>
      <c r="AH484" s="192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557</v>
      </c>
      <c r="F485" s="91"/>
      <c r="G485" s="91"/>
      <c r="H485" s="91"/>
      <c r="I485" s="91"/>
      <c r="J485" s="91"/>
      <c r="K485" s="91"/>
      <c r="L485" s="91"/>
      <c r="M485" s="91"/>
      <c r="N485" s="91"/>
      <c r="O485" s="91"/>
      <c r="P485" s="91"/>
      <c r="Q485" s="91"/>
      <c r="R485" s="91"/>
      <c r="S485" s="91"/>
      <c r="T485" s="1923"/>
      <c r="U485" s="1923"/>
      <c r="V485" s="1923"/>
      <c r="W485" s="1923"/>
      <c r="X485" s="1923"/>
      <c r="Y485" s="1923"/>
      <c r="Z485" s="1923"/>
      <c r="AA485" s="1923"/>
      <c r="AB485" s="1923"/>
      <c r="AC485" s="1923"/>
      <c r="AD485" s="1960" t="s">
        <v>2348</v>
      </c>
      <c r="AE485" s="1923"/>
      <c r="AF485" s="1923"/>
      <c r="AG485" s="1923"/>
      <c r="AH485" s="192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558</v>
      </c>
      <c r="F486" s="91"/>
      <c r="G486" s="91"/>
      <c r="H486" s="91"/>
      <c r="I486" s="91"/>
      <c r="J486" s="91"/>
      <c r="K486" s="91"/>
      <c r="L486" s="91"/>
      <c r="M486" s="91"/>
      <c r="N486" s="91"/>
      <c r="O486" s="91"/>
      <c r="P486" s="91"/>
      <c r="Q486" s="91"/>
      <c r="R486" s="91"/>
      <c r="S486" s="91"/>
      <c r="T486" s="1923"/>
      <c r="U486" s="1923"/>
      <c r="V486" s="1923"/>
      <c r="W486" s="1923"/>
      <c r="X486" s="1923"/>
      <c r="Y486" s="1923"/>
      <c r="Z486" s="1923"/>
      <c r="AA486" s="1923"/>
      <c r="AB486" s="1923"/>
      <c r="AC486" s="1923"/>
      <c r="AD486" s="1960" t="s">
        <v>2348</v>
      </c>
      <c r="AE486" s="1923"/>
      <c r="AF486" s="1923"/>
      <c r="AG486" s="1923"/>
      <c r="AH486" s="192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559</v>
      </c>
      <c r="F487" s="91"/>
      <c r="G487" s="91"/>
      <c r="H487" s="91"/>
      <c r="I487" s="91"/>
      <c r="J487" s="91"/>
      <c r="K487" s="91"/>
      <c r="L487" s="91"/>
      <c r="M487" s="91"/>
      <c r="N487" s="91"/>
      <c r="O487" s="91"/>
      <c r="P487" s="91"/>
      <c r="Q487" s="91"/>
      <c r="R487" s="91"/>
      <c r="S487" s="91"/>
      <c r="T487" s="1923"/>
      <c r="U487" s="1923"/>
      <c r="V487" s="1923"/>
      <c r="W487" s="1923"/>
      <c r="X487" s="1923"/>
      <c r="Y487" s="1923"/>
      <c r="Z487" s="1923"/>
      <c r="AA487" s="1923"/>
      <c r="AB487" s="1923"/>
      <c r="AC487" s="1923"/>
      <c r="AD487" s="1923">
        <v>44495</v>
      </c>
      <c r="AE487" s="1923"/>
      <c r="AF487" s="1923"/>
      <c r="AG487" s="1923"/>
      <c r="AH487" s="192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933</v>
      </c>
      <c r="F488" s="91"/>
      <c r="G488" s="91"/>
      <c r="H488" s="91"/>
      <c r="I488" s="91"/>
      <c r="J488" s="91"/>
      <c r="K488" s="91"/>
      <c r="L488" s="91"/>
      <c r="M488" s="91"/>
      <c r="N488" s="91"/>
      <c r="O488" s="91"/>
      <c r="P488" s="91"/>
      <c r="Q488" s="91"/>
      <c r="R488" s="91"/>
      <c r="S488" s="91"/>
      <c r="T488" s="1923"/>
      <c r="U488" s="1923"/>
      <c r="V488" s="1923"/>
      <c r="W488" s="1923"/>
      <c r="X488" s="1923"/>
      <c r="Y488" s="1923"/>
      <c r="Z488" s="1923"/>
      <c r="AA488" s="1923"/>
      <c r="AB488" s="1923"/>
      <c r="AC488" s="1923"/>
      <c r="AD488" s="1960" t="s">
        <v>2348</v>
      </c>
      <c r="AE488" s="1923"/>
      <c r="AF488" s="1923"/>
      <c r="AG488" s="1923"/>
      <c r="AH488" s="192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23"/>
      <c r="U489" s="1923"/>
      <c r="V489" s="1923"/>
      <c r="W489" s="1923"/>
      <c r="X489" s="1923"/>
      <c r="Y489" s="1923"/>
      <c r="Z489" s="1923"/>
      <c r="AA489" s="1923"/>
      <c r="AB489" s="1923"/>
      <c r="AC489" s="1923"/>
      <c r="AD489" s="1960" t="s">
        <v>2348</v>
      </c>
      <c r="AE489" s="1923"/>
      <c r="AF489" s="1923"/>
      <c r="AG489" s="1923"/>
      <c r="AH489" s="192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1389</v>
      </c>
      <c r="F490" s="94"/>
      <c r="G490" s="94"/>
      <c r="H490" s="94"/>
      <c r="I490" s="94"/>
      <c r="J490" s="94"/>
      <c r="K490" s="94"/>
      <c r="L490" s="94"/>
      <c r="M490" s="94"/>
      <c r="N490" s="94"/>
      <c r="O490" s="94"/>
      <c r="P490" s="94"/>
      <c r="Q490" s="94"/>
      <c r="R490" s="94"/>
      <c r="S490" s="94"/>
      <c r="T490" s="1923"/>
      <c r="U490" s="1923"/>
      <c r="V490" s="1923"/>
      <c r="W490" s="1923"/>
      <c r="X490" s="1923"/>
      <c r="Y490" s="1923"/>
      <c r="Z490" s="1923"/>
      <c r="AA490" s="1923"/>
      <c r="AB490" s="1923"/>
      <c r="AC490" s="1923"/>
      <c r="AD490" s="1923">
        <v>44495</v>
      </c>
      <c r="AE490" s="1923"/>
      <c r="AF490" s="1923"/>
      <c r="AG490" s="1923"/>
      <c r="AH490" s="192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39" t="s">
        <v>265</v>
      </c>
      <c r="R492" s="1940"/>
      <c r="S492" s="1940"/>
      <c r="T492" s="1940"/>
      <c r="U492" s="1940"/>
      <c r="V492" s="1940"/>
      <c r="W492" s="1940"/>
      <c r="X492" s="1940"/>
      <c r="Y492" s="1940"/>
      <c r="Z492" s="1940"/>
      <c r="AA492" s="1940"/>
      <c r="AB492" s="1940"/>
      <c r="AC492" s="1940"/>
      <c r="AD492" s="1940"/>
      <c r="AE492" s="1940"/>
      <c r="AF492" s="1940"/>
      <c r="AG492" s="1940"/>
      <c r="AH492" s="1940"/>
      <c r="AI492" s="1940"/>
      <c r="AJ492" s="1940"/>
      <c r="AK492" s="194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266</v>
      </c>
      <c r="C493" s="91"/>
      <c r="D493" s="91"/>
      <c r="E493" s="91"/>
      <c r="F493" s="91"/>
      <c r="G493" s="91"/>
      <c r="H493" s="91"/>
      <c r="I493" s="91"/>
      <c r="J493" s="91"/>
      <c r="K493" s="91"/>
      <c r="L493" s="91"/>
      <c r="M493" s="91"/>
      <c r="N493" s="91"/>
      <c r="O493" s="91"/>
      <c r="P493" s="91"/>
      <c r="Q493" s="1906" t="s">
        <v>2444</v>
      </c>
      <c r="R493" s="1825"/>
      <c r="S493" s="1825"/>
      <c r="T493" s="1825"/>
      <c r="U493" s="1825"/>
      <c r="V493" s="1825"/>
      <c r="W493" s="1825"/>
      <c r="X493" s="1825"/>
      <c r="Y493" s="1825"/>
      <c r="Z493" s="1825"/>
      <c r="AA493" s="1825"/>
      <c r="AB493" s="1825"/>
      <c r="AC493" s="1825"/>
      <c r="AD493" s="1825"/>
      <c r="AE493" s="1825"/>
      <c r="AF493" s="1825"/>
      <c r="AG493" s="1825"/>
      <c r="AH493" s="1825"/>
      <c r="AI493" s="1825"/>
      <c r="AJ493" s="1825"/>
      <c r="AK493" s="190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267</v>
      </c>
      <c r="C494" s="91"/>
      <c r="D494" s="91"/>
      <c r="E494" s="91"/>
      <c r="F494" s="91"/>
      <c r="G494" s="91"/>
      <c r="H494" s="91"/>
      <c r="I494" s="91"/>
      <c r="J494" s="91"/>
      <c r="K494" s="91"/>
      <c r="L494" s="91"/>
      <c r="M494" s="91"/>
      <c r="N494" s="91"/>
      <c r="O494" s="91"/>
      <c r="P494" s="91"/>
      <c r="Q494" s="1966" t="s">
        <v>2399</v>
      </c>
      <c r="R494" s="1825"/>
      <c r="S494" s="1825"/>
      <c r="T494" s="1825"/>
      <c r="U494" s="1825"/>
      <c r="V494" s="1825"/>
      <c r="W494" s="1825"/>
      <c r="X494" s="1825"/>
      <c r="Y494" s="1825"/>
      <c r="Z494" s="1825"/>
      <c r="AA494" s="1825"/>
      <c r="AB494" s="1825"/>
      <c r="AC494" s="1825"/>
      <c r="AD494" s="1825"/>
      <c r="AE494" s="1825"/>
      <c r="AF494" s="1825"/>
      <c r="AG494" s="1825"/>
      <c r="AH494" s="1825"/>
      <c r="AI494" s="1825"/>
      <c r="AJ494" s="1825"/>
      <c r="AK494" s="190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268</v>
      </c>
      <c r="C495" s="91"/>
      <c r="D495" s="91"/>
      <c r="E495" s="91"/>
      <c r="F495" s="91"/>
      <c r="G495" s="91"/>
      <c r="H495" s="91"/>
      <c r="I495" s="91"/>
      <c r="J495" s="91"/>
      <c r="K495" s="91"/>
      <c r="L495" s="91"/>
      <c r="M495" s="91"/>
      <c r="N495" s="91"/>
      <c r="O495" s="91"/>
      <c r="P495" s="91"/>
      <c r="Q495" s="1966" t="s">
        <v>2399</v>
      </c>
      <c r="R495" s="1825"/>
      <c r="S495" s="1825"/>
      <c r="T495" s="1825"/>
      <c r="U495" s="1825"/>
      <c r="V495" s="1825"/>
      <c r="W495" s="1825"/>
      <c r="X495" s="1825"/>
      <c r="Y495" s="1825"/>
      <c r="Z495" s="1825"/>
      <c r="AA495" s="1825"/>
      <c r="AB495" s="1825"/>
      <c r="AC495" s="1825"/>
      <c r="AD495" s="1825"/>
      <c r="AE495" s="1825"/>
      <c r="AF495" s="1825"/>
      <c r="AG495" s="1825"/>
      <c r="AH495" s="1825"/>
      <c r="AI495" s="1825"/>
      <c r="AJ495" s="1825"/>
      <c r="AK495" s="190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30" t="s">
        <v>269</v>
      </c>
      <c r="C496" s="2031"/>
      <c r="D496" s="2031"/>
      <c r="E496" s="2031"/>
      <c r="F496" s="2031"/>
      <c r="G496" s="2031"/>
      <c r="H496" s="2031"/>
      <c r="I496" s="2031"/>
      <c r="J496" s="2031"/>
      <c r="K496" s="2031"/>
      <c r="L496" s="2031"/>
      <c r="M496" s="2031"/>
      <c r="N496" s="2031"/>
      <c r="O496" s="2031"/>
      <c r="P496" s="2032"/>
      <c r="Q496" s="1893" t="s">
        <v>528</v>
      </c>
      <c r="R496" s="1894"/>
      <c r="S496" s="1897" t="s">
        <v>58</v>
      </c>
      <c r="T496" s="1898"/>
      <c r="U496" s="1898"/>
      <c r="V496" s="1898"/>
      <c r="W496" s="1898"/>
      <c r="X496" s="1898"/>
      <c r="Y496" s="1898"/>
      <c r="Z496" s="1898"/>
      <c r="AA496" s="1898"/>
      <c r="AB496" s="1898"/>
      <c r="AC496" s="1898"/>
      <c r="AD496" s="1898"/>
      <c r="AE496" s="1898"/>
      <c r="AF496" s="1898"/>
      <c r="AG496" s="1898"/>
      <c r="AH496" s="1898"/>
      <c r="AI496" s="1898"/>
      <c r="AJ496" s="1898"/>
      <c r="AK496" s="189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33"/>
      <c r="C497" s="2034"/>
      <c r="D497" s="2034"/>
      <c r="E497" s="2034"/>
      <c r="F497" s="2034"/>
      <c r="G497" s="2034"/>
      <c r="H497" s="2034"/>
      <c r="I497" s="2034"/>
      <c r="J497" s="2034"/>
      <c r="K497" s="2034"/>
      <c r="L497" s="2034"/>
      <c r="M497" s="2034"/>
      <c r="N497" s="2034"/>
      <c r="O497" s="2034"/>
      <c r="P497" s="2035"/>
      <c r="Q497" s="1895"/>
      <c r="R497" s="1896"/>
      <c r="S497" s="1900"/>
      <c r="T497" s="1901"/>
      <c r="U497" s="1901"/>
      <c r="V497" s="1901"/>
      <c r="W497" s="1901"/>
      <c r="X497" s="1901"/>
      <c r="Y497" s="1901"/>
      <c r="Z497" s="1901"/>
      <c r="AA497" s="1901"/>
      <c r="AB497" s="1901"/>
      <c r="AC497" s="1901"/>
      <c r="AD497" s="1901"/>
      <c r="AE497" s="1901"/>
      <c r="AF497" s="1901"/>
      <c r="AG497" s="1901"/>
      <c r="AH497" s="1901"/>
      <c r="AI497" s="1901"/>
      <c r="AJ497" s="1901"/>
      <c r="AK497" s="190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383" t="s">
        <v>2194</v>
      </c>
      <c r="C498" s="1348"/>
      <c r="D498" s="1348"/>
      <c r="E498" s="1348"/>
      <c r="F498" s="1348"/>
      <c r="G498" s="1348"/>
      <c r="H498" s="1348"/>
      <c r="I498" s="1348"/>
      <c r="J498" s="1348"/>
      <c r="K498" s="1348"/>
      <c r="L498" s="1348"/>
      <c r="M498" s="1348"/>
      <c r="N498" s="1348"/>
      <c r="O498" s="1348"/>
      <c r="P498" s="1348"/>
      <c r="Q498" s="1903" t="s">
        <v>2445</v>
      </c>
      <c r="R498" s="1904"/>
      <c r="S498" s="1904"/>
      <c r="T498" s="1904"/>
      <c r="U498" s="1904"/>
      <c r="V498" s="1904"/>
      <c r="W498" s="1904"/>
      <c r="X498" s="1904"/>
      <c r="Y498" s="1904"/>
      <c r="Z498" s="1904"/>
      <c r="AA498" s="1904"/>
      <c r="AB498" s="1904"/>
      <c r="AC498" s="1904"/>
      <c r="AD498" s="1904"/>
      <c r="AE498" s="1904"/>
      <c r="AF498" s="1904"/>
      <c r="AG498" s="1904"/>
      <c r="AH498" s="1904"/>
      <c r="AI498" s="1904"/>
      <c r="AJ498" s="1904"/>
      <c r="AK498" s="190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270</v>
      </c>
      <c r="C499" s="91"/>
      <c r="D499" s="91"/>
      <c r="E499" s="91"/>
      <c r="F499" s="91"/>
      <c r="G499" s="91"/>
      <c r="H499" s="91"/>
      <c r="I499" s="91"/>
      <c r="J499" s="91"/>
      <c r="K499" s="91"/>
      <c r="L499" s="91"/>
      <c r="M499" s="91"/>
      <c r="N499" s="91"/>
      <c r="O499" s="91"/>
      <c r="P499" s="91"/>
      <c r="Q499" s="1906" t="s">
        <v>2446</v>
      </c>
      <c r="R499" s="1825"/>
      <c r="S499" s="1825"/>
      <c r="T499" s="1825"/>
      <c r="U499" s="1825"/>
      <c r="V499" s="1825"/>
      <c r="W499" s="1825"/>
      <c r="X499" s="1825"/>
      <c r="Y499" s="1825"/>
      <c r="Z499" s="1825"/>
      <c r="AA499" s="1825"/>
      <c r="AB499" s="1825"/>
      <c r="AC499" s="1825"/>
      <c r="AD499" s="1825"/>
      <c r="AE499" s="1825"/>
      <c r="AF499" s="1825"/>
      <c r="AG499" s="1825"/>
      <c r="AH499" s="1825"/>
      <c r="AI499" s="1825"/>
      <c r="AJ499" s="1825"/>
      <c r="AK499" s="190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271</v>
      </c>
      <c r="C500" s="91"/>
      <c r="D500" s="91"/>
      <c r="E500" s="91"/>
      <c r="F500" s="91"/>
      <c r="G500" s="91"/>
      <c r="H500" s="91"/>
      <c r="I500" s="91"/>
      <c r="J500" s="91"/>
      <c r="K500" s="91"/>
      <c r="L500" s="91"/>
      <c r="M500" s="91"/>
      <c r="N500" s="91"/>
      <c r="O500" s="91"/>
      <c r="P500" s="91"/>
      <c r="Q500" s="1966" t="s">
        <v>2410</v>
      </c>
      <c r="R500" s="1825"/>
      <c r="S500" s="1825"/>
      <c r="T500" s="1825"/>
      <c r="U500" s="1825"/>
      <c r="V500" s="1825"/>
      <c r="W500" s="1825"/>
      <c r="X500" s="1825"/>
      <c r="Y500" s="1825"/>
      <c r="Z500" s="1825"/>
      <c r="AA500" s="1825"/>
      <c r="AB500" s="1825"/>
      <c r="AC500" s="1825"/>
      <c r="AD500" s="1825"/>
      <c r="AE500" s="1825"/>
      <c r="AF500" s="1825"/>
      <c r="AG500" s="1825"/>
      <c r="AH500" s="1825"/>
      <c r="AI500" s="1825"/>
      <c r="AJ500" s="1825"/>
      <c r="AK500" s="190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2195</v>
      </c>
      <c r="C501" s="91"/>
      <c r="D501" s="91"/>
      <c r="E501" s="91"/>
      <c r="F501" s="91"/>
      <c r="G501" s="91"/>
      <c r="H501" s="91"/>
      <c r="I501" s="91"/>
      <c r="J501" s="91"/>
      <c r="K501" s="91"/>
      <c r="L501" s="91"/>
      <c r="M501" s="91"/>
      <c r="N501" s="91"/>
      <c r="O501" s="91"/>
      <c r="P501" s="91"/>
      <c r="Q501" s="1906">
        <v>171</v>
      </c>
      <c r="R501" s="1825"/>
      <c r="S501" s="1825"/>
      <c r="T501" s="1825"/>
      <c r="U501" s="1825"/>
      <c r="V501" s="1825"/>
      <c r="W501" s="1825"/>
      <c r="X501" s="1825"/>
      <c r="Y501" s="1825"/>
      <c r="Z501" s="1825"/>
      <c r="AA501" s="1825"/>
      <c r="AB501" s="1825"/>
      <c r="AC501" s="1825"/>
      <c r="AD501" s="1825"/>
      <c r="AE501" s="1825"/>
      <c r="AF501" s="1825"/>
      <c r="AG501" s="1825"/>
      <c r="AH501" s="1825"/>
      <c r="AI501" s="1825"/>
      <c r="AJ501" s="1825"/>
      <c r="AK501" s="190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2196</v>
      </c>
      <c r="C502" s="91"/>
      <c r="D502" s="91"/>
      <c r="E502" s="91"/>
      <c r="F502" s="91"/>
      <c r="G502" s="91"/>
      <c r="H502" s="91"/>
      <c r="I502" s="91"/>
      <c r="J502" s="91"/>
      <c r="K502" s="91"/>
      <c r="L502" s="91"/>
      <c r="M502" s="1846">
        <v>0</v>
      </c>
      <c r="N502" s="1847"/>
      <c r="O502" s="1847"/>
      <c r="P502" s="1848"/>
      <c r="Q502" s="1384" t="s">
        <v>2197</v>
      </c>
      <c r="R502" s="1385"/>
      <c r="S502" s="1385"/>
      <c r="T502" s="1385"/>
      <c r="U502" s="1385"/>
      <c r="V502" s="1385"/>
      <c r="W502" s="1385"/>
      <c r="X502" s="1385"/>
      <c r="Y502" s="1385"/>
      <c r="Z502" s="1385"/>
      <c r="AA502" s="1385"/>
      <c r="AB502" s="1385"/>
      <c r="AC502" s="1385"/>
      <c r="AD502" s="1385"/>
      <c r="AE502" s="1385"/>
      <c r="AF502" s="1385"/>
      <c r="AG502" s="1385"/>
      <c r="AH502" s="1846">
        <v>171</v>
      </c>
      <c r="AI502" s="1847"/>
      <c r="AJ502" s="1847"/>
      <c r="AK502" s="184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9" t="s">
        <v>273</v>
      </c>
      <c r="AD506" s="1940"/>
      <c r="AE506" s="1940"/>
      <c r="AF506" s="1940"/>
      <c r="AG506" s="1940"/>
      <c r="AH506" s="1940"/>
      <c r="AI506" s="1940"/>
      <c r="AJ506" s="1940"/>
      <c r="AK506" s="194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7" t="s">
        <v>274</v>
      </c>
      <c r="AD507" s="1968"/>
      <c r="AE507" s="1968"/>
      <c r="AF507" s="1968"/>
      <c r="AG507" s="96" t="s">
        <v>275</v>
      </c>
      <c r="AH507" s="1968" t="s">
        <v>276</v>
      </c>
      <c r="AI507" s="1968"/>
      <c r="AJ507" s="1968"/>
      <c r="AK507" s="202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927" t="s">
        <v>277</v>
      </c>
      <c r="C508" s="1928"/>
      <c r="D508" s="1928"/>
      <c r="E508" s="1928"/>
      <c r="F508" s="1928"/>
      <c r="G508" s="1928"/>
      <c r="H508" s="1929"/>
      <c r="I508" s="86" t="s">
        <v>733</v>
      </c>
      <c r="J508" s="86"/>
      <c r="K508" s="86"/>
      <c r="L508" s="86"/>
      <c r="M508" s="86"/>
      <c r="N508" s="86"/>
      <c r="O508" s="86"/>
      <c r="P508" s="86"/>
      <c r="Q508" s="86"/>
      <c r="R508" s="86"/>
      <c r="S508" s="86"/>
      <c r="T508" s="86"/>
      <c r="U508" s="86"/>
      <c r="V508" s="86"/>
      <c r="W508" s="86"/>
      <c r="X508" s="35"/>
      <c r="Y508" s="35"/>
      <c r="AC508" s="1913">
        <v>10</v>
      </c>
      <c r="AD508" s="1912"/>
      <c r="AE508" s="1912"/>
      <c r="AF508" s="1912"/>
      <c r="AG508" s="89" t="s">
        <v>275</v>
      </c>
      <c r="AH508" s="1746">
        <v>2021</v>
      </c>
      <c r="AI508" s="1746"/>
      <c r="AJ508" s="1746"/>
      <c r="AK508" s="174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930"/>
      <c r="C509" s="1931"/>
      <c r="D509" s="1931"/>
      <c r="E509" s="1931"/>
      <c r="F509" s="1931"/>
      <c r="G509" s="1931"/>
      <c r="H509" s="1932"/>
      <c r="I509" s="94" t="s">
        <v>734</v>
      </c>
      <c r="J509" s="94"/>
      <c r="K509" s="94"/>
      <c r="L509" s="94"/>
      <c r="M509" s="94"/>
      <c r="N509" s="94"/>
      <c r="O509" s="94"/>
      <c r="P509" s="94"/>
      <c r="Q509" s="94"/>
      <c r="R509" s="94"/>
      <c r="S509" s="94"/>
      <c r="T509" s="94"/>
      <c r="U509" s="94"/>
      <c r="V509" s="94"/>
      <c r="W509" s="94"/>
      <c r="X509" s="94"/>
      <c r="Y509" s="94"/>
      <c r="Z509" s="94"/>
      <c r="AA509" s="94"/>
      <c r="AB509" s="94"/>
      <c r="AC509" s="1913">
        <v>3</v>
      </c>
      <c r="AD509" s="1912"/>
      <c r="AE509" s="1912"/>
      <c r="AF509" s="1912"/>
      <c r="AG509" s="79" t="s">
        <v>275</v>
      </c>
      <c r="AH509" s="1746">
        <v>2023</v>
      </c>
      <c r="AI509" s="1746"/>
      <c r="AJ509" s="1746"/>
      <c r="AK509" s="174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927" t="s">
        <v>735</v>
      </c>
      <c r="C510" s="1928"/>
      <c r="D510" s="1928"/>
      <c r="E510" s="1928"/>
      <c r="F510" s="1928"/>
      <c r="G510" s="1928"/>
      <c r="H510" s="1929"/>
      <c r="I510" s="86" t="s">
        <v>736</v>
      </c>
      <c r="J510" s="86"/>
      <c r="K510" s="86"/>
      <c r="L510" s="86"/>
      <c r="M510" s="86"/>
      <c r="N510" s="86"/>
      <c r="O510" s="86"/>
      <c r="P510" s="86"/>
      <c r="Q510" s="86"/>
      <c r="R510" s="86"/>
      <c r="S510" s="86"/>
      <c r="T510" s="86"/>
      <c r="U510" s="86"/>
      <c r="V510" s="86"/>
      <c r="W510" s="86"/>
      <c r="X510" s="35"/>
      <c r="Y510" s="35"/>
      <c r="AC510" s="1913" t="s">
        <v>135</v>
      </c>
      <c r="AD510" s="1912"/>
      <c r="AE510" s="1912"/>
      <c r="AF510" s="1912"/>
      <c r="AG510" s="89" t="s">
        <v>275</v>
      </c>
      <c r="AH510" s="1746"/>
      <c r="AI510" s="1746"/>
      <c r="AJ510" s="1746"/>
      <c r="AK510" s="174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930"/>
      <c r="C511" s="1931"/>
      <c r="D511" s="1931"/>
      <c r="E511" s="1931"/>
      <c r="F511" s="1931"/>
      <c r="G511" s="1931"/>
      <c r="H511" s="1932"/>
      <c r="I511" s="35" t="s">
        <v>737</v>
      </c>
      <c r="J511" s="35"/>
      <c r="K511" s="35"/>
      <c r="L511" s="35"/>
      <c r="M511" s="35"/>
      <c r="N511" s="35"/>
      <c r="O511" s="35"/>
      <c r="P511" s="35"/>
      <c r="Q511" s="35"/>
      <c r="R511" s="35"/>
      <c r="S511" s="35"/>
      <c r="T511" s="35"/>
      <c r="U511" s="35"/>
      <c r="V511" s="35"/>
      <c r="W511" s="35"/>
      <c r="X511" s="35"/>
      <c r="Y511" s="35"/>
      <c r="AC511" s="1913" t="s">
        <v>135</v>
      </c>
      <c r="AD511" s="1912"/>
      <c r="AE511" s="1912"/>
      <c r="AF511" s="1912"/>
      <c r="AG511" s="89" t="s">
        <v>275</v>
      </c>
      <c r="AH511" s="1746"/>
      <c r="AI511" s="1746"/>
      <c r="AJ511" s="1746"/>
      <c r="AK511" s="174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930"/>
      <c r="C512" s="1931"/>
      <c r="D512" s="1931"/>
      <c r="E512" s="1931"/>
      <c r="F512" s="1931"/>
      <c r="G512" s="1931"/>
      <c r="H512" s="1932"/>
      <c r="I512" s="35" t="s">
        <v>738</v>
      </c>
      <c r="J512" s="35"/>
      <c r="K512" s="35"/>
      <c r="L512" s="35"/>
      <c r="M512" s="35"/>
      <c r="N512" s="35"/>
      <c r="O512" s="35"/>
      <c r="P512" s="35"/>
      <c r="Q512" s="35"/>
      <c r="R512" s="35"/>
      <c r="S512" s="35"/>
      <c r="T512" s="35"/>
      <c r="U512" s="35"/>
      <c r="V512" s="35"/>
      <c r="W512" s="35"/>
      <c r="X512" s="35"/>
      <c r="Y512" s="35"/>
      <c r="AC512" s="1913">
        <v>10</v>
      </c>
      <c r="AD512" s="1912"/>
      <c r="AE512" s="1912"/>
      <c r="AF512" s="1912"/>
      <c r="AG512" s="89" t="s">
        <v>275</v>
      </c>
      <c r="AH512" s="1746">
        <v>2021</v>
      </c>
      <c r="AI512" s="1746"/>
      <c r="AJ512" s="1746"/>
      <c r="AK512" s="174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930"/>
      <c r="C513" s="1931"/>
      <c r="D513" s="1931"/>
      <c r="E513" s="1931"/>
      <c r="F513" s="1931"/>
      <c r="G513" s="1931"/>
      <c r="H513" s="1932"/>
      <c r="I513" s="35" t="s">
        <v>739</v>
      </c>
      <c r="J513" s="35"/>
      <c r="K513" s="35"/>
      <c r="L513" s="35"/>
      <c r="M513" s="35"/>
      <c r="N513" s="35"/>
      <c r="O513" s="35"/>
      <c r="P513" s="35"/>
      <c r="Q513" s="35"/>
      <c r="R513" s="35"/>
      <c r="S513" s="35"/>
      <c r="T513" s="35"/>
      <c r="U513" s="35"/>
      <c r="V513" s="35"/>
      <c r="W513" s="35"/>
      <c r="X513" s="35"/>
      <c r="Y513" s="35"/>
      <c r="AC513" s="1913">
        <v>2</v>
      </c>
      <c r="AD513" s="1912"/>
      <c r="AE513" s="1912"/>
      <c r="AF513" s="1912"/>
      <c r="AG513" s="89" t="s">
        <v>275</v>
      </c>
      <c r="AH513" s="1746">
        <v>2023</v>
      </c>
      <c r="AI513" s="1746"/>
      <c r="AJ513" s="1746"/>
      <c r="AK513" s="174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930"/>
      <c r="C514" s="1931"/>
      <c r="D514" s="1931"/>
      <c r="E514" s="1931"/>
      <c r="F514" s="1931"/>
      <c r="G514" s="1931"/>
      <c r="H514" s="1932"/>
      <c r="I514" s="326" t="s">
        <v>740</v>
      </c>
      <c r="J514" s="35"/>
      <c r="K514" s="35"/>
      <c r="L514" s="35"/>
      <c r="M514" s="35"/>
      <c r="N514" s="35"/>
      <c r="O514" s="35"/>
      <c r="P514" s="35"/>
      <c r="Q514" s="35"/>
      <c r="R514" s="35"/>
      <c r="S514" s="35"/>
      <c r="T514" s="35"/>
      <c r="U514" s="35"/>
      <c r="V514" s="35"/>
      <c r="W514" s="35"/>
      <c r="X514" s="35"/>
      <c r="Y514" s="35"/>
      <c r="AC514" s="1952">
        <v>2</v>
      </c>
      <c r="AD514" s="1953"/>
      <c r="AE514" s="1953"/>
      <c r="AF514" s="1953"/>
      <c r="AG514" s="1350" t="s">
        <v>275</v>
      </c>
      <c r="AH514" s="1746">
        <v>2023</v>
      </c>
      <c r="AI514" s="1746"/>
      <c r="AJ514" s="1746"/>
      <c r="AK514" s="174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930"/>
      <c r="C515" s="1931"/>
      <c r="D515" s="1931"/>
      <c r="E515" s="1931"/>
      <c r="F515" s="1931"/>
      <c r="G515" s="1931"/>
      <c r="H515" s="1932"/>
      <c r="I515" s="624" t="s">
        <v>310</v>
      </c>
      <c r="J515" s="94"/>
      <c r="K515" s="94"/>
      <c r="L515" s="1882" t="s">
        <v>619</v>
      </c>
      <c r="M515" s="1883"/>
      <c r="N515" s="1883"/>
      <c r="O515" s="1883"/>
      <c r="P515" s="1883"/>
      <c r="Q515" s="1883"/>
      <c r="R515" s="1883"/>
      <c r="S515" s="1883"/>
      <c r="T515" s="1883"/>
      <c r="U515" s="1883"/>
      <c r="V515" s="1883"/>
      <c r="W515" s="1883"/>
      <c r="X515" s="1883"/>
      <c r="Y515" s="1883"/>
      <c r="Z515" s="1883"/>
      <c r="AA515" s="1883"/>
      <c r="AB515" s="1963"/>
      <c r="AC515" s="1972" t="s">
        <v>135</v>
      </c>
      <c r="AD515" s="1973"/>
      <c r="AE515" s="1973"/>
      <c r="AF515" s="1973"/>
      <c r="AG515" s="1346" t="s">
        <v>275</v>
      </c>
      <c r="AH515" s="1746"/>
      <c r="AI515" s="1746"/>
      <c r="AJ515" s="1746"/>
      <c r="AK515" s="174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930"/>
      <c r="C516" s="1931"/>
      <c r="D516" s="1931"/>
      <c r="E516" s="1931"/>
      <c r="F516" s="1931"/>
      <c r="G516" s="1931"/>
      <c r="H516" s="1932"/>
      <c r="I516" s="1070" t="s">
        <v>2198</v>
      </c>
      <c r="J516" s="35"/>
      <c r="K516" s="35"/>
      <c r="L516" s="35"/>
      <c r="M516" s="35"/>
      <c r="N516" s="35"/>
      <c r="O516" s="35"/>
      <c r="P516" s="35"/>
      <c r="Q516" s="35"/>
      <c r="R516" s="35"/>
      <c r="S516" s="35"/>
      <c r="T516" s="35"/>
      <c r="U516" s="35"/>
      <c r="V516" s="35"/>
      <c r="W516" s="35"/>
      <c r="X516" s="35"/>
      <c r="Y516" s="35"/>
      <c r="AC516" s="1974" t="s">
        <v>528</v>
      </c>
      <c r="AD516" s="1974"/>
      <c r="AE516" s="1974"/>
      <c r="AF516" s="1974"/>
      <c r="AG516" s="1350"/>
      <c r="AH516" s="1955"/>
      <c r="AI516" s="1955"/>
      <c r="AJ516" s="1955"/>
      <c r="AK516" s="195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930"/>
      <c r="C517" s="1931"/>
      <c r="D517" s="1931"/>
      <c r="E517" s="1931"/>
      <c r="F517" s="1931"/>
      <c r="G517" s="1931"/>
      <c r="H517" s="1932"/>
      <c r="I517" s="623" t="s">
        <v>2199</v>
      </c>
      <c r="J517" s="35"/>
      <c r="K517" s="35"/>
      <c r="L517" s="35"/>
      <c r="M517" s="35"/>
      <c r="N517" s="35"/>
      <c r="O517" s="35"/>
      <c r="P517" s="35"/>
      <c r="Q517" s="35"/>
      <c r="R517" s="35"/>
      <c r="S517" s="35"/>
      <c r="T517" s="35"/>
      <c r="U517" s="35"/>
      <c r="V517" s="35"/>
      <c r="W517" s="35"/>
      <c r="X517" s="35"/>
      <c r="Y517" s="35"/>
      <c r="AC517" s="1952"/>
      <c r="AD517" s="1953"/>
      <c r="AE517" s="1953"/>
      <c r="AF517" s="1954"/>
      <c r="AG517" s="1350"/>
      <c r="AH517" s="1955"/>
      <c r="AI517" s="1955"/>
      <c r="AJ517" s="1955"/>
      <c r="AK517" s="195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930"/>
      <c r="C518" s="1931"/>
      <c r="D518" s="1931"/>
      <c r="E518" s="1931"/>
      <c r="F518" s="1931"/>
      <c r="G518" s="1931"/>
      <c r="H518" s="1932"/>
      <c r="I518" s="623" t="s">
        <v>2200</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930"/>
      <c r="C519" s="1931"/>
      <c r="D519" s="1931"/>
      <c r="E519" s="1931"/>
      <c r="F519" s="1931"/>
      <c r="G519" s="1931"/>
      <c r="H519" s="1932"/>
      <c r="I519" s="1390" t="s">
        <v>2201</v>
      </c>
      <c r="J519" s="94"/>
      <c r="K519" s="94"/>
      <c r="L519" s="94"/>
      <c r="M519" s="94"/>
      <c r="N519" s="94"/>
      <c r="O519" s="94"/>
      <c r="P519" s="94"/>
      <c r="Q519" s="94"/>
      <c r="R519" s="94"/>
      <c r="S519" s="94"/>
      <c r="T519" s="94"/>
      <c r="U519" s="94"/>
      <c r="V519" s="94"/>
      <c r="W519" s="94"/>
      <c r="X519" s="94"/>
      <c r="Y519" s="94"/>
      <c r="Z519" s="94"/>
      <c r="AA519" s="94"/>
      <c r="AB519" s="94"/>
      <c r="AC519" s="1957" t="s">
        <v>2447</v>
      </c>
      <c r="AD519" s="1958"/>
      <c r="AE519" s="1958"/>
      <c r="AF519" s="1959"/>
      <c r="AG519" s="1346"/>
      <c r="AH519" s="2025"/>
      <c r="AI519" s="2025"/>
      <c r="AJ519" s="2025"/>
      <c r="AK519" s="202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927" t="s">
        <v>741</v>
      </c>
      <c r="C520" s="1928"/>
      <c r="D520" s="1928"/>
      <c r="E520" s="1928"/>
      <c r="F520" s="1928"/>
      <c r="G520" s="1928"/>
      <c r="H520" s="1929"/>
      <c r="I520" s="86" t="s">
        <v>742</v>
      </c>
      <c r="J520" s="86"/>
      <c r="K520" s="86"/>
      <c r="L520" s="86"/>
      <c r="M520" s="86"/>
      <c r="N520" s="86"/>
      <c r="O520" s="86"/>
      <c r="P520" s="86"/>
      <c r="Q520" s="86"/>
      <c r="R520" s="86"/>
      <c r="S520" s="86"/>
      <c r="T520" s="86"/>
      <c r="U520" s="86"/>
      <c r="V520" s="86"/>
      <c r="W520" s="86"/>
      <c r="X520" s="35"/>
      <c r="Y520" s="35"/>
      <c r="AC520" s="1913">
        <v>6</v>
      </c>
      <c r="AD520" s="1912"/>
      <c r="AE520" s="1912"/>
      <c r="AF520" s="1912"/>
      <c r="AG520" s="89" t="s">
        <v>275</v>
      </c>
      <c r="AH520" s="1746">
        <v>2022</v>
      </c>
      <c r="AI520" s="1746"/>
      <c r="AJ520" s="1746"/>
      <c r="AK520" s="174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930"/>
      <c r="C521" s="1931"/>
      <c r="D521" s="1931"/>
      <c r="E521" s="1931"/>
      <c r="F521" s="1931"/>
      <c r="G521" s="1931"/>
      <c r="H521" s="1932"/>
      <c r="I521" s="35" t="s">
        <v>743</v>
      </c>
      <c r="J521" s="35"/>
      <c r="K521" s="35"/>
      <c r="L521" s="35"/>
      <c r="M521" s="35"/>
      <c r="N521" s="35"/>
      <c r="O521" s="35"/>
      <c r="P521" s="35"/>
      <c r="Q521" s="35"/>
      <c r="R521" s="35"/>
      <c r="S521" s="35"/>
      <c r="T521" s="35"/>
      <c r="U521" s="35"/>
      <c r="V521" s="35"/>
      <c r="W521" s="35"/>
      <c r="X521" s="35"/>
      <c r="Y521" s="35"/>
      <c r="AC521" s="1913">
        <v>6</v>
      </c>
      <c r="AD521" s="1912"/>
      <c r="AE521" s="1912"/>
      <c r="AF521" s="1912"/>
      <c r="AG521" s="89" t="s">
        <v>275</v>
      </c>
      <c r="AH521" s="1746">
        <v>2022</v>
      </c>
      <c r="AI521" s="1746"/>
      <c r="AJ521" s="1746"/>
      <c r="AK521" s="174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930"/>
      <c r="C522" s="1931"/>
      <c r="D522" s="1931"/>
      <c r="E522" s="1931"/>
      <c r="F522" s="1931"/>
      <c r="G522" s="1931"/>
      <c r="H522" s="1932"/>
      <c r="I522" s="94" t="s">
        <v>744</v>
      </c>
      <c r="J522" s="94"/>
      <c r="K522" s="94"/>
      <c r="L522" s="94"/>
      <c r="M522" s="94"/>
      <c r="N522" s="94"/>
      <c r="O522" s="94"/>
      <c r="P522" s="94"/>
      <c r="Q522" s="94"/>
      <c r="R522" s="94"/>
      <c r="S522" s="94"/>
      <c r="T522" s="94"/>
      <c r="U522" s="94"/>
      <c r="V522" s="94"/>
      <c r="W522" s="94"/>
      <c r="X522" s="94"/>
      <c r="Y522" s="94"/>
      <c r="Z522" s="94"/>
      <c r="AA522" s="94"/>
      <c r="AB522" s="94"/>
      <c r="AC522" s="1913">
        <v>3</v>
      </c>
      <c r="AD522" s="1912"/>
      <c r="AE522" s="1912"/>
      <c r="AF522" s="1912"/>
      <c r="AG522" s="79" t="s">
        <v>275</v>
      </c>
      <c r="AH522" s="1746">
        <v>2023</v>
      </c>
      <c r="AI522" s="1746"/>
      <c r="AJ522" s="1746"/>
      <c r="AK522" s="174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927" t="s">
        <v>745</v>
      </c>
      <c r="C523" s="1928"/>
      <c r="D523" s="1928"/>
      <c r="E523" s="1928"/>
      <c r="F523" s="1928"/>
      <c r="G523" s="1928"/>
      <c r="H523" s="1929"/>
      <c r="I523" s="86" t="s">
        <v>742</v>
      </c>
      <c r="J523" s="86"/>
      <c r="K523" s="86"/>
      <c r="L523" s="86"/>
      <c r="M523" s="86"/>
      <c r="N523" s="86"/>
      <c r="O523" s="86"/>
      <c r="P523" s="86"/>
      <c r="Q523" s="86"/>
      <c r="R523" s="86"/>
      <c r="S523" s="86"/>
      <c r="T523" s="86"/>
      <c r="U523" s="86"/>
      <c r="V523" s="86"/>
      <c r="W523" s="86"/>
      <c r="X523" s="86"/>
      <c r="Y523" s="86"/>
      <c r="Z523" s="86"/>
      <c r="AA523" s="86"/>
      <c r="AB523" s="86"/>
      <c r="AC523" s="1914">
        <v>6</v>
      </c>
      <c r="AD523" s="1915"/>
      <c r="AE523" s="1915"/>
      <c r="AF523" s="1915"/>
      <c r="AG523" s="360" t="s">
        <v>275</v>
      </c>
      <c r="AH523" s="1746">
        <v>2022</v>
      </c>
      <c r="AI523" s="1746"/>
      <c r="AJ523" s="1746"/>
      <c r="AK523" s="174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930"/>
      <c r="C524" s="1931"/>
      <c r="D524" s="1931"/>
      <c r="E524" s="1931"/>
      <c r="F524" s="1931"/>
      <c r="G524" s="1931"/>
      <c r="H524" s="1932"/>
      <c r="I524" s="35" t="s">
        <v>743</v>
      </c>
      <c r="J524" s="35"/>
      <c r="K524" s="35"/>
      <c r="L524" s="35"/>
      <c r="M524" s="35"/>
      <c r="N524" s="35"/>
      <c r="O524" s="35"/>
      <c r="P524" s="35"/>
      <c r="Q524" s="35"/>
      <c r="R524" s="35"/>
      <c r="S524" s="35"/>
      <c r="T524" s="35"/>
      <c r="U524" s="35"/>
      <c r="V524" s="35"/>
      <c r="W524" s="35"/>
      <c r="X524" s="35"/>
      <c r="Y524" s="35"/>
      <c r="Z524" s="35"/>
      <c r="AA524" s="35"/>
      <c r="AB524" s="35"/>
      <c r="AC524" s="1913">
        <v>6</v>
      </c>
      <c r="AD524" s="1912"/>
      <c r="AE524" s="1912"/>
      <c r="AF524" s="1912"/>
      <c r="AG524" s="89" t="s">
        <v>275</v>
      </c>
      <c r="AH524" s="1746">
        <v>2022</v>
      </c>
      <c r="AI524" s="1746"/>
      <c r="AJ524" s="1746"/>
      <c r="AK524" s="174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933"/>
      <c r="C525" s="1934"/>
      <c r="D525" s="1934"/>
      <c r="E525" s="1934"/>
      <c r="F525" s="1934"/>
      <c r="G525" s="1934"/>
      <c r="H525" s="1935"/>
      <c r="I525" s="94" t="s">
        <v>744</v>
      </c>
      <c r="J525" s="94"/>
      <c r="K525" s="94"/>
      <c r="L525" s="94"/>
      <c r="M525" s="94"/>
      <c r="N525" s="94"/>
      <c r="O525" s="94"/>
      <c r="P525" s="94"/>
      <c r="Q525" s="94"/>
      <c r="R525" s="94"/>
      <c r="S525" s="94"/>
      <c r="T525" s="94"/>
      <c r="U525" s="94"/>
      <c r="V525" s="94"/>
      <c r="W525" s="94"/>
      <c r="X525" s="94"/>
      <c r="Y525" s="94"/>
      <c r="Z525" s="94"/>
      <c r="AA525" s="94"/>
      <c r="AB525" s="94"/>
      <c r="AC525" s="1913">
        <v>3</v>
      </c>
      <c r="AD525" s="1912"/>
      <c r="AE525" s="1912"/>
      <c r="AF525" s="1912"/>
      <c r="AG525" s="79" t="s">
        <v>275</v>
      </c>
      <c r="AH525" s="1746">
        <v>2023</v>
      </c>
      <c r="AI525" s="1746"/>
      <c r="AJ525" s="1746"/>
      <c r="AK525" s="174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927" t="s">
        <v>746</v>
      </c>
      <c r="C526" s="1928"/>
      <c r="D526" s="1928"/>
      <c r="E526" s="1928"/>
      <c r="F526" s="1928"/>
      <c r="G526" s="1928"/>
      <c r="H526" s="1929"/>
      <c r="I526" s="85" t="s">
        <v>747</v>
      </c>
      <c r="J526" s="86"/>
      <c r="K526" s="86"/>
      <c r="L526" s="86"/>
      <c r="M526" s="86"/>
      <c r="N526" s="86"/>
      <c r="O526" s="1833" t="s">
        <v>2341</v>
      </c>
      <c r="P526" s="1825"/>
      <c r="Q526" s="1825"/>
      <c r="R526" s="1825"/>
      <c r="S526" s="1825"/>
      <c r="T526" s="1825"/>
      <c r="U526" s="1825"/>
      <c r="V526" s="1825"/>
      <c r="W526" s="1825"/>
      <c r="X526" s="1825"/>
      <c r="Y526" s="1825"/>
      <c r="Z526" s="1825"/>
      <c r="AA526" s="1825"/>
      <c r="AB526" s="108"/>
      <c r="AC526" s="1914">
        <v>6</v>
      </c>
      <c r="AD526" s="1915"/>
      <c r="AE526" s="1915"/>
      <c r="AF526" s="1915"/>
      <c r="AG526" s="360" t="s">
        <v>275</v>
      </c>
      <c r="AH526" s="1746">
        <v>2022</v>
      </c>
      <c r="AI526" s="1746"/>
      <c r="AJ526" s="1746"/>
      <c r="AK526" s="174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930"/>
      <c r="C527" s="1931"/>
      <c r="D527" s="1931"/>
      <c r="E527" s="1931"/>
      <c r="F527" s="1931"/>
      <c r="G527" s="1931"/>
      <c r="H527" s="1932"/>
      <c r="I527" s="317" t="s">
        <v>748</v>
      </c>
      <c r="J527" s="35"/>
      <c r="K527" s="35"/>
      <c r="L527" s="35"/>
      <c r="M527" s="35"/>
      <c r="N527" s="35"/>
      <c r="O527" s="35"/>
      <c r="P527" s="35"/>
      <c r="Q527" s="35"/>
      <c r="R527" s="35"/>
      <c r="S527" s="35"/>
      <c r="T527" s="35"/>
      <c r="U527" s="35"/>
      <c r="V527" s="35"/>
      <c r="W527" s="35"/>
      <c r="X527" s="35"/>
      <c r="Y527" s="35"/>
      <c r="Z527" s="35"/>
      <c r="AA527" s="35"/>
      <c r="AB527" s="115"/>
      <c r="AC527" s="1913">
        <v>6</v>
      </c>
      <c r="AD527" s="1912"/>
      <c r="AE527" s="1912"/>
      <c r="AF527" s="1912"/>
      <c r="AG527" s="89" t="s">
        <v>275</v>
      </c>
      <c r="AH527" s="1746">
        <v>2022</v>
      </c>
      <c r="AI527" s="1746"/>
      <c r="AJ527" s="1746"/>
      <c r="AK527" s="174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930"/>
      <c r="C528" s="1931"/>
      <c r="D528" s="1931"/>
      <c r="E528" s="1931"/>
      <c r="F528" s="1931"/>
      <c r="G528" s="1931"/>
      <c r="H528" s="1932"/>
      <c r="I528" s="93" t="s">
        <v>749</v>
      </c>
      <c r="J528" s="94"/>
      <c r="K528" s="94"/>
      <c r="L528" s="94"/>
      <c r="M528" s="94"/>
      <c r="N528" s="94"/>
      <c r="O528" s="94"/>
      <c r="P528" s="94"/>
      <c r="Q528" s="94"/>
      <c r="R528" s="94"/>
      <c r="S528" s="94"/>
      <c r="T528" s="94"/>
      <c r="U528" s="94"/>
      <c r="V528" s="94"/>
      <c r="W528" s="94"/>
      <c r="X528" s="94"/>
      <c r="Y528" s="94"/>
      <c r="Z528" s="94"/>
      <c r="AA528" s="94"/>
      <c r="AB528" s="95"/>
      <c r="AC528" s="1913">
        <v>3</v>
      </c>
      <c r="AD528" s="1912"/>
      <c r="AE528" s="1912"/>
      <c r="AF528" s="1912"/>
      <c r="AG528" s="79" t="s">
        <v>275</v>
      </c>
      <c r="AH528" s="1746">
        <v>2023</v>
      </c>
      <c r="AI528" s="1746"/>
      <c r="AJ528" s="1746"/>
      <c r="AK528" s="174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930"/>
      <c r="C529" s="1931"/>
      <c r="D529" s="1931"/>
      <c r="E529" s="1931"/>
      <c r="F529" s="1931"/>
      <c r="G529" s="1931"/>
      <c r="H529" s="1932"/>
      <c r="I529" s="86" t="s">
        <v>750</v>
      </c>
      <c r="J529" s="86"/>
      <c r="K529" s="86"/>
      <c r="L529" s="86"/>
      <c r="M529" s="86"/>
      <c r="N529" s="86"/>
      <c r="O529" s="1852" t="s">
        <v>2448</v>
      </c>
      <c r="P529" s="1824"/>
      <c r="Q529" s="1824"/>
      <c r="R529" s="1824"/>
      <c r="S529" s="1824"/>
      <c r="T529" s="1824"/>
      <c r="U529" s="1824"/>
      <c r="V529" s="1824"/>
      <c r="W529" s="1824"/>
      <c r="X529" s="1824"/>
      <c r="Y529" s="1824"/>
      <c r="Z529" s="1824"/>
      <c r="AA529" s="1824"/>
      <c r="AC529" s="1913">
        <v>4</v>
      </c>
      <c r="AD529" s="1912"/>
      <c r="AE529" s="1912"/>
      <c r="AF529" s="1912"/>
      <c r="AG529" s="89" t="s">
        <v>275</v>
      </c>
      <c r="AH529" s="1746">
        <v>2022</v>
      </c>
      <c r="AI529" s="1746"/>
      <c r="AJ529" s="1746"/>
      <c r="AK529" s="174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930"/>
      <c r="C530" s="1931"/>
      <c r="D530" s="1931"/>
      <c r="E530" s="1931"/>
      <c r="F530" s="1931"/>
      <c r="G530" s="1931"/>
      <c r="H530" s="1932"/>
      <c r="I530" s="35" t="s">
        <v>748</v>
      </c>
      <c r="J530" s="35"/>
      <c r="K530" s="35"/>
      <c r="L530" s="35"/>
      <c r="M530" s="35"/>
      <c r="N530" s="35"/>
      <c r="O530" s="35"/>
      <c r="P530" s="35"/>
      <c r="Q530" s="35"/>
      <c r="R530" s="35"/>
      <c r="S530" s="35"/>
      <c r="T530" s="35"/>
      <c r="U530" s="35"/>
      <c r="V530" s="35"/>
      <c r="W530" s="35"/>
      <c r="X530" s="35"/>
      <c r="Y530" s="35"/>
      <c r="AC530" s="1913">
        <v>11</v>
      </c>
      <c r="AD530" s="1912"/>
      <c r="AE530" s="1912"/>
      <c r="AF530" s="1912"/>
      <c r="AG530" s="89" t="s">
        <v>275</v>
      </c>
      <c r="AH530" s="1746">
        <v>2021</v>
      </c>
      <c r="AI530" s="1746"/>
      <c r="AJ530" s="1746"/>
      <c r="AK530" s="174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930"/>
      <c r="C531" s="1931"/>
      <c r="D531" s="1931"/>
      <c r="E531" s="1931"/>
      <c r="F531" s="1931"/>
      <c r="G531" s="1931"/>
      <c r="H531" s="1932"/>
      <c r="I531" s="94" t="s">
        <v>749</v>
      </c>
      <c r="J531" s="94"/>
      <c r="K531" s="94"/>
      <c r="L531" s="94"/>
      <c r="M531" s="94"/>
      <c r="N531" s="94"/>
      <c r="O531" s="94"/>
      <c r="P531" s="94"/>
      <c r="Q531" s="94"/>
      <c r="R531" s="94"/>
      <c r="S531" s="94"/>
      <c r="T531" s="94"/>
      <c r="U531" s="94"/>
      <c r="V531" s="94"/>
      <c r="W531" s="94"/>
      <c r="X531" s="94"/>
      <c r="Y531" s="94"/>
      <c r="Z531" s="94"/>
      <c r="AA531" s="94"/>
      <c r="AB531" s="94"/>
      <c r="AC531" s="1913">
        <v>3</v>
      </c>
      <c r="AD531" s="1912"/>
      <c r="AE531" s="1912"/>
      <c r="AF531" s="1912"/>
      <c r="AG531" s="79" t="s">
        <v>275</v>
      </c>
      <c r="AH531" s="1746">
        <v>2023</v>
      </c>
      <c r="AI531" s="1746"/>
      <c r="AJ531" s="1746"/>
      <c r="AK531" s="174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930"/>
      <c r="C532" s="1931"/>
      <c r="D532" s="1931"/>
      <c r="E532" s="1931"/>
      <c r="F532" s="1931"/>
      <c r="G532" s="1931"/>
      <c r="H532" s="1932"/>
      <c r="I532" s="86" t="s">
        <v>750</v>
      </c>
      <c r="J532" s="86"/>
      <c r="K532" s="86"/>
      <c r="L532" s="86"/>
      <c r="M532" s="86"/>
      <c r="N532" s="86"/>
      <c r="O532" s="1824" t="s">
        <v>619</v>
      </c>
      <c r="P532" s="1824"/>
      <c r="Q532" s="1824"/>
      <c r="R532" s="1824"/>
      <c r="S532" s="1824"/>
      <c r="T532" s="1824"/>
      <c r="U532" s="1824"/>
      <c r="V532" s="1824"/>
      <c r="W532" s="1824"/>
      <c r="X532" s="1824"/>
      <c r="Y532" s="1824"/>
      <c r="Z532" s="1824"/>
      <c r="AA532" s="1824"/>
      <c r="AC532" s="1913" t="s">
        <v>135</v>
      </c>
      <c r="AD532" s="1912"/>
      <c r="AE532" s="1912"/>
      <c r="AF532" s="1912"/>
      <c r="AG532" s="89" t="s">
        <v>275</v>
      </c>
      <c r="AH532" s="1746"/>
      <c r="AI532" s="1746"/>
      <c r="AJ532" s="1746"/>
      <c r="AK532" s="174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930"/>
      <c r="C533" s="1931"/>
      <c r="D533" s="1931"/>
      <c r="E533" s="1931"/>
      <c r="F533" s="1931"/>
      <c r="G533" s="1931"/>
      <c r="H533" s="1932"/>
      <c r="I533" s="35" t="s">
        <v>748</v>
      </c>
      <c r="J533" s="35"/>
      <c r="K533" s="35"/>
      <c r="L533" s="35"/>
      <c r="M533" s="35"/>
      <c r="N533" s="35"/>
      <c r="O533" s="35"/>
      <c r="P533" s="35"/>
      <c r="Q533" s="35"/>
      <c r="R533" s="35"/>
      <c r="S533" s="35"/>
      <c r="T533" s="35"/>
      <c r="U533" s="35"/>
      <c r="V533" s="35"/>
      <c r="W533" s="35"/>
      <c r="X533" s="35"/>
      <c r="Y533" s="35"/>
      <c r="AC533" s="1913" t="s">
        <v>135</v>
      </c>
      <c r="AD533" s="1912"/>
      <c r="AE533" s="1912"/>
      <c r="AF533" s="1912"/>
      <c r="AG533" s="89" t="s">
        <v>275</v>
      </c>
      <c r="AH533" s="1746"/>
      <c r="AI533" s="1746"/>
      <c r="AJ533" s="1746"/>
      <c r="AK533" s="174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930"/>
      <c r="C534" s="1931"/>
      <c r="D534" s="1931"/>
      <c r="E534" s="1931"/>
      <c r="F534" s="1931"/>
      <c r="G534" s="1931"/>
      <c r="H534" s="1932"/>
      <c r="I534" s="94" t="s">
        <v>749</v>
      </c>
      <c r="J534" s="94"/>
      <c r="K534" s="94"/>
      <c r="L534" s="94"/>
      <c r="M534" s="94"/>
      <c r="N534" s="94"/>
      <c r="O534" s="94"/>
      <c r="P534" s="94"/>
      <c r="Q534" s="94"/>
      <c r="R534" s="94"/>
      <c r="S534" s="94"/>
      <c r="T534" s="94"/>
      <c r="U534" s="94"/>
      <c r="V534" s="94"/>
      <c r="W534" s="94"/>
      <c r="X534" s="94"/>
      <c r="Y534" s="94"/>
      <c r="Z534" s="94"/>
      <c r="AA534" s="94"/>
      <c r="AB534" s="94"/>
      <c r="AC534" s="1913" t="s">
        <v>135</v>
      </c>
      <c r="AD534" s="1912"/>
      <c r="AE534" s="1912"/>
      <c r="AF534" s="1912"/>
      <c r="AG534" s="79" t="s">
        <v>275</v>
      </c>
      <c r="AH534" s="1746"/>
      <c r="AI534" s="1746"/>
      <c r="AJ534" s="1746"/>
      <c r="AK534" s="174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930"/>
      <c r="C535" s="1931"/>
      <c r="D535" s="1931"/>
      <c r="E535" s="1931"/>
      <c r="F535" s="1931"/>
      <c r="G535" s="1931"/>
      <c r="H535" s="1932"/>
      <c r="I535" s="86" t="s">
        <v>750</v>
      </c>
      <c r="J535" s="86"/>
      <c r="K535" s="86"/>
      <c r="L535" s="86"/>
      <c r="M535" s="86"/>
      <c r="N535" s="86"/>
      <c r="O535" s="1824" t="s">
        <v>619</v>
      </c>
      <c r="P535" s="1824"/>
      <c r="Q535" s="1824"/>
      <c r="R535" s="1824"/>
      <c r="S535" s="1824"/>
      <c r="T535" s="1824"/>
      <c r="U535" s="1824"/>
      <c r="V535" s="1824"/>
      <c r="W535" s="1824"/>
      <c r="X535" s="1824"/>
      <c r="Y535" s="1824"/>
      <c r="Z535" s="1824"/>
      <c r="AA535" s="1824"/>
      <c r="AC535" s="1913" t="s">
        <v>135</v>
      </c>
      <c r="AD535" s="1912"/>
      <c r="AE535" s="1912"/>
      <c r="AF535" s="1912"/>
      <c r="AG535" s="89" t="s">
        <v>275</v>
      </c>
      <c r="AH535" s="1746"/>
      <c r="AI535" s="1746"/>
      <c r="AJ535" s="1746"/>
      <c r="AK535" s="174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930"/>
      <c r="C536" s="1931"/>
      <c r="D536" s="1931"/>
      <c r="E536" s="1931"/>
      <c r="F536" s="1931"/>
      <c r="G536" s="1931"/>
      <c r="H536" s="1932"/>
      <c r="I536" s="35" t="s">
        <v>748</v>
      </c>
      <c r="J536" s="35"/>
      <c r="K536" s="35"/>
      <c r="L536" s="35"/>
      <c r="M536" s="35"/>
      <c r="N536" s="35"/>
      <c r="O536" s="35"/>
      <c r="P536" s="35"/>
      <c r="Q536" s="35"/>
      <c r="R536" s="35"/>
      <c r="S536" s="35"/>
      <c r="T536" s="35"/>
      <c r="U536" s="35"/>
      <c r="V536" s="35"/>
      <c r="W536" s="35"/>
      <c r="X536" s="35"/>
      <c r="Y536" s="35"/>
      <c r="AC536" s="1913" t="s">
        <v>135</v>
      </c>
      <c r="AD536" s="1912"/>
      <c r="AE536" s="1912"/>
      <c r="AF536" s="1912"/>
      <c r="AG536" s="89" t="s">
        <v>275</v>
      </c>
      <c r="AH536" s="1746"/>
      <c r="AI536" s="1746"/>
      <c r="AJ536" s="1746"/>
      <c r="AK536" s="174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930"/>
      <c r="C537" s="1931"/>
      <c r="D537" s="1931"/>
      <c r="E537" s="1931"/>
      <c r="F537" s="1931"/>
      <c r="G537" s="1931"/>
      <c r="H537" s="1932"/>
      <c r="I537" s="94" t="s">
        <v>749</v>
      </c>
      <c r="J537" s="94"/>
      <c r="K537" s="94"/>
      <c r="L537" s="94"/>
      <c r="M537" s="94"/>
      <c r="N537" s="94"/>
      <c r="O537" s="94"/>
      <c r="P537" s="94"/>
      <c r="Q537" s="94"/>
      <c r="R537" s="94"/>
      <c r="S537" s="94"/>
      <c r="T537" s="94"/>
      <c r="U537" s="94"/>
      <c r="V537" s="94"/>
      <c r="W537" s="94"/>
      <c r="X537" s="94"/>
      <c r="Y537" s="94"/>
      <c r="Z537" s="94"/>
      <c r="AA537" s="94"/>
      <c r="AB537" s="94"/>
      <c r="AC537" s="1913" t="s">
        <v>135</v>
      </c>
      <c r="AD537" s="1912"/>
      <c r="AE537" s="1912"/>
      <c r="AF537" s="1912"/>
      <c r="AG537" s="79" t="s">
        <v>275</v>
      </c>
      <c r="AH537" s="1746"/>
      <c r="AI537" s="1746"/>
      <c r="AJ537" s="1746"/>
      <c r="AK537" s="174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930"/>
      <c r="C538" s="1931"/>
      <c r="D538" s="1931"/>
      <c r="E538" s="1931"/>
      <c r="F538" s="1931"/>
      <c r="G538" s="1931"/>
      <c r="H538" s="1932"/>
      <c r="I538" s="86" t="s">
        <v>750</v>
      </c>
      <c r="J538" s="86"/>
      <c r="K538" s="86"/>
      <c r="L538" s="86"/>
      <c r="M538" s="86"/>
      <c r="N538" s="86"/>
      <c r="O538" s="1824" t="s">
        <v>619</v>
      </c>
      <c r="P538" s="1824"/>
      <c r="Q538" s="1824"/>
      <c r="R538" s="1824"/>
      <c r="S538" s="1824"/>
      <c r="T538" s="1824"/>
      <c r="U538" s="1824"/>
      <c r="V538" s="1824"/>
      <c r="W538" s="1824"/>
      <c r="X538" s="1824"/>
      <c r="Y538" s="1824"/>
      <c r="Z538" s="1824"/>
      <c r="AA538" s="1824"/>
      <c r="AC538" s="1913" t="s">
        <v>135</v>
      </c>
      <c r="AD538" s="1912"/>
      <c r="AE538" s="1912"/>
      <c r="AF538" s="1912"/>
      <c r="AG538" s="89" t="s">
        <v>275</v>
      </c>
      <c r="AH538" s="1746"/>
      <c r="AI538" s="1746"/>
      <c r="AJ538" s="1746"/>
      <c r="AK538" s="174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930"/>
      <c r="C539" s="1931"/>
      <c r="D539" s="1931"/>
      <c r="E539" s="1931"/>
      <c r="F539" s="1931"/>
      <c r="G539" s="1931"/>
      <c r="H539" s="1932"/>
      <c r="I539" s="35" t="s">
        <v>748</v>
      </c>
      <c r="J539" s="35"/>
      <c r="K539" s="35"/>
      <c r="L539" s="35"/>
      <c r="M539" s="35"/>
      <c r="N539" s="35"/>
      <c r="O539" s="35"/>
      <c r="P539" s="35"/>
      <c r="Q539" s="35"/>
      <c r="R539" s="35"/>
      <c r="S539" s="35"/>
      <c r="T539" s="35"/>
      <c r="U539" s="35"/>
      <c r="V539" s="35"/>
      <c r="W539" s="35"/>
      <c r="X539" s="35"/>
      <c r="Y539" s="35"/>
      <c r="AC539" s="1913" t="s">
        <v>135</v>
      </c>
      <c r="AD539" s="1912"/>
      <c r="AE539" s="1912"/>
      <c r="AF539" s="1912"/>
      <c r="AG539" s="79" t="s">
        <v>275</v>
      </c>
      <c r="AH539" s="1746"/>
      <c r="AI539" s="1746"/>
      <c r="AJ539" s="1746"/>
      <c r="AK539" s="174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930"/>
      <c r="C540" s="1931"/>
      <c r="D540" s="1931"/>
      <c r="E540" s="1931"/>
      <c r="F540" s="1931"/>
      <c r="G540" s="1931"/>
      <c r="H540" s="1932"/>
      <c r="I540" s="94" t="s">
        <v>749</v>
      </c>
      <c r="J540" s="94"/>
      <c r="K540" s="94"/>
      <c r="L540" s="94"/>
      <c r="M540" s="94"/>
      <c r="N540" s="94"/>
      <c r="O540" s="94"/>
      <c r="P540" s="94"/>
      <c r="Q540" s="94"/>
      <c r="R540" s="94"/>
      <c r="S540" s="94"/>
      <c r="T540" s="94"/>
      <c r="U540" s="94"/>
      <c r="V540" s="94"/>
      <c r="W540" s="94"/>
      <c r="X540" s="94"/>
      <c r="Y540" s="94"/>
      <c r="Z540" s="94"/>
      <c r="AA540" s="94"/>
      <c r="AB540" s="94"/>
      <c r="AC540" s="1913" t="s">
        <v>135</v>
      </c>
      <c r="AD540" s="1912"/>
      <c r="AE540" s="1912"/>
      <c r="AF540" s="1912"/>
      <c r="AG540" s="89" t="s">
        <v>275</v>
      </c>
      <c r="AH540" s="1746"/>
      <c r="AI540" s="1746"/>
      <c r="AJ540" s="1746"/>
      <c r="AK540" s="174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30"/>
      <c r="C541" s="1931"/>
      <c r="D541" s="1931"/>
      <c r="E541" s="1931"/>
      <c r="F541" s="1931"/>
      <c r="G541" s="1931"/>
      <c r="H541" s="1932"/>
      <c r="I541" s="86" t="s">
        <v>750</v>
      </c>
      <c r="J541" s="86"/>
      <c r="K541" s="86"/>
      <c r="L541" s="86"/>
      <c r="M541" s="86"/>
      <c r="N541" s="86"/>
      <c r="O541" s="1824" t="s">
        <v>619</v>
      </c>
      <c r="P541" s="1824"/>
      <c r="Q541" s="1824"/>
      <c r="R541" s="1824"/>
      <c r="S541" s="1824"/>
      <c r="T541" s="1824"/>
      <c r="U541" s="1824"/>
      <c r="V541" s="1824"/>
      <c r="W541" s="1824"/>
      <c r="X541" s="1824"/>
      <c r="Y541" s="1824"/>
      <c r="Z541" s="1824"/>
      <c r="AA541" s="1824"/>
      <c r="AC541" s="1913" t="s">
        <v>135</v>
      </c>
      <c r="AD541" s="1912"/>
      <c r="AE541" s="1912"/>
      <c r="AF541" s="1912"/>
      <c r="AG541" s="79" t="s">
        <v>275</v>
      </c>
      <c r="AH541" s="1746"/>
      <c r="AI541" s="1746"/>
      <c r="AJ541" s="1746"/>
      <c r="AK541" s="174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930"/>
      <c r="C542" s="1931"/>
      <c r="D542" s="1931"/>
      <c r="E542" s="1931"/>
      <c r="F542" s="1931"/>
      <c r="G542" s="1931"/>
      <c r="H542" s="1932"/>
      <c r="I542" s="35" t="s">
        <v>748</v>
      </c>
      <c r="J542" s="35"/>
      <c r="K542" s="35"/>
      <c r="L542" s="35"/>
      <c r="M542" s="35"/>
      <c r="N542" s="35"/>
      <c r="O542" s="35"/>
      <c r="P542" s="35"/>
      <c r="Q542" s="35"/>
      <c r="R542" s="35"/>
      <c r="S542" s="35"/>
      <c r="T542" s="35"/>
      <c r="U542" s="35"/>
      <c r="V542" s="35"/>
      <c r="W542" s="35"/>
      <c r="X542" s="35"/>
      <c r="Y542" s="35"/>
      <c r="AC542" s="1913" t="s">
        <v>135</v>
      </c>
      <c r="AD542" s="1912"/>
      <c r="AE542" s="1912"/>
      <c r="AF542" s="1912"/>
      <c r="AG542" s="89" t="s">
        <v>275</v>
      </c>
      <c r="AH542" s="1746"/>
      <c r="AI542" s="1746"/>
      <c r="AJ542" s="1746"/>
      <c r="AK542" s="174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930"/>
      <c r="C543" s="1931"/>
      <c r="D543" s="1931"/>
      <c r="E543" s="1931"/>
      <c r="F543" s="1931"/>
      <c r="G543" s="1931"/>
      <c r="H543" s="1932"/>
      <c r="I543" s="94" t="s">
        <v>749</v>
      </c>
      <c r="J543" s="94"/>
      <c r="K543" s="94"/>
      <c r="L543" s="94"/>
      <c r="M543" s="94"/>
      <c r="N543" s="94"/>
      <c r="O543" s="94"/>
      <c r="P543" s="94"/>
      <c r="Q543" s="94"/>
      <c r="R543" s="94"/>
      <c r="S543" s="94"/>
      <c r="T543" s="94"/>
      <c r="U543" s="94"/>
      <c r="V543" s="94"/>
      <c r="W543" s="94"/>
      <c r="X543" s="94"/>
      <c r="Y543" s="94"/>
      <c r="Z543" s="94"/>
      <c r="AA543" s="94"/>
      <c r="AB543" s="94"/>
      <c r="AC543" s="1913" t="s">
        <v>135</v>
      </c>
      <c r="AD543" s="1912"/>
      <c r="AE543" s="1912"/>
      <c r="AF543" s="1912"/>
      <c r="AG543" s="79" t="s">
        <v>275</v>
      </c>
      <c r="AH543" s="1746"/>
      <c r="AI543" s="1746"/>
      <c r="AJ543" s="1746"/>
      <c r="AK543" s="174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30"/>
      <c r="C544" s="1931"/>
      <c r="D544" s="1931"/>
      <c r="E544" s="1931"/>
      <c r="F544" s="1931"/>
      <c r="G544" s="1931"/>
      <c r="H544" s="1932"/>
      <c r="I544" s="86" t="s">
        <v>797</v>
      </c>
      <c r="J544" s="86"/>
      <c r="K544" s="86"/>
      <c r="L544" s="86"/>
      <c r="M544" s="86"/>
      <c r="N544" s="86"/>
      <c r="O544" s="86"/>
      <c r="P544" s="86"/>
      <c r="Q544" s="86"/>
      <c r="R544" s="86"/>
      <c r="S544" s="86"/>
      <c r="T544" s="86"/>
      <c r="U544" s="86"/>
      <c r="V544" s="86"/>
      <c r="W544" s="86"/>
      <c r="X544" s="35"/>
      <c r="Y544" s="35"/>
      <c r="AC544" s="1913">
        <v>3</v>
      </c>
      <c r="AD544" s="1912"/>
      <c r="AE544" s="1912"/>
      <c r="AF544" s="1912"/>
      <c r="AG544" s="79" t="s">
        <v>275</v>
      </c>
      <c r="AH544" s="1746">
        <v>2023</v>
      </c>
      <c r="AI544" s="1746"/>
      <c r="AJ544" s="1746"/>
      <c r="AK544" s="174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930"/>
      <c r="C545" s="1931"/>
      <c r="D545" s="1931"/>
      <c r="E545" s="1931"/>
      <c r="F545" s="1931"/>
      <c r="G545" s="1931"/>
      <c r="H545" s="1932"/>
      <c r="I545" s="35" t="s">
        <v>798</v>
      </c>
      <c r="J545" s="35"/>
      <c r="K545" s="35"/>
      <c r="L545" s="35"/>
      <c r="M545" s="35"/>
      <c r="N545" s="35"/>
      <c r="O545" s="35"/>
      <c r="P545" s="35"/>
      <c r="Q545" s="35"/>
      <c r="R545" s="35"/>
      <c r="S545" s="35"/>
      <c r="T545" s="35"/>
      <c r="U545" s="35"/>
      <c r="V545" s="35"/>
      <c r="W545" s="35"/>
      <c r="X545" s="35"/>
      <c r="Y545" s="35"/>
      <c r="AC545" s="1913">
        <v>3</v>
      </c>
      <c r="AD545" s="1912"/>
      <c r="AE545" s="1912"/>
      <c r="AF545" s="1912"/>
      <c r="AG545" s="89" t="s">
        <v>275</v>
      </c>
      <c r="AH545" s="1746">
        <v>2023</v>
      </c>
      <c r="AI545" s="1746"/>
      <c r="AJ545" s="1746"/>
      <c r="AK545" s="174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930"/>
      <c r="C546" s="1931"/>
      <c r="D546" s="1931"/>
      <c r="E546" s="1931"/>
      <c r="F546" s="1931"/>
      <c r="G546" s="1931"/>
      <c r="H546" s="1932"/>
      <c r="I546" s="35" t="s">
        <v>799</v>
      </c>
      <c r="J546" s="35"/>
      <c r="K546" s="35"/>
      <c r="L546" s="35"/>
      <c r="M546" s="35"/>
      <c r="N546" s="35"/>
      <c r="O546" s="35"/>
      <c r="P546" s="35"/>
      <c r="Q546" s="35"/>
      <c r="R546" s="35"/>
      <c r="S546" s="35"/>
      <c r="T546" s="35"/>
      <c r="U546" s="35"/>
      <c r="V546" s="35"/>
      <c r="W546" s="35"/>
      <c r="X546" s="35"/>
      <c r="Y546" s="35"/>
      <c r="AC546" s="1913">
        <v>8</v>
      </c>
      <c r="AD546" s="1912"/>
      <c r="AE546" s="1912"/>
      <c r="AF546" s="1912"/>
      <c r="AG546" s="79" t="s">
        <v>275</v>
      </c>
      <c r="AH546" s="1746">
        <v>2024</v>
      </c>
      <c r="AI546" s="1746"/>
      <c r="AJ546" s="1746"/>
      <c r="AK546" s="174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930"/>
      <c r="C547" s="1931"/>
      <c r="D547" s="1931"/>
      <c r="E547" s="1931"/>
      <c r="F547" s="1931"/>
      <c r="G547" s="1931"/>
      <c r="H547" s="1932"/>
      <c r="I547" s="35" t="s">
        <v>800</v>
      </c>
      <c r="J547" s="35"/>
      <c r="K547" s="35"/>
      <c r="L547" s="35"/>
      <c r="M547" s="35"/>
      <c r="N547" s="35"/>
      <c r="O547" s="35"/>
      <c r="P547" s="35"/>
      <c r="Q547" s="35"/>
      <c r="R547" s="35"/>
      <c r="S547" s="35"/>
      <c r="T547" s="35"/>
      <c r="U547" s="35"/>
      <c r="V547" s="35"/>
      <c r="W547" s="35"/>
      <c r="X547" s="35"/>
      <c r="Y547" s="35"/>
      <c r="AC547" s="1913">
        <v>8</v>
      </c>
      <c r="AD547" s="1912"/>
      <c r="AE547" s="1912"/>
      <c r="AF547" s="1912"/>
      <c r="AG547" s="79" t="s">
        <v>275</v>
      </c>
      <c r="AH547" s="1746">
        <v>2024</v>
      </c>
      <c r="AI547" s="1746"/>
      <c r="AJ547" s="1746"/>
      <c r="AK547" s="174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933"/>
      <c r="C548" s="1934"/>
      <c r="D548" s="1934"/>
      <c r="E548" s="1934"/>
      <c r="F548" s="1934"/>
      <c r="G548" s="1934"/>
      <c r="H548" s="1935"/>
      <c r="I548" s="94" t="s">
        <v>1486</v>
      </c>
      <c r="J548" s="94"/>
      <c r="K548" s="94"/>
      <c r="L548" s="94"/>
      <c r="M548" s="94"/>
      <c r="N548" s="94"/>
      <c r="O548" s="94"/>
      <c r="P548" s="94"/>
      <c r="Q548" s="94"/>
      <c r="R548" s="94"/>
      <c r="S548" s="94"/>
      <c r="T548" s="94"/>
      <c r="U548" s="94"/>
      <c r="V548" s="94"/>
      <c r="W548" s="94"/>
      <c r="X548" s="94"/>
      <c r="Y548" s="94"/>
      <c r="Z548" s="94"/>
      <c r="AA548" s="94"/>
      <c r="AB548" s="94"/>
      <c r="AC548" s="1913">
        <v>11</v>
      </c>
      <c r="AD548" s="1912"/>
      <c r="AE548" s="1912"/>
      <c r="AF548" s="1912"/>
      <c r="AG548" s="79" t="s">
        <v>275</v>
      </c>
      <c r="AH548" s="1746">
        <v>2024</v>
      </c>
      <c r="AI548" s="1746"/>
      <c r="AJ548" s="1746"/>
      <c r="AK548" s="174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9" t="s">
        <v>544</v>
      </c>
      <c r="B550" s="1529"/>
      <c r="C550" s="1529"/>
      <c r="D550" s="1529"/>
      <c r="E550" s="1529"/>
      <c r="F550" s="1529"/>
      <c r="G550" s="1529"/>
      <c r="H550" s="1529"/>
      <c r="I550" s="1529"/>
      <c r="J550" s="1529"/>
      <c r="K550" s="1529"/>
      <c r="L550" s="1529"/>
      <c r="M550" s="1529"/>
      <c r="N550" s="1529"/>
      <c r="O550" s="1529"/>
      <c r="P550" s="1529"/>
      <c r="Q550" s="1529"/>
      <c r="R550" s="1529"/>
      <c r="S550" s="1529"/>
      <c r="T550" s="1529"/>
      <c r="U550" s="1529"/>
      <c r="V550" s="1529"/>
      <c r="W550" s="1529"/>
      <c r="X550" s="1529"/>
      <c r="Y550" s="1529"/>
      <c r="Z550" s="1529"/>
      <c r="AA550" s="1529"/>
      <c r="AB550" s="1529"/>
      <c r="AC550" s="1529"/>
      <c r="AD550" s="1529"/>
      <c r="AE550" s="1529"/>
      <c r="AF550" s="1529"/>
      <c r="AG550" s="1529"/>
      <c r="AH550" s="1529"/>
      <c r="AI550" s="1529"/>
      <c r="AJ550" s="1529"/>
      <c r="AK550" s="1529"/>
      <c r="AL550" s="1529"/>
      <c r="AM550" s="1529"/>
      <c r="AN550" s="1529"/>
      <c r="AO550" s="1529"/>
      <c r="AP550" s="1529"/>
      <c r="AQ550" s="1529"/>
      <c r="AR550" s="1529"/>
      <c r="AS550" s="1529"/>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29"/>
      <c r="B551" s="1529"/>
      <c r="C551" s="1529"/>
      <c r="D551" s="1529"/>
      <c r="E551" s="1529"/>
      <c r="F551" s="1529"/>
      <c r="G551" s="1529"/>
      <c r="H551" s="1529"/>
      <c r="I551" s="1529"/>
      <c r="J551" s="1529"/>
      <c r="K551" s="1529"/>
      <c r="L551" s="1529"/>
      <c r="M551" s="1529"/>
      <c r="N551" s="1529"/>
      <c r="O551" s="1529"/>
      <c r="P551" s="1529"/>
      <c r="Q551" s="1529"/>
      <c r="R551" s="1529"/>
      <c r="S551" s="1529"/>
      <c r="T551" s="1529"/>
      <c r="U551" s="1529"/>
      <c r="V551" s="1529"/>
      <c r="W551" s="1529"/>
      <c r="X551" s="1529"/>
      <c r="Y551" s="1529"/>
      <c r="Z551" s="1529"/>
      <c r="AA551" s="1529"/>
      <c r="AB551" s="1529"/>
      <c r="AC551" s="1529"/>
      <c r="AD551" s="1529"/>
      <c r="AE551" s="1529"/>
      <c r="AF551" s="1529"/>
      <c r="AG551" s="1529"/>
      <c r="AH551" s="1529"/>
      <c r="AI551" s="1529"/>
      <c r="AJ551" s="1529"/>
      <c r="AK551" s="1529"/>
      <c r="AL551" s="1529"/>
      <c r="AM551" s="1529"/>
      <c r="AN551" s="1529"/>
      <c r="AO551" s="1529"/>
      <c r="AP551" s="1529"/>
      <c r="AQ551" s="1529"/>
      <c r="AR551" s="1529"/>
      <c r="AS551" s="1529"/>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2202</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27" t="s">
        <v>802</v>
      </c>
      <c r="C557" s="1928"/>
      <c r="D557" s="1928"/>
      <c r="E557" s="1928"/>
      <c r="F557" s="1928"/>
      <c r="G557" s="1928"/>
      <c r="H557" s="1928"/>
      <c r="I557" s="1928"/>
      <c r="J557" s="1928"/>
      <c r="K557" s="1928"/>
      <c r="L557" s="1928"/>
      <c r="M557" s="1928"/>
      <c r="N557" s="1928"/>
      <c r="O557" s="1928"/>
      <c r="P557" s="1929"/>
      <c r="Q557" s="1927" t="s">
        <v>486</v>
      </c>
      <c r="R557" s="1928"/>
      <c r="S557" s="1929"/>
      <c r="T557" s="1927" t="s">
        <v>2203</v>
      </c>
      <c r="U557" s="1928"/>
      <c r="V557" s="1929"/>
      <c r="W557" s="1927" t="s">
        <v>803</v>
      </c>
      <c r="X557" s="1928"/>
      <c r="Y557" s="1929"/>
      <c r="Z557" s="1927" t="s">
        <v>2208</v>
      </c>
      <c r="AA557" s="1928"/>
      <c r="AB557" s="1928"/>
      <c r="AC557" s="1928"/>
      <c r="AD557" s="1929"/>
      <c r="AE557" s="1927" t="s">
        <v>2205</v>
      </c>
      <c r="AF557" s="1928"/>
      <c r="AG557" s="1928"/>
      <c r="AH557" s="1929"/>
      <c r="AI557" s="1927" t="s">
        <v>2209</v>
      </c>
      <c r="AJ557" s="1928"/>
      <c r="AK557" s="1928"/>
      <c r="AL557" s="1929"/>
      <c r="AM557" s="1927" t="s">
        <v>804</v>
      </c>
      <c r="AN557" s="1928"/>
      <c r="AO557" s="1928"/>
      <c r="AP557" s="1928"/>
      <c r="AQ557" s="1928"/>
      <c r="AR557" s="1928"/>
      <c r="AS557" s="192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30"/>
      <c r="C558" s="1931"/>
      <c r="D558" s="1931"/>
      <c r="E558" s="1931"/>
      <c r="F558" s="1931"/>
      <c r="G558" s="1931"/>
      <c r="H558" s="1931"/>
      <c r="I558" s="1931"/>
      <c r="J558" s="1931"/>
      <c r="K558" s="1931"/>
      <c r="L558" s="1931"/>
      <c r="M558" s="1931"/>
      <c r="N558" s="1931"/>
      <c r="O558" s="1931"/>
      <c r="P558" s="1932"/>
      <c r="Q558" s="1930"/>
      <c r="R558" s="1931"/>
      <c r="S558" s="1932"/>
      <c r="T558" s="1930"/>
      <c r="U558" s="1931"/>
      <c r="V558" s="1932"/>
      <c r="W558" s="1930"/>
      <c r="X558" s="1931"/>
      <c r="Y558" s="1932"/>
      <c r="Z558" s="1930"/>
      <c r="AA558" s="1931"/>
      <c r="AB558" s="1931"/>
      <c r="AC558" s="1931"/>
      <c r="AD558" s="1932"/>
      <c r="AE558" s="1930"/>
      <c r="AF558" s="1931"/>
      <c r="AG558" s="1931"/>
      <c r="AH558" s="1932"/>
      <c r="AI558" s="1930"/>
      <c r="AJ558" s="1931"/>
      <c r="AK558" s="1931"/>
      <c r="AL558" s="1932"/>
      <c r="AM558" s="1930"/>
      <c r="AN558" s="1931"/>
      <c r="AO558" s="1931"/>
      <c r="AP558" s="1931"/>
      <c r="AQ558" s="1931"/>
      <c r="AR558" s="1931"/>
      <c r="AS558" s="193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33"/>
      <c r="C559" s="1934"/>
      <c r="D559" s="1934"/>
      <c r="E559" s="1934"/>
      <c r="F559" s="1934"/>
      <c r="G559" s="1934"/>
      <c r="H559" s="1934"/>
      <c r="I559" s="1934"/>
      <c r="J559" s="1934"/>
      <c r="K559" s="1934"/>
      <c r="L559" s="1934"/>
      <c r="M559" s="1934"/>
      <c r="N559" s="1934"/>
      <c r="O559" s="1934"/>
      <c r="P559" s="1935"/>
      <c r="Q559" s="1933"/>
      <c r="R559" s="1934"/>
      <c r="S559" s="1935"/>
      <c r="T559" s="1933"/>
      <c r="U559" s="1934"/>
      <c r="V559" s="1935"/>
      <c r="W559" s="1933"/>
      <c r="X559" s="1934"/>
      <c r="Y559" s="1935"/>
      <c r="Z559" s="1933"/>
      <c r="AA559" s="1934"/>
      <c r="AB559" s="1934"/>
      <c r="AC559" s="1934"/>
      <c r="AD559" s="1935"/>
      <c r="AE559" s="1933"/>
      <c r="AF559" s="1934"/>
      <c r="AG559" s="1934"/>
      <c r="AH559" s="1935"/>
      <c r="AI559" s="1933"/>
      <c r="AJ559" s="1934"/>
      <c r="AK559" s="1934"/>
      <c r="AL559" s="1935"/>
      <c r="AM559" s="1933"/>
      <c r="AN559" s="1934"/>
      <c r="AO559" s="1934"/>
      <c r="AP559" s="1934"/>
      <c r="AQ559" s="1934"/>
      <c r="AR559" s="1934"/>
      <c r="AS559" s="193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983</v>
      </c>
      <c r="C560" s="1833" t="s">
        <v>2400</v>
      </c>
      <c r="D560" s="1833"/>
      <c r="E560" s="1833"/>
      <c r="F560" s="1833"/>
      <c r="G560" s="1833"/>
      <c r="H560" s="1833"/>
      <c r="I560" s="1833"/>
      <c r="J560" s="1833"/>
      <c r="K560" s="1833"/>
      <c r="L560" s="1833"/>
      <c r="M560" s="1833"/>
      <c r="N560" s="1833"/>
      <c r="O560" s="1833"/>
      <c r="P560" s="1834"/>
      <c r="Q560" s="1839">
        <v>29</v>
      </c>
      <c r="R560" s="1839"/>
      <c r="S560" s="1840"/>
      <c r="T560" s="1838">
        <v>348</v>
      </c>
      <c r="U560" s="1839"/>
      <c r="V560" s="1840"/>
      <c r="W560" s="1870">
        <v>3.9399999999999998E-2</v>
      </c>
      <c r="X560" s="1871"/>
      <c r="Y560" s="1872"/>
      <c r="Z560" s="1873" t="s">
        <v>2508</v>
      </c>
      <c r="AA560" s="1873"/>
      <c r="AB560" s="1873"/>
      <c r="AC560" s="1873"/>
      <c r="AD560" s="1873"/>
      <c r="AE560" s="1874">
        <v>1</v>
      </c>
      <c r="AF560" s="1875"/>
      <c r="AG560" s="1875"/>
      <c r="AH560" s="1876"/>
      <c r="AI560" s="1877" t="s">
        <v>2445</v>
      </c>
      <c r="AJ560" s="1878"/>
      <c r="AK560" s="1878"/>
      <c r="AL560" s="1879"/>
      <c r="AM560" s="1769">
        <v>31256316</v>
      </c>
      <c r="AN560" s="1770"/>
      <c r="AO560" s="1770"/>
      <c r="AP560" s="1770"/>
      <c r="AQ560" s="1770"/>
      <c r="AR560" s="1770"/>
      <c r="AS560" s="1771"/>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984</v>
      </c>
      <c r="C561" s="1833" t="s">
        <v>2449</v>
      </c>
      <c r="D561" s="1833"/>
      <c r="E561" s="1833"/>
      <c r="F561" s="1833"/>
      <c r="G561" s="1833"/>
      <c r="H561" s="1833"/>
      <c r="I561" s="1833"/>
      <c r="J561" s="1833"/>
      <c r="K561" s="1833"/>
      <c r="L561" s="1833"/>
      <c r="M561" s="1833"/>
      <c r="N561" s="1833"/>
      <c r="O561" s="1833"/>
      <c r="P561" s="1834"/>
      <c r="Q561" s="1830" t="s">
        <v>2348</v>
      </c>
      <c r="R561" s="1839"/>
      <c r="S561" s="1840"/>
      <c r="T561" s="1830" t="s">
        <v>2348</v>
      </c>
      <c r="U561" s="1839"/>
      <c r="V561" s="1840"/>
      <c r="W561" s="1870" t="s">
        <v>2348</v>
      </c>
      <c r="X561" s="1871"/>
      <c r="Y561" s="1872"/>
      <c r="Z561" s="1873" t="s">
        <v>135</v>
      </c>
      <c r="AA561" s="1873"/>
      <c r="AB561" s="1873"/>
      <c r="AC561" s="1873"/>
      <c r="AD561" s="1873"/>
      <c r="AE561" s="1874" t="s">
        <v>2348</v>
      </c>
      <c r="AF561" s="1875"/>
      <c r="AG561" s="1875"/>
      <c r="AH561" s="1876"/>
      <c r="AI561" s="1877" t="s">
        <v>2445</v>
      </c>
      <c r="AJ561" s="1878"/>
      <c r="AK561" s="1878"/>
      <c r="AL561" s="1879"/>
      <c r="AM561" s="1769">
        <f>7530264-755861</f>
        <v>6774403</v>
      </c>
      <c r="AN561" s="1770"/>
      <c r="AO561" s="1770"/>
      <c r="AP561" s="1770"/>
      <c r="AQ561" s="1770"/>
      <c r="AR561" s="1770"/>
      <c r="AS561" s="1771"/>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990</v>
      </c>
      <c r="C562" s="1833" t="s">
        <v>2401</v>
      </c>
      <c r="D562" s="1833"/>
      <c r="E562" s="1833"/>
      <c r="F562" s="1833"/>
      <c r="G562" s="1833"/>
      <c r="H562" s="1833"/>
      <c r="I562" s="1833"/>
      <c r="J562" s="1833"/>
      <c r="K562" s="1833"/>
      <c r="L562" s="1833"/>
      <c r="M562" s="1833"/>
      <c r="N562" s="1833"/>
      <c r="O562" s="1833"/>
      <c r="P562" s="1834"/>
      <c r="Q562" s="1838">
        <v>29</v>
      </c>
      <c r="R562" s="1839"/>
      <c r="S562" s="1840"/>
      <c r="T562" s="1838" t="s">
        <v>2348</v>
      </c>
      <c r="U562" s="1839"/>
      <c r="V562" s="1840"/>
      <c r="W562" s="1870">
        <v>0.03</v>
      </c>
      <c r="X562" s="1871"/>
      <c r="Y562" s="1872"/>
      <c r="Z562" s="1873" t="s">
        <v>2462</v>
      </c>
      <c r="AA562" s="1873"/>
      <c r="AB562" s="1873"/>
      <c r="AC562" s="1873"/>
      <c r="AD562" s="1873"/>
      <c r="AE562" s="1874">
        <v>3</v>
      </c>
      <c r="AF562" s="1875"/>
      <c r="AG562" s="1875"/>
      <c r="AH562" s="1876"/>
      <c r="AI562" s="1877" t="s">
        <v>2445</v>
      </c>
      <c r="AJ562" s="1878"/>
      <c r="AK562" s="1878"/>
      <c r="AL562" s="1879"/>
      <c r="AM562" s="1769">
        <v>2580000</v>
      </c>
      <c r="AN562" s="1770"/>
      <c r="AO562" s="1770"/>
      <c r="AP562" s="1770"/>
      <c r="AQ562" s="1770"/>
      <c r="AR562" s="1770"/>
      <c r="AS562" s="1771"/>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477</v>
      </c>
      <c r="C563" s="1833" t="s">
        <v>2402</v>
      </c>
      <c r="D563" s="1833"/>
      <c r="E563" s="1833"/>
      <c r="F563" s="1833"/>
      <c r="G563" s="1833"/>
      <c r="H563" s="1833"/>
      <c r="I563" s="1833"/>
      <c r="J563" s="1833"/>
      <c r="K563" s="1833"/>
      <c r="L563" s="1833"/>
      <c r="M563" s="1833"/>
      <c r="N563" s="1833"/>
      <c r="O563" s="1833"/>
      <c r="P563" s="1834"/>
      <c r="Q563" s="1830" t="s">
        <v>2348</v>
      </c>
      <c r="R563" s="1839"/>
      <c r="S563" s="1840"/>
      <c r="T563" s="1830" t="s">
        <v>2348</v>
      </c>
      <c r="U563" s="1839"/>
      <c r="V563" s="1840"/>
      <c r="W563" s="1870" t="s">
        <v>2348</v>
      </c>
      <c r="X563" s="1871"/>
      <c r="Y563" s="1872"/>
      <c r="Z563" s="1873" t="s">
        <v>2462</v>
      </c>
      <c r="AA563" s="1873"/>
      <c r="AB563" s="1873"/>
      <c r="AC563" s="1873"/>
      <c r="AD563" s="1873"/>
      <c r="AE563" s="1874">
        <v>5</v>
      </c>
      <c r="AF563" s="1875"/>
      <c r="AG563" s="1875"/>
      <c r="AH563" s="1876"/>
      <c r="AI563" s="1877" t="s">
        <v>2445</v>
      </c>
      <c r="AJ563" s="1878"/>
      <c r="AK563" s="1878"/>
      <c r="AL563" s="1879"/>
      <c r="AM563" s="1769">
        <v>2746572</v>
      </c>
      <c r="AN563" s="1770"/>
      <c r="AO563" s="1770"/>
      <c r="AP563" s="1770"/>
      <c r="AQ563" s="1770"/>
      <c r="AR563" s="1770"/>
      <c r="AS563" s="1771"/>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187</v>
      </c>
      <c r="C564" s="1833" t="s">
        <v>2403</v>
      </c>
      <c r="D564" s="1833"/>
      <c r="E564" s="1833"/>
      <c r="F564" s="1833"/>
      <c r="G564" s="1833"/>
      <c r="H564" s="1833"/>
      <c r="I564" s="1833"/>
      <c r="J564" s="1833"/>
      <c r="K564" s="1833"/>
      <c r="L564" s="1833"/>
      <c r="M564" s="1833"/>
      <c r="N564" s="1833"/>
      <c r="O564" s="1833"/>
      <c r="P564" s="1834"/>
      <c r="Q564" s="1830">
        <v>29</v>
      </c>
      <c r="R564" s="1839"/>
      <c r="S564" s="1840"/>
      <c r="T564" s="1838" t="s">
        <v>2348</v>
      </c>
      <c r="U564" s="1839"/>
      <c r="V564" s="1840"/>
      <c r="W564" s="1870">
        <v>0.03</v>
      </c>
      <c r="X564" s="1871"/>
      <c r="Y564" s="1872"/>
      <c r="Z564" s="1873" t="s">
        <v>2462</v>
      </c>
      <c r="AA564" s="1873"/>
      <c r="AB564" s="1873"/>
      <c r="AC564" s="1873"/>
      <c r="AD564" s="1873"/>
      <c r="AE564" s="1874">
        <v>4</v>
      </c>
      <c r="AF564" s="1875"/>
      <c r="AG564" s="1875"/>
      <c r="AH564" s="1876"/>
      <c r="AI564" s="1877" t="s">
        <v>2445</v>
      </c>
      <c r="AJ564" s="1878"/>
      <c r="AK564" s="1878"/>
      <c r="AL564" s="1879"/>
      <c r="AM564" s="1769">
        <v>550000</v>
      </c>
      <c r="AN564" s="1770"/>
      <c r="AO564" s="1770"/>
      <c r="AP564" s="1770"/>
      <c r="AQ564" s="1770"/>
      <c r="AR564" s="1770"/>
      <c r="AS564" s="1771"/>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480</v>
      </c>
      <c r="C565" s="1833" t="s">
        <v>2404</v>
      </c>
      <c r="D565" s="1833"/>
      <c r="E565" s="1833"/>
      <c r="F565" s="1833"/>
      <c r="G565" s="1833"/>
      <c r="H565" s="1833"/>
      <c r="I565" s="1833"/>
      <c r="J565" s="1833"/>
      <c r="K565" s="1833"/>
      <c r="L565" s="1833"/>
      <c r="M565" s="1833"/>
      <c r="N565" s="1833"/>
      <c r="O565" s="1833"/>
      <c r="P565" s="1834"/>
      <c r="Q565" s="1838">
        <v>29</v>
      </c>
      <c r="R565" s="1839"/>
      <c r="S565" s="1840"/>
      <c r="T565" s="1838" t="s">
        <v>2348</v>
      </c>
      <c r="U565" s="1839"/>
      <c r="V565" s="1840"/>
      <c r="W565" s="1870">
        <v>0.03</v>
      </c>
      <c r="X565" s="1871"/>
      <c r="Y565" s="1872"/>
      <c r="Z565" s="1873" t="s">
        <v>2462</v>
      </c>
      <c r="AA565" s="1873"/>
      <c r="AB565" s="1873"/>
      <c r="AC565" s="1873"/>
      <c r="AD565" s="1873"/>
      <c r="AE565" s="1874">
        <v>2</v>
      </c>
      <c r="AF565" s="1875"/>
      <c r="AG565" s="1875"/>
      <c r="AH565" s="1876"/>
      <c r="AI565" s="1877" t="s">
        <v>2445</v>
      </c>
      <c r="AJ565" s="1878"/>
      <c r="AK565" s="1878"/>
      <c r="AL565" s="1879"/>
      <c r="AM565" s="1769">
        <v>7000000</v>
      </c>
      <c r="AN565" s="1770"/>
      <c r="AO565" s="1770"/>
      <c r="AP565" s="1770"/>
      <c r="AQ565" s="1770"/>
      <c r="AR565" s="1770"/>
      <c r="AS565" s="1771"/>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805</v>
      </c>
      <c r="C566" s="1833"/>
      <c r="D566" s="1833"/>
      <c r="E566" s="1833"/>
      <c r="F566" s="1833"/>
      <c r="G566" s="1833"/>
      <c r="H566" s="1833"/>
      <c r="I566" s="1833"/>
      <c r="J566" s="1833"/>
      <c r="K566" s="1833"/>
      <c r="L566" s="1833"/>
      <c r="M566" s="1833"/>
      <c r="N566" s="1833"/>
      <c r="O566" s="1833"/>
      <c r="P566" s="1834"/>
      <c r="Q566" s="1838"/>
      <c r="R566" s="1839"/>
      <c r="S566" s="1840"/>
      <c r="T566" s="1838"/>
      <c r="U566" s="1839"/>
      <c r="V566" s="1840"/>
      <c r="W566" s="1870"/>
      <c r="X566" s="1871"/>
      <c r="Y566" s="1872"/>
      <c r="Z566" s="1873" t="s">
        <v>2189</v>
      </c>
      <c r="AA566" s="1873"/>
      <c r="AB566" s="1873"/>
      <c r="AC566" s="1873"/>
      <c r="AD566" s="1873"/>
      <c r="AE566" s="1874"/>
      <c r="AF566" s="1875"/>
      <c r="AG566" s="1875"/>
      <c r="AH566" s="1876"/>
      <c r="AI566" s="1877"/>
      <c r="AJ566" s="1878"/>
      <c r="AK566" s="1878"/>
      <c r="AL566" s="1879"/>
      <c r="AM566" s="1763"/>
      <c r="AN566" s="1770"/>
      <c r="AO566" s="1770"/>
      <c r="AP566" s="1770"/>
      <c r="AQ566" s="1770"/>
      <c r="AR566" s="1770"/>
      <c r="AS566" s="1771"/>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806</v>
      </c>
      <c r="C567" s="1833"/>
      <c r="D567" s="1833"/>
      <c r="E567" s="1833"/>
      <c r="F567" s="1833"/>
      <c r="G567" s="1833"/>
      <c r="H567" s="1833"/>
      <c r="I567" s="1833"/>
      <c r="J567" s="1833"/>
      <c r="K567" s="1833"/>
      <c r="L567" s="1833"/>
      <c r="M567" s="1833"/>
      <c r="N567" s="1833"/>
      <c r="O567" s="1833"/>
      <c r="P567" s="1834"/>
      <c r="Q567" s="1838"/>
      <c r="R567" s="1839"/>
      <c r="S567" s="1840"/>
      <c r="T567" s="1838"/>
      <c r="U567" s="1839"/>
      <c r="V567" s="1840"/>
      <c r="W567" s="1870"/>
      <c r="X567" s="1871"/>
      <c r="Y567" s="1872"/>
      <c r="Z567" s="1873" t="s">
        <v>2189</v>
      </c>
      <c r="AA567" s="1873"/>
      <c r="AB567" s="1873"/>
      <c r="AC567" s="1873"/>
      <c r="AD567" s="1873"/>
      <c r="AE567" s="1874"/>
      <c r="AF567" s="1875"/>
      <c r="AG567" s="1875"/>
      <c r="AH567" s="1876"/>
      <c r="AI567" s="1877"/>
      <c r="AJ567" s="1878"/>
      <c r="AK567" s="1878"/>
      <c r="AL567" s="1879"/>
      <c r="AM567" s="1769"/>
      <c r="AN567" s="1770"/>
      <c r="AO567" s="1770"/>
      <c r="AP567" s="1770"/>
      <c r="AQ567" s="1770"/>
      <c r="AR567" s="1770"/>
      <c r="AS567" s="1771"/>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603</v>
      </c>
      <c r="C568" s="1833"/>
      <c r="D568" s="1833"/>
      <c r="E568" s="1833"/>
      <c r="F568" s="1833"/>
      <c r="G568" s="1833"/>
      <c r="H568" s="1833"/>
      <c r="I568" s="1833"/>
      <c r="J568" s="1833"/>
      <c r="K568" s="1833"/>
      <c r="L568" s="1833"/>
      <c r="M568" s="1833"/>
      <c r="N568" s="1833"/>
      <c r="O568" s="1833"/>
      <c r="P568" s="1834"/>
      <c r="Q568" s="1838"/>
      <c r="R568" s="1839"/>
      <c r="S568" s="1840"/>
      <c r="T568" s="1838"/>
      <c r="U568" s="1839"/>
      <c r="V568" s="1840"/>
      <c r="W568" s="1870"/>
      <c r="X568" s="1871"/>
      <c r="Y568" s="1872"/>
      <c r="Z568" s="1873" t="s">
        <v>2189</v>
      </c>
      <c r="AA568" s="1873"/>
      <c r="AB568" s="1873"/>
      <c r="AC568" s="1873"/>
      <c r="AD568" s="1873"/>
      <c r="AE568" s="1874"/>
      <c r="AF568" s="1875"/>
      <c r="AG568" s="1875"/>
      <c r="AH568" s="1876"/>
      <c r="AI568" s="1877"/>
      <c r="AJ568" s="1878"/>
      <c r="AK568" s="1878"/>
      <c r="AL568" s="1879"/>
      <c r="AM568" s="1769"/>
      <c r="AN568" s="1770"/>
      <c r="AO568" s="1770"/>
      <c r="AP568" s="1770"/>
      <c r="AQ568" s="1770"/>
      <c r="AR568" s="1770"/>
      <c r="AS568" s="1771"/>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190</v>
      </c>
      <c r="C569" s="1833"/>
      <c r="D569" s="1833"/>
      <c r="E569" s="1833"/>
      <c r="F569" s="1833"/>
      <c r="G569" s="1833"/>
      <c r="H569" s="1833"/>
      <c r="I569" s="1833"/>
      <c r="J569" s="1833"/>
      <c r="K569" s="1833"/>
      <c r="L569" s="1833"/>
      <c r="M569" s="1833"/>
      <c r="N569" s="1833"/>
      <c r="O569" s="1833"/>
      <c r="P569" s="1834"/>
      <c r="Q569" s="1838"/>
      <c r="R569" s="1839"/>
      <c r="S569" s="1840"/>
      <c r="T569" s="1838"/>
      <c r="U569" s="1839"/>
      <c r="V569" s="1840"/>
      <c r="W569" s="1870"/>
      <c r="X569" s="1871"/>
      <c r="Y569" s="1872"/>
      <c r="Z569" s="1873" t="s">
        <v>2189</v>
      </c>
      <c r="AA569" s="1873"/>
      <c r="AB569" s="1873"/>
      <c r="AC569" s="1873"/>
      <c r="AD569" s="1873"/>
      <c r="AE569" s="1874"/>
      <c r="AF569" s="1875"/>
      <c r="AG569" s="1875"/>
      <c r="AH569" s="1876"/>
      <c r="AI569" s="1877"/>
      <c r="AJ569" s="1878"/>
      <c r="AK569" s="1878"/>
      <c r="AL569" s="1879"/>
      <c r="AM569" s="1769"/>
      <c r="AN569" s="1770"/>
      <c r="AO569" s="1770"/>
      <c r="AP569" s="1770"/>
      <c r="AQ569" s="1770"/>
      <c r="AR569" s="1770"/>
      <c r="AS569" s="1771"/>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833"/>
      <c r="D570" s="1833"/>
      <c r="E570" s="1833"/>
      <c r="F570" s="1833"/>
      <c r="G570" s="1833"/>
      <c r="H570" s="1833"/>
      <c r="I570" s="1833"/>
      <c r="J570" s="1833"/>
      <c r="K570" s="1833"/>
      <c r="L570" s="1833"/>
      <c r="M570" s="1833"/>
      <c r="N570" s="1833"/>
      <c r="O570" s="1833"/>
      <c r="P570" s="1834"/>
      <c r="Q570" s="1838"/>
      <c r="R570" s="1839"/>
      <c r="S570" s="1840"/>
      <c r="T570" s="1838"/>
      <c r="U570" s="1839"/>
      <c r="V570" s="1840"/>
      <c r="W570" s="1870"/>
      <c r="X570" s="1871"/>
      <c r="Y570" s="1872"/>
      <c r="Z570" s="1873" t="s">
        <v>2189</v>
      </c>
      <c r="AA570" s="1873"/>
      <c r="AB570" s="1873"/>
      <c r="AC570" s="1873"/>
      <c r="AD570" s="1873"/>
      <c r="AE570" s="1874"/>
      <c r="AF570" s="1875"/>
      <c r="AG570" s="1875"/>
      <c r="AH570" s="1876"/>
      <c r="AI570" s="1877"/>
      <c r="AJ570" s="1878"/>
      <c r="AK570" s="1878"/>
      <c r="AL570" s="1879"/>
      <c r="AM570" s="1769"/>
      <c r="AN570" s="1770"/>
      <c r="AO570" s="1770"/>
      <c r="AP570" s="1770"/>
      <c r="AQ570" s="1770"/>
      <c r="AR570" s="1770"/>
      <c r="AS570" s="1771"/>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833"/>
      <c r="D571" s="1833"/>
      <c r="E571" s="1833"/>
      <c r="F571" s="1833"/>
      <c r="G571" s="1833"/>
      <c r="H571" s="1833"/>
      <c r="I571" s="1833"/>
      <c r="J571" s="1833"/>
      <c r="K571" s="1833"/>
      <c r="L571" s="1833"/>
      <c r="M571" s="1833"/>
      <c r="N571" s="1833"/>
      <c r="O571" s="1833"/>
      <c r="P571" s="1834"/>
      <c r="Q571" s="1838"/>
      <c r="R571" s="1839"/>
      <c r="S571" s="1840"/>
      <c r="T571" s="1838"/>
      <c r="U571" s="1839"/>
      <c r="V571" s="1840"/>
      <c r="W571" s="1870"/>
      <c r="X571" s="1871"/>
      <c r="Y571" s="1872"/>
      <c r="Z571" s="1873" t="s">
        <v>2189</v>
      </c>
      <c r="AA571" s="1873"/>
      <c r="AB571" s="1873"/>
      <c r="AC571" s="1873"/>
      <c r="AD571" s="1873"/>
      <c r="AE571" s="1874"/>
      <c r="AF571" s="1875"/>
      <c r="AG571" s="1875"/>
      <c r="AH571" s="1876"/>
      <c r="AI571" s="1877"/>
      <c r="AJ571" s="1878"/>
      <c r="AK571" s="1878"/>
      <c r="AL571" s="1879"/>
      <c r="AM571" s="1769"/>
      <c r="AN571" s="1770"/>
      <c r="AO571" s="1770"/>
      <c r="AP571" s="1770"/>
      <c r="AQ571" s="1770"/>
      <c r="AR571" s="1770"/>
      <c r="AS571" s="1771"/>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40" t="s">
        <v>398</v>
      </c>
      <c r="C572" s="1741"/>
      <c r="D572" s="1741"/>
      <c r="E572" s="1741"/>
      <c r="F572" s="1741"/>
      <c r="G572" s="1741"/>
      <c r="H572" s="1741"/>
      <c r="I572" s="1741"/>
      <c r="J572" s="1741"/>
      <c r="K572" s="1741"/>
      <c r="L572" s="1741"/>
      <c r="M572" s="1741"/>
      <c r="N572" s="1741"/>
      <c r="O572" s="1741"/>
      <c r="P572" s="1741"/>
      <c r="Q572" s="1741"/>
      <c r="R572" s="1741"/>
      <c r="S572" s="1741"/>
      <c r="T572" s="1741"/>
      <c r="U572" s="1869"/>
      <c r="V572" s="1741"/>
      <c r="W572" s="1741"/>
      <c r="X572" s="1741"/>
      <c r="Y572" s="1741"/>
      <c r="Z572" s="1741"/>
      <c r="AA572" s="1741"/>
      <c r="AB572" s="1741"/>
      <c r="AC572" s="1741"/>
      <c r="AD572" s="1741"/>
      <c r="AE572" s="1741"/>
      <c r="AF572" s="1741"/>
      <c r="AG572" s="1741"/>
      <c r="AH572" s="1741"/>
      <c r="AI572" s="1741"/>
      <c r="AJ572" s="1741"/>
      <c r="AK572" s="1741"/>
      <c r="AL572" s="1742"/>
      <c r="AM572" s="1756">
        <f>SUM(AM560:AS571)</f>
        <v>50907291</v>
      </c>
      <c r="AN572" s="1757"/>
      <c r="AO572" s="1757"/>
      <c r="AP572" s="1757"/>
      <c r="AQ572" s="1757"/>
      <c r="AR572" s="1757"/>
      <c r="AS572" s="1758"/>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983</v>
      </c>
      <c r="B574" s="16" t="s">
        <v>93</v>
      </c>
      <c r="G574" s="1828" t="str">
        <f>C560</f>
        <v>Construction Lender - Chase Bank</v>
      </c>
      <c r="H574" s="1828"/>
      <c r="I574" s="1828"/>
      <c r="J574" s="1828"/>
      <c r="K574" s="1828"/>
      <c r="L574" s="1828"/>
      <c r="M574" s="1828"/>
      <c r="N574" s="1828"/>
      <c r="O574" s="1828"/>
      <c r="P574" s="1828"/>
      <c r="Q574" s="1828"/>
      <c r="R574" s="1828"/>
      <c r="S574" s="18"/>
      <c r="T574" s="101" t="s">
        <v>984</v>
      </c>
      <c r="U574" s="16" t="s">
        <v>93</v>
      </c>
      <c r="Z574" s="1828" t="str">
        <f>C561</f>
        <v>Equity Investor- WNC</v>
      </c>
      <c r="AA574" s="1828"/>
      <c r="AB574" s="1828"/>
      <c r="AC574" s="1828"/>
      <c r="AD574" s="1828"/>
      <c r="AE574" s="1828"/>
      <c r="AF574" s="1828"/>
      <c r="AG574" s="1828"/>
      <c r="AH574" s="1828"/>
      <c r="AI574" s="1828"/>
      <c r="AJ574" s="1828"/>
      <c r="AK574" s="182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413</v>
      </c>
      <c r="G575" s="1852" t="s">
        <v>2463</v>
      </c>
      <c r="H575" s="1824"/>
      <c r="I575" s="1824"/>
      <c r="J575" s="1824"/>
      <c r="K575" s="1824"/>
      <c r="L575" s="1824"/>
      <c r="M575" s="1824"/>
      <c r="N575" s="1824"/>
      <c r="O575" s="1824"/>
      <c r="P575" s="1824"/>
      <c r="Q575" s="1824"/>
      <c r="R575" s="1824"/>
      <c r="S575" s="18"/>
      <c r="T575" s="46"/>
      <c r="U575" s="16" t="s">
        <v>413</v>
      </c>
      <c r="Z575" s="1824" t="s">
        <v>2437</v>
      </c>
      <c r="AA575" s="1824"/>
      <c r="AB575" s="1824"/>
      <c r="AC575" s="1824"/>
      <c r="AD575" s="1824"/>
      <c r="AE575" s="1824"/>
      <c r="AF575" s="1824"/>
      <c r="AG575" s="1824"/>
      <c r="AH575" s="1824"/>
      <c r="AI575" s="1824"/>
      <c r="AJ575" s="1824"/>
      <c r="AK575" s="182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476</v>
      </c>
      <c r="G576" s="1852" t="s">
        <v>2464</v>
      </c>
      <c r="H576" s="1824"/>
      <c r="I576" s="1824"/>
      <c r="J576" s="1824"/>
      <c r="K576" s="1824"/>
      <c r="L576" s="1824"/>
      <c r="M576" s="1824"/>
      <c r="N576" s="1824"/>
      <c r="O576" s="1824"/>
      <c r="P576" s="1824"/>
      <c r="Q576" s="1824"/>
      <c r="R576" s="1824"/>
      <c r="S576" s="102"/>
      <c r="T576" s="46"/>
      <c r="U576" s="16" t="s">
        <v>476</v>
      </c>
      <c r="Z576" s="1825" t="s">
        <v>2438</v>
      </c>
      <c r="AA576" s="1825"/>
      <c r="AB576" s="1825"/>
      <c r="AC576" s="1825"/>
      <c r="AD576" s="1825"/>
      <c r="AE576" s="1825"/>
      <c r="AF576" s="1825"/>
      <c r="AG576" s="1825"/>
      <c r="AH576" s="1825"/>
      <c r="AI576" s="1825"/>
      <c r="AJ576" s="1825"/>
      <c r="AK576" s="182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907</v>
      </c>
      <c r="G577" s="1852" t="s">
        <v>2465</v>
      </c>
      <c r="H577" s="1824"/>
      <c r="I577" s="1824"/>
      <c r="J577" s="1824"/>
      <c r="K577" s="1824"/>
      <c r="L577" s="1824"/>
      <c r="M577" s="1824"/>
      <c r="N577" s="1824"/>
      <c r="O577" s="1824"/>
      <c r="P577" s="1824"/>
      <c r="Q577" s="1824"/>
      <c r="R577" s="1824"/>
      <c r="S577" s="18"/>
      <c r="T577" s="46"/>
      <c r="U577" s="16" t="s">
        <v>907</v>
      </c>
      <c r="Z577" s="1833" t="s">
        <v>2439</v>
      </c>
      <c r="AA577" s="1825"/>
      <c r="AB577" s="1825"/>
      <c r="AC577" s="1825"/>
      <c r="AD577" s="1825"/>
      <c r="AE577" s="1825"/>
      <c r="AF577" s="1825"/>
      <c r="AG577" s="1825"/>
      <c r="AH577" s="1825"/>
      <c r="AI577" s="1825"/>
      <c r="AJ577" s="1825"/>
      <c r="AK577" s="182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827" t="s">
        <v>2466</v>
      </c>
      <c r="H578" s="1853"/>
      <c r="I578" s="1853"/>
      <c r="J578" s="1853"/>
      <c r="K578" s="1853"/>
      <c r="L578" s="1853"/>
      <c r="O578" s="149" t="s">
        <v>892</v>
      </c>
      <c r="P578" s="1823"/>
      <c r="Q578" s="1823"/>
      <c r="R578" s="1823"/>
      <c r="S578" s="20"/>
      <c r="T578" s="46"/>
      <c r="U578" s="16" t="s">
        <v>712</v>
      </c>
      <c r="Z578" s="1916" t="s">
        <v>2440</v>
      </c>
      <c r="AA578" s="2023"/>
      <c r="AB578" s="2023"/>
      <c r="AC578" s="2023"/>
      <c r="AD578" s="2023"/>
      <c r="AE578" s="2023"/>
      <c r="AH578" s="149" t="s">
        <v>892</v>
      </c>
      <c r="AI578" s="1823"/>
      <c r="AJ578" s="1823"/>
      <c r="AK578" s="182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852" t="s">
        <v>2409</v>
      </c>
      <c r="I579" s="1824"/>
      <c r="J579" s="1824"/>
      <c r="K579" s="1824"/>
      <c r="L579" s="1824"/>
      <c r="M579" s="1824"/>
      <c r="N579" s="1824"/>
      <c r="O579" s="1824"/>
      <c r="P579" s="1824"/>
      <c r="Q579" s="1824"/>
      <c r="R579" s="1824"/>
      <c r="S579" s="18"/>
      <c r="T579" s="46"/>
      <c r="U579" s="16" t="s">
        <v>908</v>
      </c>
      <c r="AA579" s="1852" t="s">
        <v>2409</v>
      </c>
      <c r="AB579" s="1824"/>
      <c r="AC579" s="1824"/>
      <c r="AD579" s="1824"/>
      <c r="AE579" s="1824"/>
      <c r="AF579" s="1824"/>
      <c r="AG579" s="1824"/>
      <c r="AH579" s="1824"/>
      <c r="AI579" s="1824"/>
      <c r="AJ579" s="1824"/>
      <c r="AK579" s="182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826" t="s">
        <v>119</v>
      </c>
      <c r="O580" s="1826"/>
      <c r="T580" s="46"/>
      <c r="U580" s="16" t="s">
        <v>910</v>
      </c>
      <c r="AG580" s="1826" t="s">
        <v>119</v>
      </c>
      <c r="AH580" s="182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8" t="str">
        <f>C562</f>
        <v>City of San Marcos Roll Over</v>
      </c>
      <c r="H582" s="1828"/>
      <c r="I582" s="1828"/>
      <c r="J582" s="1828"/>
      <c r="K582" s="1828"/>
      <c r="L582" s="1828"/>
      <c r="M582" s="1828"/>
      <c r="N582" s="1828"/>
      <c r="O582" s="1828"/>
      <c r="P582" s="1828"/>
      <c r="Q582" s="1828"/>
      <c r="R582" s="1828"/>
      <c r="T582" s="101" t="s">
        <v>477</v>
      </c>
      <c r="U582" s="16" t="s">
        <v>93</v>
      </c>
      <c r="Z582" s="1828" t="str">
        <f>C563</f>
        <v>City of San Marcos  - Accrued Interest</v>
      </c>
      <c r="AA582" s="1828"/>
      <c r="AB582" s="1828"/>
      <c r="AC582" s="1828"/>
      <c r="AD582" s="1828"/>
      <c r="AE582" s="1828"/>
      <c r="AF582" s="1828"/>
      <c r="AG582" s="1828"/>
      <c r="AH582" s="1828"/>
      <c r="AI582" s="1828"/>
      <c r="AJ582" s="1828"/>
      <c r="AK582" s="182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852" t="s">
        <v>2342</v>
      </c>
      <c r="H583" s="1824"/>
      <c r="I583" s="1824"/>
      <c r="J583" s="1824"/>
      <c r="K583" s="1824"/>
      <c r="L583" s="1824"/>
      <c r="M583" s="1824"/>
      <c r="N583" s="1824"/>
      <c r="O583" s="1824"/>
      <c r="P583" s="1824"/>
      <c r="Q583" s="1824"/>
      <c r="R583" s="1824"/>
      <c r="T583" s="46"/>
      <c r="U583" s="16" t="s">
        <v>413</v>
      </c>
      <c r="Z583" s="1852" t="s">
        <v>2342</v>
      </c>
      <c r="AA583" s="1824"/>
      <c r="AB583" s="1824"/>
      <c r="AC583" s="1824"/>
      <c r="AD583" s="1824"/>
      <c r="AE583" s="1824"/>
      <c r="AF583" s="1824"/>
      <c r="AG583" s="1824"/>
      <c r="AH583" s="1824"/>
      <c r="AI583" s="1824"/>
      <c r="AJ583" s="1824"/>
      <c r="AK583" s="182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833" t="s">
        <v>2450</v>
      </c>
      <c r="H584" s="1825"/>
      <c r="I584" s="1825"/>
      <c r="J584" s="1825"/>
      <c r="K584" s="1825"/>
      <c r="L584" s="1825"/>
      <c r="M584" s="1825"/>
      <c r="N584" s="1825"/>
      <c r="O584" s="1825"/>
      <c r="P584" s="1825"/>
      <c r="Q584" s="1825"/>
      <c r="R584" s="1825"/>
      <c r="T584" s="46"/>
      <c r="U584" s="16" t="s">
        <v>476</v>
      </c>
      <c r="Z584" s="1833" t="s">
        <v>2450</v>
      </c>
      <c r="AA584" s="1825"/>
      <c r="AB584" s="1825"/>
      <c r="AC584" s="1825"/>
      <c r="AD584" s="1825"/>
      <c r="AE584" s="1825"/>
      <c r="AF584" s="1825"/>
      <c r="AG584" s="1825"/>
      <c r="AH584" s="1825"/>
      <c r="AI584" s="1825"/>
      <c r="AJ584" s="1825"/>
      <c r="AK584" s="182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833" t="s">
        <v>2419</v>
      </c>
      <c r="H585" s="1825"/>
      <c r="I585" s="1825"/>
      <c r="J585" s="1825"/>
      <c r="K585" s="1825"/>
      <c r="L585" s="1825"/>
      <c r="M585" s="1825"/>
      <c r="N585" s="1825"/>
      <c r="O585" s="1825"/>
      <c r="P585" s="1825"/>
      <c r="Q585" s="1825"/>
      <c r="R585" s="1825"/>
      <c r="T585" s="46"/>
      <c r="U585" s="16" t="s">
        <v>907</v>
      </c>
      <c r="Z585" s="1833" t="s">
        <v>2419</v>
      </c>
      <c r="AA585" s="1825"/>
      <c r="AB585" s="1825"/>
      <c r="AC585" s="1825"/>
      <c r="AD585" s="1825"/>
      <c r="AE585" s="1825"/>
      <c r="AF585" s="1825"/>
      <c r="AG585" s="1825"/>
      <c r="AH585" s="1825"/>
      <c r="AI585" s="1825"/>
      <c r="AJ585" s="1825"/>
      <c r="AK585" s="182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827" t="s">
        <v>2451</v>
      </c>
      <c r="H586" s="1827"/>
      <c r="I586" s="1827"/>
      <c r="J586" s="1827"/>
      <c r="K586" s="1827"/>
      <c r="L586" s="1827"/>
      <c r="O586" s="149" t="s">
        <v>892</v>
      </c>
      <c r="P586" s="1823">
        <v>3178</v>
      </c>
      <c r="Q586" s="1823"/>
      <c r="R586" s="1823"/>
      <c r="T586" s="46"/>
      <c r="U586" s="16" t="s">
        <v>712</v>
      </c>
      <c r="Z586" s="1827" t="s">
        <v>2451</v>
      </c>
      <c r="AA586" s="1827"/>
      <c r="AB586" s="1827"/>
      <c r="AC586" s="1827"/>
      <c r="AD586" s="1827"/>
      <c r="AE586" s="1827"/>
      <c r="AH586" s="149" t="s">
        <v>892</v>
      </c>
      <c r="AI586" s="1823">
        <v>3178</v>
      </c>
      <c r="AJ586" s="1823"/>
      <c r="AK586" s="182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852" t="s">
        <v>2409</v>
      </c>
      <c r="I587" s="1824"/>
      <c r="J587" s="1824"/>
      <c r="K587" s="1824"/>
      <c r="L587" s="1824"/>
      <c r="M587" s="1824"/>
      <c r="N587" s="1824"/>
      <c r="O587" s="1824"/>
      <c r="P587" s="1824"/>
      <c r="Q587" s="1824"/>
      <c r="R587" s="1824"/>
      <c r="T587" s="46"/>
      <c r="U587" s="16" t="s">
        <v>908</v>
      </c>
      <c r="AA587" s="1852" t="s">
        <v>2409</v>
      </c>
      <c r="AB587" s="1824"/>
      <c r="AC587" s="1824"/>
      <c r="AD587" s="1824"/>
      <c r="AE587" s="1824"/>
      <c r="AF587" s="1824"/>
      <c r="AG587" s="1824"/>
      <c r="AH587" s="1824"/>
      <c r="AI587" s="1824"/>
      <c r="AJ587" s="1824"/>
      <c r="AK587" s="1824"/>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46" t="s">
        <v>119</v>
      </c>
      <c r="O588" s="1746"/>
      <c r="T588" s="46"/>
      <c r="U588" s="16" t="s">
        <v>910</v>
      </c>
      <c r="AG588" s="1746" t="s">
        <v>119</v>
      </c>
      <c r="AH588" s="1746"/>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8" t="str">
        <f>C564</f>
        <v>City of San Marcos - Predevelopment</v>
      </c>
      <c r="H590" s="1828"/>
      <c r="I590" s="1828"/>
      <c r="J590" s="1828"/>
      <c r="K590" s="1828"/>
      <c r="L590" s="1828"/>
      <c r="M590" s="1828"/>
      <c r="N590" s="1828"/>
      <c r="O590" s="1828"/>
      <c r="P590" s="1828"/>
      <c r="Q590" s="1828"/>
      <c r="R590" s="1828"/>
      <c r="T590" s="101" t="s">
        <v>480</v>
      </c>
      <c r="U590" s="16" t="s">
        <v>93</v>
      </c>
      <c r="Z590" s="1828" t="str">
        <f>C565</f>
        <v>City of San Marcos Loan</v>
      </c>
      <c r="AA590" s="1828"/>
      <c r="AB590" s="1828"/>
      <c r="AC590" s="1828"/>
      <c r="AD590" s="1828"/>
      <c r="AE590" s="1828"/>
      <c r="AF590" s="1828"/>
      <c r="AG590" s="1828"/>
      <c r="AH590" s="1828"/>
      <c r="AI590" s="1828"/>
      <c r="AJ590" s="1828"/>
      <c r="AK590" s="182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852" t="s">
        <v>2342</v>
      </c>
      <c r="H591" s="1824"/>
      <c r="I591" s="1824"/>
      <c r="J591" s="1824"/>
      <c r="K591" s="1824"/>
      <c r="L591" s="1824"/>
      <c r="M591" s="1824"/>
      <c r="N591" s="1824"/>
      <c r="O591" s="1824"/>
      <c r="P591" s="1824"/>
      <c r="Q591" s="1824"/>
      <c r="R591" s="1824"/>
      <c r="T591" s="46"/>
      <c r="U591" s="16" t="s">
        <v>413</v>
      </c>
      <c r="Z591" s="1852" t="s">
        <v>2342</v>
      </c>
      <c r="AA591" s="1824"/>
      <c r="AB591" s="1824"/>
      <c r="AC591" s="1824"/>
      <c r="AD591" s="1824"/>
      <c r="AE591" s="1824"/>
      <c r="AF591" s="1824"/>
      <c r="AG591" s="1824"/>
      <c r="AH591" s="1824"/>
      <c r="AI591" s="1824"/>
      <c r="AJ591" s="1824"/>
      <c r="AK591" s="182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833" t="s">
        <v>2450</v>
      </c>
      <c r="H592" s="1825"/>
      <c r="I592" s="1825"/>
      <c r="J592" s="1825"/>
      <c r="K592" s="1825"/>
      <c r="L592" s="1825"/>
      <c r="M592" s="1825"/>
      <c r="N592" s="1825"/>
      <c r="O592" s="1825"/>
      <c r="P592" s="1825"/>
      <c r="Q592" s="1825"/>
      <c r="R592" s="1825"/>
      <c r="T592" s="46"/>
      <c r="U592" s="16" t="s">
        <v>476</v>
      </c>
      <c r="Z592" s="1833" t="s">
        <v>2450</v>
      </c>
      <c r="AA592" s="1825"/>
      <c r="AB592" s="1825"/>
      <c r="AC592" s="1825"/>
      <c r="AD592" s="1825"/>
      <c r="AE592" s="1825"/>
      <c r="AF592" s="1825"/>
      <c r="AG592" s="1825"/>
      <c r="AH592" s="1825"/>
      <c r="AI592" s="1825"/>
      <c r="AJ592" s="1825"/>
      <c r="AK592" s="182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833" t="s">
        <v>2419</v>
      </c>
      <c r="H593" s="1825"/>
      <c r="I593" s="1825"/>
      <c r="J593" s="1825"/>
      <c r="K593" s="1825"/>
      <c r="L593" s="1825"/>
      <c r="M593" s="1825"/>
      <c r="N593" s="1825"/>
      <c r="O593" s="1825"/>
      <c r="P593" s="1825"/>
      <c r="Q593" s="1825"/>
      <c r="R593" s="1825"/>
      <c r="T593" s="46"/>
      <c r="U593" s="16" t="s">
        <v>907</v>
      </c>
      <c r="Z593" s="1833" t="s">
        <v>2419</v>
      </c>
      <c r="AA593" s="1825"/>
      <c r="AB593" s="1825"/>
      <c r="AC593" s="1825"/>
      <c r="AD593" s="1825"/>
      <c r="AE593" s="1825"/>
      <c r="AF593" s="1825"/>
      <c r="AG593" s="1825"/>
      <c r="AH593" s="1825"/>
      <c r="AI593" s="1825"/>
      <c r="AJ593" s="1825"/>
      <c r="AK593" s="182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712</v>
      </c>
      <c r="G594" s="1827" t="s">
        <v>2451</v>
      </c>
      <c r="H594" s="1827"/>
      <c r="I594" s="1827"/>
      <c r="J594" s="1827"/>
      <c r="K594" s="1827"/>
      <c r="L594" s="1827"/>
      <c r="O594" s="149" t="s">
        <v>892</v>
      </c>
      <c r="P594" s="1823">
        <v>3178</v>
      </c>
      <c r="Q594" s="1823"/>
      <c r="R594" s="1823"/>
      <c r="T594" s="46"/>
      <c r="U594" s="16" t="s">
        <v>712</v>
      </c>
      <c r="Z594" s="1827" t="s">
        <v>2451</v>
      </c>
      <c r="AA594" s="1827"/>
      <c r="AB594" s="1827"/>
      <c r="AC594" s="1827"/>
      <c r="AD594" s="1827"/>
      <c r="AE594" s="1827"/>
      <c r="AH594" s="149" t="s">
        <v>892</v>
      </c>
      <c r="AI594" s="1823">
        <v>3178</v>
      </c>
      <c r="AJ594" s="1823"/>
      <c r="AK594" s="182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908</v>
      </c>
      <c r="H595" s="1852" t="s">
        <v>2409</v>
      </c>
      <c r="I595" s="1824"/>
      <c r="J595" s="1824"/>
      <c r="K595" s="1824"/>
      <c r="L595" s="1824"/>
      <c r="M595" s="1824"/>
      <c r="N595" s="1824"/>
      <c r="O595" s="1824"/>
      <c r="P595" s="1824"/>
      <c r="Q595" s="1824"/>
      <c r="R595" s="1824"/>
      <c r="T595" s="46"/>
      <c r="U595" s="16" t="s">
        <v>908</v>
      </c>
      <c r="AA595" s="1852" t="s">
        <v>2409</v>
      </c>
      <c r="AB595" s="1824"/>
      <c r="AC595" s="1824"/>
      <c r="AD595" s="1824"/>
      <c r="AE595" s="1824"/>
      <c r="AF595" s="1824"/>
      <c r="AG595" s="1824"/>
      <c r="AH595" s="1824"/>
      <c r="AI595" s="1824"/>
      <c r="AJ595" s="1824"/>
      <c r="AK595" s="1824"/>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910</v>
      </c>
      <c r="N596" s="1746" t="s">
        <v>119</v>
      </c>
      <c r="O596" s="1746"/>
      <c r="T596" s="46"/>
      <c r="U596" s="16" t="s">
        <v>910</v>
      </c>
      <c r="AG596" s="1746" t="s">
        <v>119</v>
      </c>
      <c r="AH596" s="174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8">
        <f>C566</f>
        <v>0</v>
      </c>
      <c r="H598" s="1828"/>
      <c r="I598" s="1828"/>
      <c r="J598" s="1828"/>
      <c r="K598" s="1828"/>
      <c r="L598" s="1828"/>
      <c r="M598" s="1828"/>
      <c r="N598" s="1828"/>
      <c r="O598" s="1828"/>
      <c r="P598" s="1828"/>
      <c r="Q598" s="1828"/>
      <c r="R598" s="1828"/>
      <c r="T598" s="101" t="s">
        <v>806</v>
      </c>
      <c r="U598" s="16" t="s">
        <v>93</v>
      </c>
      <c r="Z598" s="1828">
        <f>C567</f>
        <v>0</v>
      </c>
      <c r="AA598" s="1828"/>
      <c r="AB598" s="1828"/>
      <c r="AC598" s="1828"/>
      <c r="AD598" s="1828"/>
      <c r="AE598" s="1828"/>
      <c r="AF598" s="1828"/>
      <c r="AG598" s="1828"/>
      <c r="AH598" s="1828"/>
      <c r="AI598" s="1828"/>
      <c r="AJ598" s="1828"/>
      <c r="AK598" s="182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413</v>
      </c>
      <c r="G599" s="1824"/>
      <c r="H599" s="1824"/>
      <c r="I599" s="1824"/>
      <c r="J599" s="1824"/>
      <c r="K599" s="1824"/>
      <c r="L599" s="1824"/>
      <c r="M599" s="1824"/>
      <c r="N599" s="1824"/>
      <c r="O599" s="1824"/>
      <c r="P599" s="1824"/>
      <c r="Q599" s="1824"/>
      <c r="R599" s="1824"/>
      <c r="T599" s="46"/>
      <c r="U599" s="16" t="s">
        <v>413</v>
      </c>
      <c r="Z599" s="1824"/>
      <c r="AA599" s="1824"/>
      <c r="AB599" s="1824"/>
      <c r="AC599" s="1824"/>
      <c r="AD599" s="1824"/>
      <c r="AE599" s="1824"/>
      <c r="AF599" s="1824"/>
      <c r="AG599" s="1824"/>
      <c r="AH599" s="1824"/>
      <c r="AI599" s="1824"/>
      <c r="AJ599" s="1824"/>
      <c r="AK599" s="1824"/>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824"/>
      <c r="H600" s="1824"/>
      <c r="I600" s="1824"/>
      <c r="J600" s="1824"/>
      <c r="K600" s="1824"/>
      <c r="L600" s="1824"/>
      <c r="M600" s="1824"/>
      <c r="N600" s="1824"/>
      <c r="O600" s="1824"/>
      <c r="P600" s="1824"/>
      <c r="Q600" s="1824"/>
      <c r="R600" s="1824"/>
      <c r="S600" s="16"/>
      <c r="T600" s="46"/>
      <c r="U600" s="16" t="s">
        <v>476</v>
      </c>
      <c r="V600" s="16"/>
      <c r="W600" s="16"/>
      <c r="X600" s="16"/>
      <c r="Y600" s="16"/>
      <c r="Z600" s="1825"/>
      <c r="AA600" s="1825"/>
      <c r="AB600" s="1825"/>
      <c r="AC600" s="1825"/>
      <c r="AD600" s="1825"/>
      <c r="AE600" s="1825"/>
      <c r="AF600" s="1825"/>
      <c r="AG600" s="1825"/>
      <c r="AH600" s="1825"/>
      <c r="AI600" s="1825"/>
      <c r="AJ600" s="1825"/>
      <c r="AK600" s="182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907</v>
      </c>
      <c r="C601" s="16"/>
      <c r="D601" s="16"/>
      <c r="E601" s="16"/>
      <c r="F601" s="16"/>
      <c r="G601" s="1824"/>
      <c r="H601" s="1824"/>
      <c r="I601" s="1824"/>
      <c r="J601" s="1824"/>
      <c r="K601" s="1824"/>
      <c r="L601" s="1824"/>
      <c r="M601" s="1824"/>
      <c r="N601" s="1824"/>
      <c r="O601" s="1824"/>
      <c r="P601" s="1824"/>
      <c r="Q601" s="1824"/>
      <c r="R601" s="1824"/>
      <c r="S601" s="16"/>
      <c r="T601" s="46"/>
      <c r="U601" s="16" t="s">
        <v>907</v>
      </c>
      <c r="V601" s="16"/>
      <c r="W601" s="16"/>
      <c r="X601" s="16"/>
      <c r="Y601" s="16"/>
      <c r="Z601" s="1825"/>
      <c r="AA601" s="1825"/>
      <c r="AB601" s="1825"/>
      <c r="AC601" s="1825"/>
      <c r="AD601" s="1825"/>
      <c r="AE601" s="1825"/>
      <c r="AF601" s="1825"/>
      <c r="AG601" s="1825"/>
      <c r="AH601" s="1825"/>
      <c r="AI601" s="1825"/>
      <c r="AJ601" s="1825"/>
      <c r="AK601" s="1825"/>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712</v>
      </c>
      <c r="C602" s="16"/>
      <c r="D602" s="16"/>
      <c r="E602" s="16"/>
      <c r="F602" s="16"/>
      <c r="G602" s="1853"/>
      <c r="H602" s="1853"/>
      <c r="I602" s="1853"/>
      <c r="J602" s="1853"/>
      <c r="K602" s="1853"/>
      <c r="L602" s="1853"/>
      <c r="M602" s="16"/>
      <c r="N602" s="16"/>
      <c r="O602" s="149" t="s">
        <v>892</v>
      </c>
      <c r="P602" s="1823"/>
      <c r="Q602" s="1823"/>
      <c r="R602" s="1823"/>
      <c r="S602" s="16"/>
      <c r="T602" s="46"/>
      <c r="U602" s="16" t="s">
        <v>712</v>
      </c>
      <c r="V602" s="16"/>
      <c r="W602" s="16"/>
      <c r="X602" s="16"/>
      <c r="Y602" s="16"/>
      <c r="Z602" s="1853"/>
      <c r="AA602" s="1853"/>
      <c r="AB602" s="1853"/>
      <c r="AC602" s="1853"/>
      <c r="AD602" s="1853"/>
      <c r="AE602" s="1853"/>
      <c r="AF602" s="16"/>
      <c r="AG602" s="16"/>
      <c r="AH602" s="149" t="s">
        <v>892</v>
      </c>
      <c r="AI602" s="1823"/>
      <c r="AJ602" s="1823"/>
      <c r="AK602" s="1823"/>
      <c r="AL602" s="16"/>
      <c r="AZ602" s="8" t="s">
        <v>487</v>
      </c>
      <c r="BA602" s="72"/>
      <c r="BB602" s="72"/>
      <c r="BC602" s="72"/>
      <c r="BD602" s="72"/>
      <c r="BE602" s="334" t="s">
        <v>389</v>
      </c>
      <c r="BF602" s="335"/>
      <c r="BG602" s="1854"/>
      <c r="BH602" s="1856"/>
      <c r="BI602" s="334" t="s">
        <v>390</v>
      </c>
      <c r="BJ602" s="335"/>
      <c r="BK602" s="1854"/>
      <c r="BL602" s="1856"/>
      <c r="BN602" s="1854">
        <f t="shared" ref="BN602:BN626" si="0">IF(B706="SRO/Studio",G706,0)</f>
        <v>0</v>
      </c>
      <c r="BO602" s="1855"/>
      <c r="BP602" s="1855"/>
      <c r="BQ602" s="1855"/>
      <c r="BR602" s="1863"/>
      <c r="BS602" s="1854">
        <f t="shared" ref="BS602:BS626" si="1">IF(B706="1 Bedroom",G706,0)</f>
        <v>11</v>
      </c>
      <c r="BT602" s="1855"/>
      <c r="BU602" s="1855"/>
      <c r="BV602" s="1855"/>
      <c r="BW602" s="1856"/>
      <c r="BX602" s="1854">
        <f t="shared" ref="BX602:BX626" si="2">IF(B706="2 Bedrooms",G706,0)</f>
        <v>0</v>
      </c>
      <c r="BY602" s="1855"/>
      <c r="BZ602" s="1855"/>
      <c r="CA602" s="1855"/>
      <c r="CB602" s="1856"/>
      <c r="CC602" s="1854">
        <f t="shared" ref="CC602:CC626" si="3">IF(B706="3 Bedrooms",G706,0)</f>
        <v>0</v>
      </c>
      <c r="CD602" s="1855"/>
      <c r="CE602" s="1855"/>
      <c r="CF602" s="1855"/>
      <c r="CG602" s="1856"/>
      <c r="CH602" s="1854">
        <f t="shared" ref="CH602:CH626" si="4">IF(B706="4 Bedrooms",G706,0)</f>
        <v>0</v>
      </c>
      <c r="CI602" s="1855"/>
      <c r="CJ602" s="1855"/>
      <c r="CK602" s="1855"/>
      <c r="CL602" s="1856"/>
      <c r="CM602" s="1864">
        <f t="shared" ref="CM602:CM626" si="5">IF(B706="5 Bedrooms",G706,0)</f>
        <v>0</v>
      </c>
      <c r="CN602" s="1865"/>
      <c r="CO602" s="1865"/>
      <c r="CP602" s="1865"/>
      <c r="CQ602" s="1863"/>
      <c r="CS602" s="1392" t="s">
        <v>465</v>
      </c>
      <c r="CT602" s="1392"/>
      <c r="CU602" s="1392"/>
      <c r="CV602" s="1392"/>
      <c r="CW602" s="1392"/>
      <c r="CX602" s="1392" t="s">
        <v>488</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3.2">
      <c r="A603" s="46"/>
      <c r="B603" s="16" t="s">
        <v>908</v>
      </c>
      <c r="C603" s="16"/>
      <c r="D603" s="16"/>
      <c r="E603" s="16"/>
      <c r="F603" s="16"/>
      <c r="G603" s="16"/>
      <c r="H603" s="1824"/>
      <c r="I603" s="1824"/>
      <c r="J603" s="1824"/>
      <c r="K603" s="1824"/>
      <c r="L603" s="1824"/>
      <c r="M603" s="1824"/>
      <c r="N603" s="1824"/>
      <c r="O603" s="1824"/>
      <c r="P603" s="1824"/>
      <c r="Q603" s="1824"/>
      <c r="R603" s="1824"/>
      <c r="S603" s="16"/>
      <c r="T603" s="46"/>
      <c r="U603" s="16" t="s">
        <v>908</v>
      </c>
      <c r="V603" s="16"/>
      <c r="W603" s="16"/>
      <c r="X603" s="16"/>
      <c r="Y603" s="16"/>
      <c r="Z603" s="16"/>
      <c r="AA603" s="1824"/>
      <c r="AB603" s="1824"/>
      <c r="AC603" s="1824"/>
      <c r="AD603" s="1824"/>
      <c r="AE603" s="1824"/>
      <c r="AF603" s="1824"/>
      <c r="AG603" s="1824"/>
      <c r="AH603" s="1824"/>
      <c r="AI603" s="1824"/>
      <c r="AJ603" s="1824"/>
      <c r="AK603" s="1824"/>
      <c r="AL603" s="16"/>
      <c r="AZ603" s="8" t="s">
        <v>488</v>
      </c>
      <c r="BA603" s="72"/>
      <c r="BB603" s="72"/>
      <c r="BC603" s="72"/>
      <c r="BD603" s="72"/>
      <c r="BE603" s="1860">
        <f>IF(AND(AH706&lt;=0.5,AH706&gt;=0.36),1,0)</f>
        <v>0</v>
      </c>
      <c r="BF603" s="1862"/>
      <c r="BG603" s="1854">
        <f t="shared" ref="BG603:BG627" si="6">IF(BE603=1,G706,0)</f>
        <v>0</v>
      </c>
      <c r="BH603" s="1856"/>
      <c r="BI603" s="1860">
        <f>IF(AND(AH706&lt;=0.35,AH706&gt;0),1,0)</f>
        <v>1</v>
      </c>
      <c r="BJ603" s="1862"/>
      <c r="BK603" s="1854">
        <f t="shared" ref="BK603:BK627" si="7">IF(BI603=1,G706,0)</f>
        <v>11</v>
      </c>
      <c r="BL603" s="1856"/>
      <c r="BN603" s="1854">
        <f t="shared" si="0"/>
        <v>0</v>
      </c>
      <c r="BO603" s="1855"/>
      <c r="BP603" s="1855"/>
      <c r="BQ603" s="1855"/>
      <c r="BR603" s="1863"/>
      <c r="BS603" s="1854">
        <f t="shared" si="1"/>
        <v>6</v>
      </c>
      <c r="BT603" s="1855"/>
      <c r="BU603" s="1855"/>
      <c r="BV603" s="1855"/>
      <c r="BW603" s="1856"/>
      <c r="BX603" s="1854">
        <f t="shared" si="2"/>
        <v>0</v>
      </c>
      <c r="BY603" s="1855"/>
      <c r="BZ603" s="1855"/>
      <c r="CA603" s="1855"/>
      <c r="CB603" s="1856"/>
      <c r="CC603" s="1854">
        <f t="shared" si="3"/>
        <v>0</v>
      </c>
      <c r="CD603" s="1855"/>
      <c r="CE603" s="1855"/>
      <c r="CF603" s="1855"/>
      <c r="CG603" s="1856"/>
      <c r="CH603" s="1854">
        <f t="shared" si="4"/>
        <v>0</v>
      </c>
      <c r="CI603" s="1855"/>
      <c r="CJ603" s="1855"/>
      <c r="CK603" s="1855"/>
      <c r="CL603" s="1856"/>
      <c r="CM603" s="1854">
        <f t="shared" si="5"/>
        <v>0</v>
      </c>
      <c r="CN603" s="1855"/>
      <c r="CO603" s="1855"/>
      <c r="CP603" s="1855"/>
      <c r="CQ603" s="1856"/>
      <c r="CS603" s="1866">
        <f>IF(AND(B706="SRO/Studio",AH706&lt;=0.3),G706,0)</f>
        <v>0</v>
      </c>
      <c r="CT603" s="1867"/>
      <c r="CU603" s="1867"/>
      <c r="CV603" s="1867"/>
      <c r="CW603" s="1868"/>
      <c r="CX603" s="1866">
        <f>IF(AND(B706="1 Bedroom",AH706&lt;=0.3),G706,0)</f>
        <v>11</v>
      </c>
      <c r="CY603" s="1867"/>
      <c r="CZ603" s="1867"/>
      <c r="DA603" s="1867"/>
      <c r="DB603" s="1868"/>
      <c r="DC603" s="1866">
        <f>IF(AND(B706="2 Bedrooms",AH706&lt;=0.3),G706,0)</f>
        <v>0</v>
      </c>
      <c r="DD603" s="1867"/>
      <c r="DE603" s="1867"/>
      <c r="DF603" s="1867"/>
      <c r="DG603" s="1868"/>
      <c r="DH603" s="1866">
        <f>IF(AND(B706="3 Bedrooms",AH706&lt;=0.3),G706,0)</f>
        <v>0</v>
      </c>
      <c r="DI603" s="1867"/>
      <c r="DJ603" s="1867"/>
      <c r="DK603" s="1867"/>
      <c r="DL603" s="1868"/>
      <c r="DM603" s="1866">
        <f>IF(AND(B706="4 Bedrooms",AH706&lt;=0.3),G706,0)</f>
        <v>0</v>
      </c>
      <c r="DN603" s="1867"/>
      <c r="DO603" s="1867"/>
      <c r="DP603" s="1867"/>
      <c r="DQ603" s="1868"/>
      <c r="DR603" s="1866">
        <f>IF(AND(B706="5 Bedrooms",AH706&lt;=0.3),G706,0)</f>
        <v>0</v>
      </c>
      <c r="DS603" s="1867"/>
      <c r="DT603" s="1867"/>
      <c r="DU603" s="1867"/>
      <c r="DV603" s="1868"/>
    </row>
    <row r="604" spans="1:126" s="8" customFormat="1" ht="13.2">
      <c r="A604" s="46"/>
      <c r="B604" s="16" t="s">
        <v>910</v>
      </c>
      <c r="C604" s="16"/>
      <c r="D604" s="16"/>
      <c r="E604" s="16"/>
      <c r="F604" s="16"/>
      <c r="G604" s="16"/>
      <c r="H604" s="16"/>
      <c r="I604" s="16"/>
      <c r="J604" s="16"/>
      <c r="K604" s="16"/>
      <c r="L604" s="16"/>
      <c r="M604" s="16"/>
      <c r="N604" s="1746" t="s">
        <v>528</v>
      </c>
      <c r="O604" s="1746"/>
      <c r="P604" s="16"/>
      <c r="Q604" s="16"/>
      <c r="R604" s="16"/>
      <c r="S604" s="16"/>
      <c r="T604" s="46"/>
      <c r="U604" s="16" t="s">
        <v>910</v>
      </c>
      <c r="V604" s="16"/>
      <c r="W604" s="16"/>
      <c r="X604" s="16"/>
      <c r="Y604" s="16"/>
      <c r="Z604" s="16"/>
      <c r="AA604" s="16"/>
      <c r="AB604" s="16"/>
      <c r="AC604" s="16"/>
      <c r="AD604" s="16"/>
      <c r="AE604" s="16"/>
      <c r="AF604" s="16"/>
      <c r="AG604" s="1746" t="s">
        <v>528</v>
      </c>
      <c r="AH604" s="1746"/>
      <c r="AI604" s="16"/>
      <c r="AJ604" s="16"/>
      <c r="AK604" s="16"/>
      <c r="AL604" s="16"/>
      <c r="AZ604" s="8" t="s">
        <v>845</v>
      </c>
      <c r="BA604" s="72"/>
      <c r="BB604" s="72"/>
      <c r="BC604" s="72"/>
      <c r="BD604" s="72"/>
      <c r="BE604" s="1860">
        <f t="shared" ref="BE604:BE627" si="8">IF(AND(AH707&lt;=0.5,AH707&gt;=0.36),1,0)</f>
        <v>1</v>
      </c>
      <c r="BF604" s="1862"/>
      <c r="BG604" s="1854">
        <f t="shared" si="6"/>
        <v>6</v>
      </c>
      <c r="BH604" s="1856"/>
      <c r="BI604" s="1860">
        <f t="shared" ref="BI604:BI627" si="9">IF(AND(AH707&lt;=0.35,AH707&gt;0),1,0)</f>
        <v>0</v>
      </c>
      <c r="BJ604" s="1862"/>
      <c r="BK604" s="1854">
        <f t="shared" si="7"/>
        <v>0</v>
      </c>
      <c r="BL604" s="1856"/>
      <c r="BN604" s="1854">
        <f t="shared" si="0"/>
        <v>0</v>
      </c>
      <c r="BO604" s="1855"/>
      <c r="BP604" s="1855"/>
      <c r="BQ604" s="1855"/>
      <c r="BR604" s="1863"/>
      <c r="BS604" s="1854">
        <f t="shared" si="1"/>
        <v>3</v>
      </c>
      <c r="BT604" s="1855"/>
      <c r="BU604" s="1855"/>
      <c r="BV604" s="1855"/>
      <c r="BW604" s="1856"/>
      <c r="BX604" s="1854">
        <f t="shared" si="2"/>
        <v>0</v>
      </c>
      <c r="BY604" s="1855"/>
      <c r="BZ604" s="1855"/>
      <c r="CA604" s="1855"/>
      <c r="CB604" s="1856"/>
      <c r="CC604" s="1854">
        <f t="shared" si="3"/>
        <v>0</v>
      </c>
      <c r="CD604" s="1855"/>
      <c r="CE604" s="1855"/>
      <c r="CF604" s="1855"/>
      <c r="CG604" s="1856"/>
      <c r="CH604" s="1854">
        <f t="shared" si="4"/>
        <v>0</v>
      </c>
      <c r="CI604" s="1855"/>
      <c r="CJ604" s="1855"/>
      <c r="CK604" s="1855"/>
      <c r="CL604" s="1856"/>
      <c r="CM604" s="1854">
        <f t="shared" si="5"/>
        <v>0</v>
      </c>
      <c r="CN604" s="1855"/>
      <c r="CO604" s="1855"/>
      <c r="CP604" s="1855"/>
      <c r="CQ604" s="1856"/>
      <c r="CS604" s="1866">
        <f t="shared" ref="CS604:CS627" si="10">IF(AND(B707="SRO/Studio",AH707&lt;=0.3),G707,0)</f>
        <v>0</v>
      </c>
      <c r="CT604" s="1867"/>
      <c r="CU604" s="1867"/>
      <c r="CV604" s="1867"/>
      <c r="CW604" s="1868"/>
      <c r="CX604" s="1866">
        <f t="shared" ref="CX604:CX627" si="11">IF(AND(B707="1 Bedroom",AH707&lt;=0.3),G707,0)</f>
        <v>0</v>
      </c>
      <c r="CY604" s="1867"/>
      <c r="CZ604" s="1867"/>
      <c r="DA604" s="1867"/>
      <c r="DB604" s="1868"/>
      <c r="DC604" s="1866">
        <f t="shared" ref="DC604:DC627" si="12">IF(AND(B707="2 Bedrooms",AH707&lt;=0.3),G707,0)</f>
        <v>0</v>
      </c>
      <c r="DD604" s="1867"/>
      <c r="DE604" s="1867"/>
      <c r="DF604" s="1867"/>
      <c r="DG604" s="1868"/>
      <c r="DH604" s="1866">
        <f t="shared" ref="DH604:DH627" si="13">IF(AND(B707="3 Bedrooms",AH707&lt;=0.3),G707,0)</f>
        <v>0</v>
      </c>
      <c r="DI604" s="1867"/>
      <c r="DJ604" s="1867"/>
      <c r="DK604" s="1867"/>
      <c r="DL604" s="1868"/>
      <c r="DM604" s="1866">
        <f t="shared" ref="DM604:DM627" si="14">IF(AND(B707="4 Bedrooms",AH707&lt;=0.3),G707,0)</f>
        <v>0</v>
      </c>
      <c r="DN604" s="1867"/>
      <c r="DO604" s="1867"/>
      <c r="DP604" s="1867"/>
      <c r="DQ604" s="1868"/>
      <c r="DR604" s="1866">
        <f t="shared" ref="DR604:DR627" si="15">IF(AND(B707="5 Bedrooms",AH707&lt;=0.3),G707,0)</f>
        <v>0</v>
      </c>
      <c r="DS604" s="1867"/>
      <c r="DT604" s="1867"/>
      <c r="DU604" s="1867"/>
      <c r="DV604" s="1868"/>
    </row>
    <row r="605" spans="1:126" ht="13.2">
      <c r="AZ605" s="8" t="s">
        <v>846</v>
      </c>
      <c r="BA605" s="72"/>
      <c r="BB605" s="72"/>
      <c r="BC605" s="72"/>
      <c r="BD605" s="72"/>
      <c r="BE605" s="1860">
        <f t="shared" si="8"/>
        <v>1</v>
      </c>
      <c r="BF605" s="1862"/>
      <c r="BG605" s="1854">
        <f t="shared" si="6"/>
        <v>3</v>
      </c>
      <c r="BH605" s="1856"/>
      <c r="BI605" s="1860">
        <f t="shared" si="9"/>
        <v>0</v>
      </c>
      <c r="BJ605" s="1862"/>
      <c r="BK605" s="1854">
        <f t="shared" si="7"/>
        <v>0</v>
      </c>
      <c r="BL605" s="1856"/>
      <c r="BN605" s="1854">
        <f t="shared" si="0"/>
        <v>0</v>
      </c>
      <c r="BO605" s="1855"/>
      <c r="BP605" s="1855"/>
      <c r="BQ605" s="1855"/>
      <c r="BR605" s="1863"/>
      <c r="BS605" s="1854">
        <f t="shared" si="1"/>
        <v>7</v>
      </c>
      <c r="BT605" s="1855"/>
      <c r="BU605" s="1855"/>
      <c r="BV605" s="1855"/>
      <c r="BW605" s="1856"/>
      <c r="BX605" s="1854">
        <f t="shared" si="2"/>
        <v>0</v>
      </c>
      <c r="BY605" s="1855"/>
      <c r="BZ605" s="1855"/>
      <c r="CA605" s="1855"/>
      <c r="CB605" s="1856"/>
      <c r="CC605" s="1854">
        <f t="shared" si="3"/>
        <v>0</v>
      </c>
      <c r="CD605" s="1855"/>
      <c r="CE605" s="1855"/>
      <c r="CF605" s="1855"/>
      <c r="CG605" s="1856"/>
      <c r="CH605" s="1854">
        <f t="shared" si="4"/>
        <v>0</v>
      </c>
      <c r="CI605" s="1855"/>
      <c r="CJ605" s="1855"/>
      <c r="CK605" s="1855"/>
      <c r="CL605" s="1856"/>
      <c r="CM605" s="1854">
        <f t="shared" si="5"/>
        <v>0</v>
      </c>
      <c r="CN605" s="1855"/>
      <c r="CO605" s="1855"/>
      <c r="CP605" s="1855"/>
      <c r="CQ605" s="1856"/>
      <c r="CS605" s="1866">
        <f t="shared" si="10"/>
        <v>0</v>
      </c>
      <c r="CT605" s="1867"/>
      <c r="CU605" s="1867"/>
      <c r="CV605" s="1867"/>
      <c r="CW605" s="1868"/>
      <c r="CX605" s="1866">
        <f t="shared" si="11"/>
        <v>0</v>
      </c>
      <c r="CY605" s="1867"/>
      <c r="CZ605" s="1867"/>
      <c r="DA605" s="1867"/>
      <c r="DB605" s="1868"/>
      <c r="DC605" s="1866">
        <f t="shared" si="12"/>
        <v>0</v>
      </c>
      <c r="DD605" s="1867"/>
      <c r="DE605" s="1867"/>
      <c r="DF605" s="1867"/>
      <c r="DG605" s="1868"/>
      <c r="DH605" s="1866">
        <f t="shared" si="13"/>
        <v>0</v>
      </c>
      <c r="DI605" s="1867"/>
      <c r="DJ605" s="1867"/>
      <c r="DK605" s="1867"/>
      <c r="DL605" s="1868"/>
      <c r="DM605" s="1866">
        <f t="shared" si="14"/>
        <v>0</v>
      </c>
      <c r="DN605" s="1867"/>
      <c r="DO605" s="1867"/>
      <c r="DP605" s="1867"/>
      <c r="DQ605" s="1868"/>
      <c r="DR605" s="1866">
        <f t="shared" si="15"/>
        <v>0</v>
      </c>
      <c r="DS605" s="1867"/>
      <c r="DT605" s="1867"/>
      <c r="DU605" s="1867"/>
      <c r="DV605" s="1868"/>
    </row>
    <row r="606" spans="1:126" ht="13.2">
      <c r="A606" s="101" t="s">
        <v>603</v>
      </c>
      <c r="B606" s="16" t="s">
        <v>93</v>
      </c>
      <c r="G606" s="1828">
        <f>C568</f>
        <v>0</v>
      </c>
      <c r="H606" s="1828"/>
      <c r="I606" s="1828"/>
      <c r="J606" s="1828"/>
      <c r="K606" s="1828"/>
      <c r="L606" s="1828"/>
      <c r="M606" s="1828"/>
      <c r="N606" s="1828"/>
      <c r="O606" s="1828"/>
      <c r="P606" s="1828"/>
      <c r="Q606" s="1828"/>
      <c r="R606" s="1828"/>
      <c r="T606" s="101" t="s">
        <v>190</v>
      </c>
      <c r="U606" s="16" t="s">
        <v>93</v>
      </c>
      <c r="Z606" s="1828">
        <f>C569</f>
        <v>0</v>
      </c>
      <c r="AA606" s="1828"/>
      <c r="AB606" s="1828"/>
      <c r="AC606" s="1828"/>
      <c r="AD606" s="1828"/>
      <c r="AE606" s="1828"/>
      <c r="AF606" s="1828"/>
      <c r="AG606" s="1828"/>
      <c r="AH606" s="1828"/>
      <c r="AI606" s="1828"/>
      <c r="AJ606" s="1828"/>
      <c r="AK606" s="1828"/>
      <c r="AZ606" s="8" t="s">
        <v>847</v>
      </c>
      <c r="BA606" s="72"/>
      <c r="BB606" s="72"/>
      <c r="BC606" s="72"/>
      <c r="BD606" s="72"/>
      <c r="BE606" s="1860">
        <f t="shared" si="8"/>
        <v>1</v>
      </c>
      <c r="BF606" s="1862"/>
      <c r="BG606" s="1854">
        <f t="shared" si="6"/>
        <v>7</v>
      </c>
      <c r="BH606" s="1856"/>
      <c r="BI606" s="1860">
        <f t="shared" si="9"/>
        <v>0</v>
      </c>
      <c r="BJ606" s="1862"/>
      <c r="BK606" s="1854">
        <f t="shared" si="7"/>
        <v>0</v>
      </c>
      <c r="BL606" s="1856"/>
      <c r="BN606" s="1854">
        <f t="shared" si="0"/>
        <v>0</v>
      </c>
      <c r="BO606" s="1855"/>
      <c r="BP606" s="1855"/>
      <c r="BQ606" s="1855"/>
      <c r="BR606" s="1863"/>
      <c r="BS606" s="1854">
        <f t="shared" si="1"/>
        <v>19</v>
      </c>
      <c r="BT606" s="1855"/>
      <c r="BU606" s="1855"/>
      <c r="BV606" s="1855"/>
      <c r="BW606" s="1856"/>
      <c r="BX606" s="1854">
        <f t="shared" si="2"/>
        <v>0</v>
      </c>
      <c r="BY606" s="1855"/>
      <c r="BZ606" s="1855"/>
      <c r="CA606" s="1855"/>
      <c r="CB606" s="1856"/>
      <c r="CC606" s="1854">
        <f t="shared" si="3"/>
        <v>0</v>
      </c>
      <c r="CD606" s="1855"/>
      <c r="CE606" s="1855"/>
      <c r="CF606" s="1855"/>
      <c r="CG606" s="1856"/>
      <c r="CH606" s="1854">
        <f t="shared" si="4"/>
        <v>0</v>
      </c>
      <c r="CI606" s="1855"/>
      <c r="CJ606" s="1855"/>
      <c r="CK606" s="1855"/>
      <c r="CL606" s="1856"/>
      <c r="CM606" s="1854">
        <f t="shared" si="5"/>
        <v>0</v>
      </c>
      <c r="CN606" s="1855"/>
      <c r="CO606" s="1855"/>
      <c r="CP606" s="1855"/>
      <c r="CQ606" s="1856"/>
      <c r="CS606" s="1866">
        <f t="shared" si="10"/>
        <v>0</v>
      </c>
      <c r="CT606" s="1867"/>
      <c r="CU606" s="1867"/>
      <c r="CV606" s="1867"/>
      <c r="CW606" s="1868"/>
      <c r="CX606" s="1866">
        <f t="shared" si="11"/>
        <v>0</v>
      </c>
      <c r="CY606" s="1867"/>
      <c r="CZ606" s="1867"/>
      <c r="DA606" s="1867"/>
      <c r="DB606" s="1868"/>
      <c r="DC606" s="1866">
        <f t="shared" si="12"/>
        <v>0</v>
      </c>
      <c r="DD606" s="1867"/>
      <c r="DE606" s="1867"/>
      <c r="DF606" s="1867"/>
      <c r="DG606" s="1868"/>
      <c r="DH606" s="1866">
        <f t="shared" si="13"/>
        <v>0</v>
      </c>
      <c r="DI606" s="1867"/>
      <c r="DJ606" s="1867"/>
      <c r="DK606" s="1867"/>
      <c r="DL606" s="1868"/>
      <c r="DM606" s="1866">
        <f t="shared" si="14"/>
        <v>0</v>
      </c>
      <c r="DN606" s="1867"/>
      <c r="DO606" s="1867"/>
      <c r="DP606" s="1867"/>
      <c r="DQ606" s="1868"/>
      <c r="DR606" s="1866">
        <f t="shared" si="15"/>
        <v>0</v>
      </c>
      <c r="DS606" s="1867"/>
      <c r="DT606" s="1867"/>
      <c r="DU606" s="1867"/>
      <c r="DV606" s="1868"/>
    </row>
    <row r="607" spans="1:126" ht="13.2">
      <c r="A607" s="46"/>
      <c r="B607" s="16" t="s">
        <v>413</v>
      </c>
      <c r="G607" s="1824"/>
      <c r="H607" s="1824"/>
      <c r="I607" s="1824"/>
      <c r="J607" s="1824"/>
      <c r="K607" s="1824"/>
      <c r="L607" s="1824"/>
      <c r="M607" s="1824"/>
      <c r="N607" s="1824"/>
      <c r="O607" s="1824"/>
      <c r="P607" s="1824"/>
      <c r="Q607" s="1824"/>
      <c r="R607" s="1824"/>
      <c r="T607" s="46"/>
      <c r="U607" s="16" t="s">
        <v>413</v>
      </c>
      <c r="Z607" s="1824"/>
      <c r="AA607" s="1824"/>
      <c r="AB607" s="1824"/>
      <c r="AC607" s="1824"/>
      <c r="AD607" s="1824"/>
      <c r="AE607" s="1824"/>
      <c r="AF607" s="1824"/>
      <c r="AG607" s="1824"/>
      <c r="AH607" s="1824"/>
      <c r="AI607" s="1824"/>
      <c r="AJ607" s="1824"/>
      <c r="AK607" s="1824"/>
      <c r="AZ607" s="8" t="s">
        <v>382</v>
      </c>
      <c r="BA607" s="72"/>
      <c r="BB607" s="72"/>
      <c r="BC607" s="72"/>
      <c r="BD607" s="72"/>
      <c r="BE607" s="1860">
        <f t="shared" si="8"/>
        <v>0</v>
      </c>
      <c r="BF607" s="1862"/>
      <c r="BG607" s="1854">
        <f t="shared" si="6"/>
        <v>0</v>
      </c>
      <c r="BH607" s="1856"/>
      <c r="BI607" s="1860">
        <f t="shared" si="9"/>
        <v>0</v>
      </c>
      <c r="BJ607" s="1862"/>
      <c r="BK607" s="1854">
        <f t="shared" si="7"/>
        <v>0</v>
      </c>
      <c r="BL607" s="1856"/>
      <c r="BN607" s="1854">
        <f t="shared" si="0"/>
        <v>0</v>
      </c>
      <c r="BO607" s="1855"/>
      <c r="BP607" s="1855"/>
      <c r="BQ607" s="1855"/>
      <c r="BR607" s="1863"/>
      <c r="BS607" s="1854">
        <f t="shared" si="1"/>
        <v>0</v>
      </c>
      <c r="BT607" s="1855"/>
      <c r="BU607" s="1855"/>
      <c r="BV607" s="1855"/>
      <c r="BW607" s="1856"/>
      <c r="BX607" s="1854">
        <f t="shared" si="2"/>
        <v>6</v>
      </c>
      <c r="BY607" s="1855"/>
      <c r="BZ607" s="1855"/>
      <c r="CA607" s="1855"/>
      <c r="CB607" s="1856"/>
      <c r="CC607" s="1854">
        <f t="shared" si="3"/>
        <v>0</v>
      </c>
      <c r="CD607" s="1855"/>
      <c r="CE607" s="1855"/>
      <c r="CF607" s="1855"/>
      <c r="CG607" s="1856"/>
      <c r="CH607" s="1854">
        <f t="shared" si="4"/>
        <v>0</v>
      </c>
      <c r="CI607" s="1855"/>
      <c r="CJ607" s="1855"/>
      <c r="CK607" s="1855"/>
      <c r="CL607" s="1856"/>
      <c r="CM607" s="1854">
        <f t="shared" si="5"/>
        <v>0</v>
      </c>
      <c r="CN607" s="1855"/>
      <c r="CO607" s="1855"/>
      <c r="CP607" s="1855"/>
      <c r="CQ607" s="1856"/>
      <c r="CS607" s="1866">
        <f t="shared" si="10"/>
        <v>0</v>
      </c>
      <c r="CT607" s="1867"/>
      <c r="CU607" s="1867"/>
      <c r="CV607" s="1867"/>
      <c r="CW607" s="1868"/>
      <c r="CX607" s="1866">
        <f t="shared" si="11"/>
        <v>0</v>
      </c>
      <c r="CY607" s="1867"/>
      <c r="CZ607" s="1867"/>
      <c r="DA607" s="1867"/>
      <c r="DB607" s="1868"/>
      <c r="DC607" s="1866">
        <f t="shared" si="12"/>
        <v>0</v>
      </c>
      <c r="DD607" s="1867"/>
      <c r="DE607" s="1867"/>
      <c r="DF607" s="1867"/>
      <c r="DG607" s="1868"/>
      <c r="DH607" s="1866">
        <f t="shared" si="13"/>
        <v>0</v>
      </c>
      <c r="DI607" s="1867"/>
      <c r="DJ607" s="1867"/>
      <c r="DK607" s="1867"/>
      <c r="DL607" s="1868"/>
      <c r="DM607" s="1866">
        <f t="shared" si="14"/>
        <v>0</v>
      </c>
      <c r="DN607" s="1867"/>
      <c r="DO607" s="1867"/>
      <c r="DP607" s="1867"/>
      <c r="DQ607" s="1868"/>
      <c r="DR607" s="1866">
        <f t="shared" si="15"/>
        <v>0</v>
      </c>
      <c r="DS607" s="1867"/>
      <c r="DT607" s="1867"/>
      <c r="DU607" s="1867"/>
      <c r="DV607" s="1868"/>
    </row>
    <row r="608" spans="1:126" ht="13.2">
      <c r="A608" s="46"/>
      <c r="B608" s="16" t="s">
        <v>476</v>
      </c>
      <c r="G608" s="1824"/>
      <c r="H608" s="1824"/>
      <c r="I608" s="1824"/>
      <c r="J608" s="1824"/>
      <c r="K608" s="1824"/>
      <c r="L608" s="1824"/>
      <c r="M608" s="1824"/>
      <c r="N608" s="1824"/>
      <c r="O608" s="1824"/>
      <c r="P608" s="1824"/>
      <c r="Q608" s="1824"/>
      <c r="R608" s="1824"/>
      <c r="T608" s="46"/>
      <c r="U608" s="16" t="s">
        <v>476</v>
      </c>
      <c r="Z608" s="1825"/>
      <c r="AA608" s="1825"/>
      <c r="AB608" s="1825"/>
      <c r="AC608" s="1825"/>
      <c r="AD608" s="1825"/>
      <c r="AE608" s="1825"/>
      <c r="AF608" s="1825"/>
      <c r="AG608" s="1825"/>
      <c r="AH608" s="1825"/>
      <c r="AI608" s="1825"/>
      <c r="AJ608" s="1825"/>
      <c r="AK608" s="1825"/>
      <c r="AZ608" s="72"/>
      <c r="BA608" s="72"/>
      <c r="BB608" s="72"/>
      <c r="BC608" s="72"/>
      <c r="BD608" s="72"/>
      <c r="BE608" s="1860">
        <f t="shared" si="8"/>
        <v>0</v>
      </c>
      <c r="BF608" s="1862"/>
      <c r="BG608" s="1854">
        <f t="shared" si="6"/>
        <v>0</v>
      </c>
      <c r="BH608" s="1856"/>
      <c r="BI608" s="1860">
        <f t="shared" si="9"/>
        <v>1</v>
      </c>
      <c r="BJ608" s="1862"/>
      <c r="BK608" s="1854">
        <f t="shared" si="7"/>
        <v>6</v>
      </c>
      <c r="BL608" s="1856"/>
      <c r="BN608" s="1854">
        <f t="shared" si="0"/>
        <v>0</v>
      </c>
      <c r="BO608" s="1855"/>
      <c r="BP608" s="1855"/>
      <c r="BQ608" s="1855"/>
      <c r="BR608" s="1863"/>
      <c r="BS608" s="1854">
        <f t="shared" si="1"/>
        <v>0</v>
      </c>
      <c r="BT608" s="1855"/>
      <c r="BU608" s="1855"/>
      <c r="BV608" s="1855"/>
      <c r="BW608" s="1856"/>
      <c r="BX608" s="1854">
        <f t="shared" si="2"/>
        <v>1</v>
      </c>
      <c r="BY608" s="1855"/>
      <c r="BZ608" s="1855"/>
      <c r="CA608" s="1855"/>
      <c r="CB608" s="1856"/>
      <c r="CC608" s="1854">
        <f t="shared" si="3"/>
        <v>0</v>
      </c>
      <c r="CD608" s="1855"/>
      <c r="CE608" s="1855"/>
      <c r="CF608" s="1855"/>
      <c r="CG608" s="1856"/>
      <c r="CH608" s="1854">
        <f t="shared" si="4"/>
        <v>0</v>
      </c>
      <c r="CI608" s="1855"/>
      <c r="CJ608" s="1855"/>
      <c r="CK608" s="1855"/>
      <c r="CL608" s="1856"/>
      <c r="CM608" s="1854">
        <f t="shared" si="5"/>
        <v>0</v>
      </c>
      <c r="CN608" s="1855"/>
      <c r="CO608" s="1855"/>
      <c r="CP608" s="1855"/>
      <c r="CQ608" s="1856"/>
      <c r="CS608" s="1866">
        <f t="shared" si="10"/>
        <v>0</v>
      </c>
      <c r="CT608" s="1867"/>
      <c r="CU608" s="1867"/>
      <c r="CV608" s="1867"/>
      <c r="CW608" s="1868"/>
      <c r="CX608" s="1866">
        <f t="shared" si="11"/>
        <v>0</v>
      </c>
      <c r="CY608" s="1867"/>
      <c r="CZ608" s="1867"/>
      <c r="DA608" s="1867"/>
      <c r="DB608" s="1868"/>
      <c r="DC608" s="1866">
        <f t="shared" si="12"/>
        <v>6</v>
      </c>
      <c r="DD608" s="1867"/>
      <c r="DE608" s="1867"/>
      <c r="DF608" s="1867"/>
      <c r="DG608" s="1868"/>
      <c r="DH608" s="1866">
        <f t="shared" si="13"/>
        <v>0</v>
      </c>
      <c r="DI608" s="1867"/>
      <c r="DJ608" s="1867"/>
      <c r="DK608" s="1867"/>
      <c r="DL608" s="1868"/>
      <c r="DM608" s="1866">
        <f t="shared" si="14"/>
        <v>0</v>
      </c>
      <c r="DN608" s="1867"/>
      <c r="DO608" s="1867"/>
      <c r="DP608" s="1867"/>
      <c r="DQ608" s="1868"/>
      <c r="DR608" s="1866">
        <f t="shared" si="15"/>
        <v>0</v>
      </c>
      <c r="DS608" s="1867"/>
      <c r="DT608" s="1867"/>
      <c r="DU608" s="1867"/>
      <c r="DV608" s="1868"/>
    </row>
    <row r="609" spans="1:126" ht="13.2">
      <c r="A609" s="46"/>
      <c r="B609" s="16" t="s">
        <v>907</v>
      </c>
      <c r="G609" s="1824"/>
      <c r="H609" s="1824"/>
      <c r="I609" s="1824"/>
      <c r="J609" s="1824"/>
      <c r="K609" s="1824"/>
      <c r="L609" s="1824"/>
      <c r="M609" s="1824"/>
      <c r="N609" s="1824"/>
      <c r="O609" s="1824"/>
      <c r="P609" s="1824"/>
      <c r="Q609" s="1824"/>
      <c r="R609" s="1824"/>
      <c r="T609" s="46"/>
      <c r="U609" s="16" t="s">
        <v>907</v>
      </c>
      <c r="Z609" s="1825"/>
      <c r="AA609" s="1825"/>
      <c r="AB609" s="1825"/>
      <c r="AC609" s="1825"/>
      <c r="AD609" s="1825"/>
      <c r="AE609" s="1825"/>
      <c r="AF609" s="1825"/>
      <c r="AG609" s="1825"/>
      <c r="AH609" s="1825"/>
      <c r="AI609" s="1825"/>
      <c r="AJ609" s="1825"/>
      <c r="AK609" s="1825"/>
      <c r="AZ609" s="72"/>
      <c r="BA609" s="72"/>
      <c r="BB609" s="72"/>
      <c r="BC609" s="72"/>
      <c r="BD609" s="72"/>
      <c r="BE609" s="1860">
        <f t="shared" si="8"/>
        <v>1</v>
      </c>
      <c r="BF609" s="1862"/>
      <c r="BG609" s="1854">
        <f t="shared" si="6"/>
        <v>1</v>
      </c>
      <c r="BH609" s="1856"/>
      <c r="BI609" s="1860">
        <f t="shared" si="9"/>
        <v>0</v>
      </c>
      <c r="BJ609" s="1862"/>
      <c r="BK609" s="1854">
        <f t="shared" si="7"/>
        <v>0</v>
      </c>
      <c r="BL609" s="1856"/>
      <c r="BN609" s="1854">
        <f t="shared" si="0"/>
        <v>0</v>
      </c>
      <c r="BO609" s="1855"/>
      <c r="BP609" s="1855"/>
      <c r="BQ609" s="1855"/>
      <c r="BR609" s="1863"/>
      <c r="BS609" s="1854">
        <f t="shared" si="1"/>
        <v>0</v>
      </c>
      <c r="BT609" s="1855"/>
      <c r="BU609" s="1855"/>
      <c r="BV609" s="1855"/>
      <c r="BW609" s="1856"/>
      <c r="BX609" s="1854">
        <f t="shared" si="2"/>
        <v>17</v>
      </c>
      <c r="BY609" s="1855"/>
      <c r="BZ609" s="1855"/>
      <c r="CA609" s="1855"/>
      <c r="CB609" s="1856"/>
      <c r="CC609" s="1854">
        <f t="shared" si="3"/>
        <v>0</v>
      </c>
      <c r="CD609" s="1855"/>
      <c r="CE609" s="1855"/>
      <c r="CF609" s="1855"/>
      <c r="CG609" s="1856"/>
      <c r="CH609" s="1854">
        <f t="shared" si="4"/>
        <v>0</v>
      </c>
      <c r="CI609" s="1855"/>
      <c r="CJ609" s="1855"/>
      <c r="CK609" s="1855"/>
      <c r="CL609" s="1856"/>
      <c r="CM609" s="1854">
        <f t="shared" si="5"/>
        <v>0</v>
      </c>
      <c r="CN609" s="1855"/>
      <c r="CO609" s="1855"/>
      <c r="CP609" s="1855"/>
      <c r="CQ609" s="1856"/>
      <c r="CS609" s="1866">
        <f t="shared" si="10"/>
        <v>0</v>
      </c>
      <c r="CT609" s="1867"/>
      <c r="CU609" s="1867"/>
      <c r="CV609" s="1867"/>
      <c r="CW609" s="1868"/>
      <c r="CX609" s="1866">
        <f t="shared" si="11"/>
        <v>0</v>
      </c>
      <c r="CY609" s="1867"/>
      <c r="CZ609" s="1867"/>
      <c r="DA609" s="1867"/>
      <c r="DB609" s="1868"/>
      <c r="DC609" s="1866">
        <f t="shared" si="12"/>
        <v>0</v>
      </c>
      <c r="DD609" s="1867"/>
      <c r="DE609" s="1867"/>
      <c r="DF609" s="1867"/>
      <c r="DG609" s="1868"/>
      <c r="DH609" s="1866">
        <f t="shared" si="13"/>
        <v>0</v>
      </c>
      <c r="DI609" s="1867"/>
      <c r="DJ609" s="1867"/>
      <c r="DK609" s="1867"/>
      <c r="DL609" s="1868"/>
      <c r="DM609" s="1866">
        <f t="shared" si="14"/>
        <v>0</v>
      </c>
      <c r="DN609" s="1867"/>
      <c r="DO609" s="1867"/>
      <c r="DP609" s="1867"/>
      <c r="DQ609" s="1868"/>
      <c r="DR609" s="1866">
        <f t="shared" si="15"/>
        <v>0</v>
      </c>
      <c r="DS609" s="1867"/>
      <c r="DT609" s="1867"/>
      <c r="DU609" s="1867"/>
      <c r="DV609" s="1868"/>
    </row>
    <row r="610" spans="1:126" ht="13.2">
      <c r="A610" s="46"/>
      <c r="B610" s="16" t="s">
        <v>712</v>
      </c>
      <c r="G610" s="1853"/>
      <c r="H610" s="1853"/>
      <c r="I610" s="1853"/>
      <c r="J610" s="1853"/>
      <c r="K610" s="1853"/>
      <c r="L610" s="1853"/>
      <c r="O610" s="149" t="s">
        <v>892</v>
      </c>
      <c r="P610" s="1823"/>
      <c r="Q610" s="1823"/>
      <c r="R610" s="1823"/>
      <c r="T610" s="46"/>
      <c r="U610" s="16" t="s">
        <v>712</v>
      </c>
      <c r="Z610" s="1853"/>
      <c r="AA610" s="1853"/>
      <c r="AB610" s="1853"/>
      <c r="AC610" s="1853"/>
      <c r="AD610" s="1853"/>
      <c r="AE610" s="1853"/>
      <c r="AH610" s="149" t="s">
        <v>892</v>
      </c>
      <c r="AI610" s="1823"/>
      <c r="AJ610" s="1823"/>
      <c r="AK610" s="1823"/>
      <c r="AZ610" s="72"/>
      <c r="BA610" s="72"/>
      <c r="BB610" s="72"/>
      <c r="BC610" s="72"/>
      <c r="BD610" s="72"/>
      <c r="BE610" s="1860">
        <f t="shared" si="8"/>
        <v>0</v>
      </c>
      <c r="BF610" s="1862"/>
      <c r="BG610" s="1854">
        <f t="shared" si="6"/>
        <v>0</v>
      </c>
      <c r="BH610" s="1856"/>
      <c r="BI610" s="1860">
        <f t="shared" si="9"/>
        <v>0</v>
      </c>
      <c r="BJ610" s="1862"/>
      <c r="BK610" s="1854">
        <f t="shared" si="7"/>
        <v>0</v>
      </c>
      <c r="BL610" s="1856"/>
      <c r="BN610" s="1854">
        <f t="shared" si="0"/>
        <v>0</v>
      </c>
      <c r="BO610" s="1855"/>
      <c r="BP610" s="1855"/>
      <c r="BQ610" s="1855"/>
      <c r="BR610" s="1863"/>
      <c r="BS610" s="1854">
        <f t="shared" si="1"/>
        <v>0</v>
      </c>
      <c r="BT610" s="1855"/>
      <c r="BU610" s="1855"/>
      <c r="BV610" s="1855"/>
      <c r="BW610" s="1856"/>
      <c r="BX610" s="1854">
        <f t="shared" si="2"/>
        <v>0</v>
      </c>
      <c r="BY610" s="1855"/>
      <c r="BZ610" s="1855"/>
      <c r="CA610" s="1855"/>
      <c r="CB610" s="1856"/>
      <c r="CC610" s="1854">
        <f t="shared" si="3"/>
        <v>7</v>
      </c>
      <c r="CD610" s="1855"/>
      <c r="CE610" s="1855"/>
      <c r="CF610" s="1855"/>
      <c r="CG610" s="1856"/>
      <c r="CH610" s="1854">
        <f t="shared" si="4"/>
        <v>0</v>
      </c>
      <c r="CI610" s="1855"/>
      <c r="CJ610" s="1855"/>
      <c r="CK610" s="1855"/>
      <c r="CL610" s="1856"/>
      <c r="CM610" s="1854">
        <f t="shared" si="5"/>
        <v>0</v>
      </c>
      <c r="CN610" s="1855"/>
      <c r="CO610" s="1855"/>
      <c r="CP610" s="1855"/>
      <c r="CQ610" s="1856"/>
      <c r="CS610" s="1866">
        <f t="shared" si="10"/>
        <v>0</v>
      </c>
      <c r="CT610" s="1867"/>
      <c r="CU610" s="1867"/>
      <c r="CV610" s="1867"/>
      <c r="CW610" s="1868"/>
      <c r="CX610" s="1866">
        <f t="shared" si="11"/>
        <v>0</v>
      </c>
      <c r="CY610" s="1867"/>
      <c r="CZ610" s="1867"/>
      <c r="DA610" s="1867"/>
      <c r="DB610" s="1868"/>
      <c r="DC610" s="1866">
        <f t="shared" si="12"/>
        <v>0</v>
      </c>
      <c r="DD610" s="1867"/>
      <c r="DE610" s="1867"/>
      <c r="DF610" s="1867"/>
      <c r="DG610" s="1868"/>
      <c r="DH610" s="1866">
        <f t="shared" si="13"/>
        <v>0</v>
      </c>
      <c r="DI610" s="1867"/>
      <c r="DJ610" s="1867"/>
      <c r="DK610" s="1867"/>
      <c r="DL610" s="1868"/>
      <c r="DM610" s="1866">
        <f t="shared" si="14"/>
        <v>0</v>
      </c>
      <c r="DN610" s="1867"/>
      <c r="DO610" s="1867"/>
      <c r="DP610" s="1867"/>
      <c r="DQ610" s="1868"/>
      <c r="DR610" s="1866">
        <f t="shared" si="15"/>
        <v>0</v>
      </c>
      <c r="DS610" s="1867"/>
      <c r="DT610" s="1867"/>
      <c r="DU610" s="1867"/>
      <c r="DV610" s="1868"/>
    </row>
    <row r="611" spans="1:126" s="8" customFormat="1" ht="13.2">
      <c r="A611" s="46"/>
      <c r="B611" s="16" t="s">
        <v>908</v>
      </c>
      <c r="C611" s="16"/>
      <c r="D611" s="16"/>
      <c r="E611" s="16"/>
      <c r="F611" s="16"/>
      <c r="G611" s="16"/>
      <c r="H611" s="1824"/>
      <c r="I611" s="1824"/>
      <c r="J611" s="1824"/>
      <c r="K611" s="1824"/>
      <c r="L611" s="1824"/>
      <c r="M611" s="1824"/>
      <c r="N611" s="1824"/>
      <c r="O611" s="1824"/>
      <c r="P611" s="1824"/>
      <c r="Q611" s="1824"/>
      <c r="R611" s="1824"/>
      <c r="S611" s="16"/>
      <c r="T611" s="46"/>
      <c r="U611" s="16" t="s">
        <v>908</v>
      </c>
      <c r="V611" s="16"/>
      <c r="W611" s="16"/>
      <c r="X611" s="16"/>
      <c r="Y611" s="16"/>
      <c r="Z611" s="16"/>
      <c r="AA611" s="1824"/>
      <c r="AB611" s="1824"/>
      <c r="AC611" s="1824"/>
      <c r="AD611" s="1824"/>
      <c r="AE611" s="1824"/>
      <c r="AF611" s="1824"/>
      <c r="AG611" s="1824"/>
      <c r="AH611" s="1824"/>
      <c r="AI611" s="1824"/>
      <c r="AJ611" s="1824"/>
      <c r="AK611" s="1824"/>
      <c r="AL611" s="16"/>
      <c r="AZ611" s="72"/>
      <c r="BA611" s="72"/>
      <c r="BB611" s="72"/>
      <c r="BC611" s="72"/>
      <c r="BD611" s="72"/>
      <c r="BE611" s="1860">
        <f t="shared" si="8"/>
        <v>0</v>
      </c>
      <c r="BF611" s="1862"/>
      <c r="BG611" s="1854">
        <f t="shared" si="6"/>
        <v>0</v>
      </c>
      <c r="BH611" s="1856"/>
      <c r="BI611" s="1860">
        <f t="shared" si="9"/>
        <v>1</v>
      </c>
      <c r="BJ611" s="1862"/>
      <c r="BK611" s="1854">
        <f t="shared" si="7"/>
        <v>7</v>
      </c>
      <c r="BL611" s="1856"/>
      <c r="BN611" s="1854">
        <f t="shared" si="0"/>
        <v>0</v>
      </c>
      <c r="BO611" s="1855"/>
      <c r="BP611" s="1855"/>
      <c r="BQ611" s="1855"/>
      <c r="BR611" s="1863"/>
      <c r="BS611" s="1854">
        <f t="shared" si="1"/>
        <v>0</v>
      </c>
      <c r="BT611" s="1855"/>
      <c r="BU611" s="1855"/>
      <c r="BV611" s="1855"/>
      <c r="BW611" s="1856"/>
      <c r="BX611" s="1854">
        <f t="shared" si="2"/>
        <v>0</v>
      </c>
      <c r="BY611" s="1855"/>
      <c r="BZ611" s="1855"/>
      <c r="CA611" s="1855"/>
      <c r="CB611" s="1856"/>
      <c r="CC611" s="1854">
        <f t="shared" si="3"/>
        <v>3</v>
      </c>
      <c r="CD611" s="1855"/>
      <c r="CE611" s="1855"/>
      <c r="CF611" s="1855"/>
      <c r="CG611" s="1856"/>
      <c r="CH611" s="1854">
        <f t="shared" si="4"/>
        <v>0</v>
      </c>
      <c r="CI611" s="1855"/>
      <c r="CJ611" s="1855"/>
      <c r="CK611" s="1855"/>
      <c r="CL611" s="1856"/>
      <c r="CM611" s="1854">
        <f t="shared" si="5"/>
        <v>0</v>
      </c>
      <c r="CN611" s="1855"/>
      <c r="CO611" s="1855"/>
      <c r="CP611" s="1855"/>
      <c r="CQ611" s="1856"/>
      <c r="CS611" s="1866">
        <f t="shared" si="10"/>
        <v>0</v>
      </c>
      <c r="CT611" s="1867"/>
      <c r="CU611" s="1867"/>
      <c r="CV611" s="1867"/>
      <c r="CW611" s="1868"/>
      <c r="CX611" s="1866">
        <f t="shared" si="11"/>
        <v>0</v>
      </c>
      <c r="CY611" s="1867"/>
      <c r="CZ611" s="1867"/>
      <c r="DA611" s="1867"/>
      <c r="DB611" s="1868"/>
      <c r="DC611" s="1866">
        <f t="shared" si="12"/>
        <v>0</v>
      </c>
      <c r="DD611" s="1867"/>
      <c r="DE611" s="1867"/>
      <c r="DF611" s="1867"/>
      <c r="DG611" s="1868"/>
      <c r="DH611" s="1866">
        <f t="shared" si="13"/>
        <v>7</v>
      </c>
      <c r="DI611" s="1867"/>
      <c r="DJ611" s="1867"/>
      <c r="DK611" s="1867"/>
      <c r="DL611" s="1868"/>
      <c r="DM611" s="1866">
        <f t="shared" si="14"/>
        <v>0</v>
      </c>
      <c r="DN611" s="1867"/>
      <c r="DO611" s="1867"/>
      <c r="DP611" s="1867"/>
      <c r="DQ611" s="1868"/>
      <c r="DR611" s="1866">
        <f t="shared" si="15"/>
        <v>0</v>
      </c>
      <c r="DS611" s="1867"/>
      <c r="DT611" s="1867"/>
      <c r="DU611" s="1867"/>
      <c r="DV611" s="1868"/>
    </row>
    <row r="612" spans="1:126" s="8" customFormat="1" ht="13.2">
      <c r="A612" s="46"/>
      <c r="B612" s="16" t="s">
        <v>910</v>
      </c>
      <c r="C612" s="16"/>
      <c r="D612" s="16"/>
      <c r="E612" s="16"/>
      <c r="F612" s="16"/>
      <c r="G612" s="16"/>
      <c r="H612" s="16"/>
      <c r="I612" s="16"/>
      <c r="J612" s="16"/>
      <c r="K612" s="16"/>
      <c r="L612" s="16"/>
      <c r="M612" s="16"/>
      <c r="N612" s="1746" t="s">
        <v>528</v>
      </c>
      <c r="O612" s="1746"/>
      <c r="P612" s="16"/>
      <c r="Q612" s="16"/>
      <c r="R612" s="16"/>
      <c r="S612" s="16"/>
      <c r="T612" s="46"/>
      <c r="U612" s="16" t="s">
        <v>910</v>
      </c>
      <c r="V612" s="16"/>
      <c r="W612" s="16"/>
      <c r="X612" s="16"/>
      <c r="Y612" s="16"/>
      <c r="Z612" s="16"/>
      <c r="AA612" s="16"/>
      <c r="AB612" s="16"/>
      <c r="AC612" s="16"/>
      <c r="AD612" s="16"/>
      <c r="AE612" s="16"/>
      <c r="AF612" s="16"/>
      <c r="AG612" s="1746" t="s">
        <v>528</v>
      </c>
      <c r="AH612" s="1746"/>
      <c r="AI612" s="16"/>
      <c r="AJ612" s="16"/>
      <c r="AK612" s="16"/>
      <c r="AL612" s="16"/>
      <c r="AZ612" s="72"/>
      <c r="BA612" s="72"/>
      <c r="BB612" s="72"/>
      <c r="BC612" s="72"/>
      <c r="BD612" s="72"/>
      <c r="BE612" s="1860">
        <f t="shared" si="8"/>
        <v>1</v>
      </c>
      <c r="BF612" s="1862"/>
      <c r="BG612" s="1854">
        <f t="shared" si="6"/>
        <v>3</v>
      </c>
      <c r="BH612" s="1856"/>
      <c r="BI612" s="1860">
        <f t="shared" si="9"/>
        <v>0</v>
      </c>
      <c r="BJ612" s="1862"/>
      <c r="BK612" s="1854">
        <f t="shared" si="7"/>
        <v>0</v>
      </c>
      <c r="BL612" s="1856"/>
      <c r="BN612" s="1854">
        <f t="shared" si="0"/>
        <v>0</v>
      </c>
      <c r="BO612" s="1855"/>
      <c r="BP612" s="1855"/>
      <c r="BQ612" s="1855"/>
      <c r="BR612" s="1863"/>
      <c r="BS612" s="1854">
        <f t="shared" si="1"/>
        <v>0</v>
      </c>
      <c r="BT612" s="1855"/>
      <c r="BU612" s="1855"/>
      <c r="BV612" s="1855"/>
      <c r="BW612" s="1856"/>
      <c r="BX612" s="1854">
        <f t="shared" si="2"/>
        <v>0</v>
      </c>
      <c r="BY612" s="1855"/>
      <c r="BZ612" s="1855"/>
      <c r="CA612" s="1855"/>
      <c r="CB612" s="1856"/>
      <c r="CC612" s="1854">
        <f t="shared" si="3"/>
        <v>4</v>
      </c>
      <c r="CD612" s="1855"/>
      <c r="CE612" s="1855"/>
      <c r="CF612" s="1855"/>
      <c r="CG612" s="1856"/>
      <c r="CH612" s="1854">
        <f t="shared" si="4"/>
        <v>0</v>
      </c>
      <c r="CI612" s="1855"/>
      <c r="CJ612" s="1855"/>
      <c r="CK612" s="1855"/>
      <c r="CL612" s="1856"/>
      <c r="CM612" s="1854">
        <f t="shared" si="5"/>
        <v>0</v>
      </c>
      <c r="CN612" s="1855"/>
      <c r="CO612" s="1855"/>
      <c r="CP612" s="1855"/>
      <c r="CQ612" s="1856"/>
      <c r="CS612" s="1866">
        <f t="shared" si="10"/>
        <v>0</v>
      </c>
      <c r="CT612" s="1867"/>
      <c r="CU612" s="1867"/>
      <c r="CV612" s="1867"/>
      <c r="CW612" s="1868"/>
      <c r="CX612" s="1866">
        <f t="shared" si="11"/>
        <v>0</v>
      </c>
      <c r="CY612" s="1867"/>
      <c r="CZ612" s="1867"/>
      <c r="DA612" s="1867"/>
      <c r="DB612" s="1868"/>
      <c r="DC612" s="1866">
        <f t="shared" si="12"/>
        <v>0</v>
      </c>
      <c r="DD612" s="1867"/>
      <c r="DE612" s="1867"/>
      <c r="DF612" s="1867"/>
      <c r="DG612" s="1868"/>
      <c r="DH612" s="1866">
        <f t="shared" si="13"/>
        <v>0</v>
      </c>
      <c r="DI612" s="1867"/>
      <c r="DJ612" s="1867"/>
      <c r="DK612" s="1867"/>
      <c r="DL612" s="1868"/>
      <c r="DM612" s="1866">
        <f t="shared" si="14"/>
        <v>0</v>
      </c>
      <c r="DN612" s="1867"/>
      <c r="DO612" s="1867"/>
      <c r="DP612" s="1867"/>
      <c r="DQ612" s="1868"/>
      <c r="DR612" s="1866">
        <f t="shared" si="15"/>
        <v>0</v>
      </c>
      <c r="DS612" s="1867"/>
      <c r="DT612" s="1867"/>
      <c r="DU612" s="1867"/>
      <c r="DV612" s="1868"/>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60">
        <f t="shared" si="8"/>
        <v>1</v>
      </c>
      <c r="BF613" s="1862"/>
      <c r="BG613" s="1854">
        <f t="shared" si="6"/>
        <v>4</v>
      </c>
      <c r="BH613" s="1856"/>
      <c r="BI613" s="1860">
        <f t="shared" si="9"/>
        <v>0</v>
      </c>
      <c r="BJ613" s="1862"/>
      <c r="BK613" s="1854">
        <f t="shared" si="7"/>
        <v>0</v>
      </c>
      <c r="BL613" s="1856"/>
      <c r="BN613" s="1854">
        <f t="shared" si="0"/>
        <v>0</v>
      </c>
      <c r="BO613" s="1855"/>
      <c r="BP613" s="1855"/>
      <c r="BQ613" s="1855"/>
      <c r="BR613" s="1863"/>
      <c r="BS613" s="1854">
        <f t="shared" si="1"/>
        <v>0</v>
      </c>
      <c r="BT613" s="1855"/>
      <c r="BU613" s="1855"/>
      <c r="BV613" s="1855"/>
      <c r="BW613" s="1856"/>
      <c r="BX613" s="1854">
        <f t="shared" si="2"/>
        <v>0</v>
      </c>
      <c r="BY613" s="1855"/>
      <c r="BZ613" s="1855"/>
      <c r="CA613" s="1855"/>
      <c r="CB613" s="1856"/>
      <c r="CC613" s="1854">
        <f t="shared" si="3"/>
        <v>1</v>
      </c>
      <c r="CD613" s="1855"/>
      <c r="CE613" s="1855"/>
      <c r="CF613" s="1855"/>
      <c r="CG613" s="1856"/>
      <c r="CH613" s="1854">
        <f t="shared" si="4"/>
        <v>0</v>
      </c>
      <c r="CI613" s="1855"/>
      <c r="CJ613" s="1855"/>
      <c r="CK613" s="1855"/>
      <c r="CL613" s="1856"/>
      <c r="CM613" s="1854">
        <f t="shared" si="5"/>
        <v>0</v>
      </c>
      <c r="CN613" s="1855"/>
      <c r="CO613" s="1855"/>
      <c r="CP613" s="1855"/>
      <c r="CQ613" s="1856"/>
      <c r="CS613" s="1866">
        <f t="shared" si="10"/>
        <v>0</v>
      </c>
      <c r="CT613" s="1867"/>
      <c r="CU613" s="1867"/>
      <c r="CV613" s="1867"/>
      <c r="CW613" s="1868"/>
      <c r="CX613" s="1866">
        <f t="shared" si="11"/>
        <v>0</v>
      </c>
      <c r="CY613" s="1867"/>
      <c r="CZ613" s="1867"/>
      <c r="DA613" s="1867"/>
      <c r="DB613" s="1868"/>
      <c r="DC613" s="1866">
        <f t="shared" si="12"/>
        <v>0</v>
      </c>
      <c r="DD613" s="1867"/>
      <c r="DE613" s="1867"/>
      <c r="DF613" s="1867"/>
      <c r="DG613" s="1868"/>
      <c r="DH613" s="1866">
        <f t="shared" si="13"/>
        <v>0</v>
      </c>
      <c r="DI613" s="1867"/>
      <c r="DJ613" s="1867"/>
      <c r="DK613" s="1867"/>
      <c r="DL613" s="1868"/>
      <c r="DM613" s="1866">
        <f t="shared" si="14"/>
        <v>0</v>
      </c>
      <c r="DN613" s="1867"/>
      <c r="DO613" s="1867"/>
      <c r="DP613" s="1867"/>
      <c r="DQ613" s="1868"/>
      <c r="DR613" s="1866">
        <f t="shared" si="15"/>
        <v>0</v>
      </c>
      <c r="DS613" s="1867"/>
      <c r="DT613" s="1867"/>
      <c r="DU613" s="1867"/>
      <c r="DV613" s="1868"/>
    </row>
    <row r="614" spans="1:126" ht="13.2">
      <c r="A614" s="101" t="s">
        <v>37</v>
      </c>
      <c r="B614" s="16" t="s">
        <v>93</v>
      </c>
      <c r="G614" s="1828">
        <f>C570</f>
        <v>0</v>
      </c>
      <c r="H614" s="1828"/>
      <c r="I614" s="1828"/>
      <c r="J614" s="1828"/>
      <c r="K614" s="1828"/>
      <c r="L614" s="1828"/>
      <c r="M614" s="1828"/>
      <c r="N614" s="1828"/>
      <c r="O614" s="1828"/>
      <c r="P614" s="1828"/>
      <c r="Q614" s="1828"/>
      <c r="R614" s="1828"/>
      <c r="T614" s="101" t="s">
        <v>38</v>
      </c>
      <c r="U614" s="16" t="s">
        <v>93</v>
      </c>
      <c r="Z614" s="1828">
        <f>C571</f>
        <v>0</v>
      </c>
      <c r="AA614" s="1828"/>
      <c r="AB614" s="1828"/>
      <c r="AC614" s="1828"/>
      <c r="AD614" s="1828"/>
      <c r="AE614" s="1828"/>
      <c r="AF614" s="1828"/>
      <c r="AG614" s="1828"/>
      <c r="AH614" s="1828"/>
      <c r="AI614" s="1828"/>
      <c r="AJ614" s="1828"/>
      <c r="AK614" s="1828"/>
      <c r="AZ614" s="72"/>
      <c r="BA614" s="72"/>
      <c r="BB614" s="72"/>
      <c r="BC614" s="72"/>
      <c r="BD614" s="72"/>
      <c r="BE614" s="1860">
        <f t="shared" si="8"/>
        <v>0</v>
      </c>
      <c r="BF614" s="1862"/>
      <c r="BG614" s="1854">
        <f t="shared" si="6"/>
        <v>0</v>
      </c>
      <c r="BH614" s="1856"/>
      <c r="BI614" s="1860">
        <f t="shared" si="9"/>
        <v>1</v>
      </c>
      <c r="BJ614" s="1862"/>
      <c r="BK614" s="1854">
        <f t="shared" si="7"/>
        <v>1</v>
      </c>
      <c r="BL614" s="1856"/>
      <c r="BN614" s="1854">
        <f t="shared" si="0"/>
        <v>0</v>
      </c>
      <c r="BO614" s="1855"/>
      <c r="BP614" s="1855"/>
      <c r="BQ614" s="1855"/>
      <c r="BR614" s="1863"/>
      <c r="BS614" s="1854">
        <f t="shared" si="1"/>
        <v>0</v>
      </c>
      <c r="BT614" s="1855"/>
      <c r="BU614" s="1855"/>
      <c r="BV614" s="1855"/>
      <c r="BW614" s="1856"/>
      <c r="BX614" s="1854">
        <f t="shared" si="2"/>
        <v>0</v>
      </c>
      <c r="BY614" s="1855"/>
      <c r="BZ614" s="1855"/>
      <c r="CA614" s="1855"/>
      <c r="CB614" s="1856"/>
      <c r="CC614" s="1854">
        <f t="shared" si="3"/>
        <v>9</v>
      </c>
      <c r="CD614" s="1855"/>
      <c r="CE614" s="1855"/>
      <c r="CF614" s="1855"/>
      <c r="CG614" s="1856"/>
      <c r="CH614" s="1854">
        <f t="shared" si="4"/>
        <v>0</v>
      </c>
      <c r="CI614" s="1855"/>
      <c r="CJ614" s="1855"/>
      <c r="CK614" s="1855"/>
      <c r="CL614" s="1856"/>
      <c r="CM614" s="1854">
        <f t="shared" si="5"/>
        <v>0</v>
      </c>
      <c r="CN614" s="1855"/>
      <c r="CO614" s="1855"/>
      <c r="CP614" s="1855"/>
      <c r="CQ614" s="1856"/>
      <c r="CS614" s="1866">
        <f t="shared" si="10"/>
        <v>0</v>
      </c>
      <c r="CT614" s="1867"/>
      <c r="CU614" s="1867"/>
      <c r="CV614" s="1867"/>
      <c r="CW614" s="1868"/>
      <c r="CX614" s="1866">
        <f t="shared" si="11"/>
        <v>0</v>
      </c>
      <c r="CY614" s="1867"/>
      <c r="CZ614" s="1867"/>
      <c r="DA614" s="1867"/>
      <c r="DB614" s="1868"/>
      <c r="DC614" s="1866">
        <f t="shared" si="12"/>
        <v>0</v>
      </c>
      <c r="DD614" s="1867"/>
      <c r="DE614" s="1867"/>
      <c r="DF614" s="1867"/>
      <c r="DG614" s="1868"/>
      <c r="DH614" s="1866">
        <f t="shared" si="13"/>
        <v>1</v>
      </c>
      <c r="DI614" s="1867"/>
      <c r="DJ614" s="1867"/>
      <c r="DK614" s="1867"/>
      <c r="DL614" s="1868"/>
      <c r="DM614" s="1866">
        <f t="shared" si="14"/>
        <v>0</v>
      </c>
      <c r="DN614" s="1867"/>
      <c r="DO614" s="1867"/>
      <c r="DP614" s="1867"/>
      <c r="DQ614" s="1868"/>
      <c r="DR614" s="1866">
        <f t="shared" si="15"/>
        <v>0</v>
      </c>
      <c r="DS614" s="1867"/>
      <c r="DT614" s="1867"/>
      <c r="DU614" s="1867"/>
      <c r="DV614" s="1868"/>
    </row>
    <row r="615" spans="1:126" ht="13.2">
      <c r="B615" s="16" t="s">
        <v>413</v>
      </c>
      <c r="G615" s="1824"/>
      <c r="H615" s="1824"/>
      <c r="I615" s="1824"/>
      <c r="J615" s="1824"/>
      <c r="K615" s="1824"/>
      <c r="L615" s="1824"/>
      <c r="M615" s="1824"/>
      <c r="N615" s="1824"/>
      <c r="O615" s="1824"/>
      <c r="P615" s="1824"/>
      <c r="Q615" s="1824"/>
      <c r="R615" s="1824"/>
      <c r="U615" s="16" t="s">
        <v>413</v>
      </c>
      <c r="Z615" s="1824"/>
      <c r="AA615" s="1824"/>
      <c r="AB615" s="1824"/>
      <c r="AC615" s="1824"/>
      <c r="AD615" s="1824"/>
      <c r="AE615" s="1824"/>
      <c r="AF615" s="1824"/>
      <c r="AG615" s="1824"/>
      <c r="AH615" s="1824"/>
      <c r="AI615" s="1824"/>
      <c r="AJ615" s="1824"/>
      <c r="AK615" s="1824"/>
      <c r="AL615" s="35"/>
      <c r="AZ615" s="72"/>
      <c r="BA615" s="72"/>
      <c r="BB615" s="72"/>
      <c r="BC615" s="72"/>
      <c r="BD615" s="72"/>
      <c r="BE615" s="1860">
        <f t="shared" si="8"/>
        <v>0</v>
      </c>
      <c r="BF615" s="1862"/>
      <c r="BG615" s="1854">
        <f t="shared" si="6"/>
        <v>0</v>
      </c>
      <c r="BH615" s="1856"/>
      <c r="BI615" s="1860">
        <f t="shared" si="9"/>
        <v>0</v>
      </c>
      <c r="BJ615" s="1862"/>
      <c r="BK615" s="1854">
        <f t="shared" si="7"/>
        <v>0</v>
      </c>
      <c r="BL615" s="1856"/>
      <c r="BN615" s="1854">
        <f t="shared" si="0"/>
        <v>0</v>
      </c>
      <c r="BO615" s="1855"/>
      <c r="BP615" s="1855"/>
      <c r="BQ615" s="1855"/>
      <c r="BR615" s="1863"/>
      <c r="BS615" s="1854">
        <f t="shared" si="1"/>
        <v>0</v>
      </c>
      <c r="BT615" s="1855"/>
      <c r="BU615" s="1855"/>
      <c r="BV615" s="1855"/>
      <c r="BW615" s="1856"/>
      <c r="BX615" s="1854">
        <f t="shared" si="2"/>
        <v>0</v>
      </c>
      <c r="BY615" s="1855"/>
      <c r="BZ615" s="1855"/>
      <c r="CA615" s="1855"/>
      <c r="CB615" s="1856"/>
      <c r="CC615" s="1854">
        <f t="shared" si="3"/>
        <v>0</v>
      </c>
      <c r="CD615" s="1855"/>
      <c r="CE615" s="1855"/>
      <c r="CF615" s="1855"/>
      <c r="CG615" s="1856"/>
      <c r="CH615" s="1854">
        <f t="shared" si="4"/>
        <v>0</v>
      </c>
      <c r="CI615" s="1855"/>
      <c r="CJ615" s="1855"/>
      <c r="CK615" s="1855"/>
      <c r="CL615" s="1856"/>
      <c r="CM615" s="1854">
        <f t="shared" si="5"/>
        <v>0</v>
      </c>
      <c r="CN615" s="1855"/>
      <c r="CO615" s="1855"/>
      <c r="CP615" s="1855"/>
      <c r="CQ615" s="1856"/>
      <c r="CS615" s="1866">
        <f t="shared" si="10"/>
        <v>0</v>
      </c>
      <c r="CT615" s="1867"/>
      <c r="CU615" s="1867"/>
      <c r="CV615" s="1867"/>
      <c r="CW615" s="1868"/>
      <c r="CX615" s="1866">
        <f t="shared" si="11"/>
        <v>0</v>
      </c>
      <c r="CY615" s="1867"/>
      <c r="CZ615" s="1867"/>
      <c r="DA615" s="1867"/>
      <c r="DB615" s="1868"/>
      <c r="DC615" s="1866">
        <f t="shared" si="12"/>
        <v>0</v>
      </c>
      <c r="DD615" s="1867"/>
      <c r="DE615" s="1867"/>
      <c r="DF615" s="1867"/>
      <c r="DG615" s="1868"/>
      <c r="DH615" s="1866">
        <f t="shared" si="13"/>
        <v>0</v>
      </c>
      <c r="DI615" s="1867"/>
      <c r="DJ615" s="1867"/>
      <c r="DK615" s="1867"/>
      <c r="DL615" s="1868"/>
      <c r="DM615" s="1866">
        <f t="shared" si="14"/>
        <v>0</v>
      </c>
      <c r="DN615" s="1867"/>
      <c r="DO615" s="1867"/>
      <c r="DP615" s="1867"/>
      <c r="DQ615" s="1868"/>
      <c r="DR615" s="1866">
        <f t="shared" si="15"/>
        <v>0</v>
      </c>
      <c r="DS615" s="1867"/>
      <c r="DT615" s="1867"/>
      <c r="DU615" s="1867"/>
      <c r="DV615" s="1868"/>
    </row>
    <row r="616" spans="1:126" ht="13.2">
      <c r="B616" s="16" t="s">
        <v>476</v>
      </c>
      <c r="G616" s="1824"/>
      <c r="H616" s="1824"/>
      <c r="I616" s="1824"/>
      <c r="J616" s="1824"/>
      <c r="K616" s="1824"/>
      <c r="L616" s="1824"/>
      <c r="M616" s="1824"/>
      <c r="N616" s="1824"/>
      <c r="O616" s="1824"/>
      <c r="P616" s="1824"/>
      <c r="Q616" s="1824"/>
      <c r="R616" s="1824"/>
      <c r="U616" s="16" t="s">
        <v>476</v>
      </c>
      <c r="Z616" s="1825"/>
      <c r="AA616" s="1825"/>
      <c r="AB616" s="1825"/>
      <c r="AC616" s="1825"/>
      <c r="AD616" s="1825"/>
      <c r="AE616" s="1825"/>
      <c r="AF616" s="1825"/>
      <c r="AG616" s="1825"/>
      <c r="AH616" s="1825"/>
      <c r="AI616" s="1825"/>
      <c r="AJ616" s="1825"/>
      <c r="AK616" s="1825"/>
      <c r="AL616" s="471"/>
      <c r="BA616" s="72"/>
      <c r="BB616" s="72"/>
      <c r="BC616" s="72"/>
      <c r="BD616" s="72"/>
      <c r="BE616" s="1860">
        <f t="shared" si="8"/>
        <v>0</v>
      </c>
      <c r="BF616" s="1862"/>
      <c r="BG616" s="1854">
        <f t="shared" si="6"/>
        <v>0</v>
      </c>
      <c r="BH616" s="1856"/>
      <c r="BI616" s="1860">
        <f t="shared" si="9"/>
        <v>0</v>
      </c>
      <c r="BJ616" s="1862"/>
      <c r="BK616" s="1854">
        <f t="shared" si="7"/>
        <v>0</v>
      </c>
      <c r="BL616" s="1856"/>
      <c r="BN616" s="1854">
        <f t="shared" si="0"/>
        <v>0</v>
      </c>
      <c r="BO616" s="1855"/>
      <c r="BP616" s="1855"/>
      <c r="BQ616" s="1855"/>
      <c r="BR616" s="1863"/>
      <c r="BS616" s="1854">
        <f t="shared" si="1"/>
        <v>0</v>
      </c>
      <c r="BT616" s="1855"/>
      <c r="BU616" s="1855"/>
      <c r="BV616" s="1855"/>
      <c r="BW616" s="1856"/>
      <c r="BX616" s="1854">
        <f t="shared" si="2"/>
        <v>0</v>
      </c>
      <c r="BY616" s="1855"/>
      <c r="BZ616" s="1855"/>
      <c r="CA616" s="1855"/>
      <c r="CB616" s="1856"/>
      <c r="CC616" s="1854">
        <f t="shared" si="3"/>
        <v>0</v>
      </c>
      <c r="CD616" s="1855"/>
      <c r="CE616" s="1855"/>
      <c r="CF616" s="1855"/>
      <c r="CG616" s="1856"/>
      <c r="CH616" s="1854">
        <f t="shared" si="4"/>
        <v>0</v>
      </c>
      <c r="CI616" s="1855"/>
      <c r="CJ616" s="1855"/>
      <c r="CK616" s="1855"/>
      <c r="CL616" s="1856"/>
      <c r="CM616" s="1854">
        <f t="shared" si="5"/>
        <v>0</v>
      </c>
      <c r="CN616" s="1855"/>
      <c r="CO616" s="1855"/>
      <c r="CP616" s="1855"/>
      <c r="CQ616" s="1856"/>
      <c r="CS616" s="1866">
        <f t="shared" si="10"/>
        <v>0</v>
      </c>
      <c r="CT616" s="1867"/>
      <c r="CU616" s="1867"/>
      <c r="CV616" s="1867"/>
      <c r="CW616" s="1868"/>
      <c r="CX616" s="1866">
        <f t="shared" si="11"/>
        <v>0</v>
      </c>
      <c r="CY616" s="1867"/>
      <c r="CZ616" s="1867"/>
      <c r="DA616" s="1867"/>
      <c r="DB616" s="1868"/>
      <c r="DC616" s="1866">
        <f t="shared" si="12"/>
        <v>0</v>
      </c>
      <c r="DD616" s="1867"/>
      <c r="DE616" s="1867"/>
      <c r="DF616" s="1867"/>
      <c r="DG616" s="1868"/>
      <c r="DH616" s="1866">
        <f t="shared" si="13"/>
        <v>0</v>
      </c>
      <c r="DI616" s="1867"/>
      <c r="DJ616" s="1867"/>
      <c r="DK616" s="1867"/>
      <c r="DL616" s="1868"/>
      <c r="DM616" s="1866">
        <f t="shared" si="14"/>
        <v>0</v>
      </c>
      <c r="DN616" s="1867"/>
      <c r="DO616" s="1867"/>
      <c r="DP616" s="1867"/>
      <c r="DQ616" s="1868"/>
      <c r="DR616" s="1866">
        <f t="shared" si="15"/>
        <v>0</v>
      </c>
      <c r="DS616" s="1867"/>
      <c r="DT616" s="1867"/>
      <c r="DU616" s="1867"/>
      <c r="DV616" s="1868"/>
    </row>
    <row r="617" spans="1:126" ht="13.2">
      <c r="B617" s="16" t="s">
        <v>907</v>
      </c>
      <c r="G617" s="1824"/>
      <c r="H617" s="1824"/>
      <c r="I617" s="1824"/>
      <c r="J617" s="1824"/>
      <c r="K617" s="1824"/>
      <c r="L617" s="1824"/>
      <c r="M617" s="1824"/>
      <c r="N617" s="1824"/>
      <c r="O617" s="1824"/>
      <c r="P617" s="1824"/>
      <c r="Q617" s="1824"/>
      <c r="R617" s="1824"/>
      <c r="U617" s="16" t="s">
        <v>907</v>
      </c>
      <c r="Z617" s="1825"/>
      <c r="AA617" s="1825"/>
      <c r="AB617" s="1825"/>
      <c r="AC617" s="1825"/>
      <c r="AD617" s="1825"/>
      <c r="AE617" s="1825"/>
      <c r="AF617" s="1825"/>
      <c r="AG617" s="1825"/>
      <c r="AH617" s="1825"/>
      <c r="AI617" s="1825"/>
      <c r="AJ617" s="1825"/>
      <c r="AK617" s="1825"/>
      <c r="AL617" s="471"/>
      <c r="BA617" s="72"/>
      <c r="BB617" s="72"/>
      <c r="BC617" s="72"/>
      <c r="BD617" s="72"/>
      <c r="BE617" s="1860">
        <f t="shared" si="8"/>
        <v>0</v>
      </c>
      <c r="BF617" s="1862"/>
      <c r="BG617" s="1854">
        <f t="shared" si="6"/>
        <v>0</v>
      </c>
      <c r="BH617" s="1856"/>
      <c r="BI617" s="1860">
        <f t="shared" si="9"/>
        <v>0</v>
      </c>
      <c r="BJ617" s="1862"/>
      <c r="BK617" s="1854">
        <f t="shared" si="7"/>
        <v>0</v>
      </c>
      <c r="BL617" s="1856"/>
      <c r="BN617" s="1854">
        <f t="shared" si="0"/>
        <v>0</v>
      </c>
      <c r="BO617" s="1855"/>
      <c r="BP617" s="1855"/>
      <c r="BQ617" s="1855"/>
      <c r="BR617" s="1863"/>
      <c r="BS617" s="1854">
        <f t="shared" si="1"/>
        <v>0</v>
      </c>
      <c r="BT617" s="1855"/>
      <c r="BU617" s="1855"/>
      <c r="BV617" s="1855"/>
      <c r="BW617" s="1856"/>
      <c r="BX617" s="1854">
        <f t="shared" si="2"/>
        <v>0</v>
      </c>
      <c r="BY617" s="1855"/>
      <c r="BZ617" s="1855"/>
      <c r="CA617" s="1855"/>
      <c r="CB617" s="1856"/>
      <c r="CC617" s="1854">
        <f t="shared" si="3"/>
        <v>0</v>
      </c>
      <c r="CD617" s="1855"/>
      <c r="CE617" s="1855"/>
      <c r="CF617" s="1855"/>
      <c r="CG617" s="1856"/>
      <c r="CH617" s="1854">
        <f t="shared" si="4"/>
        <v>0</v>
      </c>
      <c r="CI617" s="1855"/>
      <c r="CJ617" s="1855"/>
      <c r="CK617" s="1855"/>
      <c r="CL617" s="1856"/>
      <c r="CM617" s="1854">
        <f t="shared" si="5"/>
        <v>0</v>
      </c>
      <c r="CN617" s="1855"/>
      <c r="CO617" s="1855"/>
      <c r="CP617" s="1855"/>
      <c r="CQ617" s="1856"/>
      <c r="CS617" s="1866">
        <f t="shared" si="10"/>
        <v>0</v>
      </c>
      <c r="CT617" s="1867"/>
      <c r="CU617" s="1867"/>
      <c r="CV617" s="1867"/>
      <c r="CW617" s="1868"/>
      <c r="CX617" s="1866">
        <f t="shared" si="11"/>
        <v>0</v>
      </c>
      <c r="CY617" s="1867"/>
      <c r="CZ617" s="1867"/>
      <c r="DA617" s="1867"/>
      <c r="DB617" s="1868"/>
      <c r="DC617" s="1866">
        <f t="shared" si="12"/>
        <v>0</v>
      </c>
      <c r="DD617" s="1867"/>
      <c r="DE617" s="1867"/>
      <c r="DF617" s="1867"/>
      <c r="DG617" s="1868"/>
      <c r="DH617" s="1866">
        <f t="shared" si="13"/>
        <v>0</v>
      </c>
      <c r="DI617" s="1867"/>
      <c r="DJ617" s="1867"/>
      <c r="DK617" s="1867"/>
      <c r="DL617" s="1868"/>
      <c r="DM617" s="1866">
        <f t="shared" si="14"/>
        <v>0</v>
      </c>
      <c r="DN617" s="1867"/>
      <c r="DO617" s="1867"/>
      <c r="DP617" s="1867"/>
      <c r="DQ617" s="1868"/>
      <c r="DR617" s="1866">
        <f t="shared" si="15"/>
        <v>0</v>
      </c>
      <c r="DS617" s="1867"/>
      <c r="DT617" s="1867"/>
      <c r="DU617" s="1867"/>
      <c r="DV617" s="1868"/>
    </row>
    <row r="618" spans="1:126" ht="13.2">
      <c r="B618" s="16" t="s">
        <v>712</v>
      </c>
      <c r="G618" s="1853"/>
      <c r="H618" s="1853"/>
      <c r="I618" s="1853"/>
      <c r="J618" s="1853"/>
      <c r="K618" s="1853"/>
      <c r="L618" s="1853"/>
      <c r="O618" s="149" t="s">
        <v>892</v>
      </c>
      <c r="P618" s="1823"/>
      <c r="Q618" s="1823"/>
      <c r="R618" s="1823"/>
      <c r="U618" s="16" t="s">
        <v>712</v>
      </c>
      <c r="Z618" s="1853"/>
      <c r="AA618" s="1853"/>
      <c r="AB618" s="1853"/>
      <c r="AC618" s="1853"/>
      <c r="AD618" s="1853"/>
      <c r="AE618" s="1853"/>
      <c r="AH618" s="149" t="s">
        <v>892</v>
      </c>
      <c r="AI618" s="1823"/>
      <c r="AJ618" s="1823"/>
      <c r="AK618" s="1823"/>
      <c r="AL618" s="3"/>
      <c r="AZ618" s="72"/>
      <c r="BA618" s="72"/>
      <c r="BB618" s="72"/>
      <c r="BC618" s="72"/>
      <c r="BD618" s="72"/>
      <c r="BE618" s="1860">
        <f t="shared" si="8"/>
        <v>0</v>
      </c>
      <c r="BF618" s="1862"/>
      <c r="BG618" s="1854">
        <f t="shared" si="6"/>
        <v>0</v>
      </c>
      <c r="BH618" s="1856"/>
      <c r="BI618" s="1860">
        <f t="shared" si="9"/>
        <v>0</v>
      </c>
      <c r="BJ618" s="1862"/>
      <c r="BK618" s="1854">
        <f t="shared" si="7"/>
        <v>0</v>
      </c>
      <c r="BL618" s="1856"/>
      <c r="BN618" s="1854">
        <f t="shared" si="0"/>
        <v>0</v>
      </c>
      <c r="BO618" s="1855"/>
      <c r="BP618" s="1855"/>
      <c r="BQ618" s="1855"/>
      <c r="BR618" s="1863"/>
      <c r="BS618" s="1854">
        <f t="shared" si="1"/>
        <v>0</v>
      </c>
      <c r="BT618" s="1855"/>
      <c r="BU618" s="1855"/>
      <c r="BV618" s="1855"/>
      <c r="BW618" s="1856"/>
      <c r="BX618" s="1854">
        <f t="shared" si="2"/>
        <v>0</v>
      </c>
      <c r="BY618" s="1855"/>
      <c r="BZ618" s="1855"/>
      <c r="CA618" s="1855"/>
      <c r="CB618" s="1856"/>
      <c r="CC618" s="1854">
        <f t="shared" si="3"/>
        <v>0</v>
      </c>
      <c r="CD618" s="1855"/>
      <c r="CE618" s="1855"/>
      <c r="CF618" s="1855"/>
      <c r="CG618" s="1856"/>
      <c r="CH618" s="1854">
        <f t="shared" si="4"/>
        <v>0</v>
      </c>
      <c r="CI618" s="1855"/>
      <c r="CJ618" s="1855"/>
      <c r="CK618" s="1855"/>
      <c r="CL618" s="1856"/>
      <c r="CM618" s="1854">
        <f t="shared" si="5"/>
        <v>0</v>
      </c>
      <c r="CN618" s="1855"/>
      <c r="CO618" s="1855"/>
      <c r="CP618" s="1855"/>
      <c r="CQ618" s="1856"/>
      <c r="CS618" s="1866">
        <f t="shared" si="10"/>
        <v>0</v>
      </c>
      <c r="CT618" s="1867"/>
      <c r="CU618" s="1867"/>
      <c r="CV618" s="1867"/>
      <c r="CW618" s="1868"/>
      <c r="CX618" s="1866">
        <f t="shared" si="11"/>
        <v>0</v>
      </c>
      <c r="CY618" s="1867"/>
      <c r="CZ618" s="1867"/>
      <c r="DA618" s="1867"/>
      <c r="DB618" s="1868"/>
      <c r="DC618" s="1866">
        <f t="shared" si="12"/>
        <v>0</v>
      </c>
      <c r="DD618" s="1867"/>
      <c r="DE618" s="1867"/>
      <c r="DF618" s="1867"/>
      <c r="DG618" s="1868"/>
      <c r="DH618" s="1866">
        <f t="shared" si="13"/>
        <v>0</v>
      </c>
      <c r="DI618" s="1867"/>
      <c r="DJ618" s="1867"/>
      <c r="DK618" s="1867"/>
      <c r="DL618" s="1868"/>
      <c r="DM618" s="1866">
        <f t="shared" si="14"/>
        <v>0</v>
      </c>
      <c r="DN618" s="1867"/>
      <c r="DO618" s="1867"/>
      <c r="DP618" s="1867"/>
      <c r="DQ618" s="1868"/>
      <c r="DR618" s="1866">
        <f t="shared" si="15"/>
        <v>0</v>
      </c>
      <c r="DS618" s="1867"/>
      <c r="DT618" s="1867"/>
      <c r="DU618" s="1867"/>
      <c r="DV618" s="1868"/>
    </row>
    <row r="619" spans="1:126" ht="13.2">
      <c r="B619" s="16" t="s">
        <v>908</v>
      </c>
      <c r="H619" s="1824"/>
      <c r="I619" s="1824"/>
      <c r="J619" s="1824"/>
      <c r="K619" s="1824"/>
      <c r="L619" s="1824"/>
      <c r="M619" s="1824"/>
      <c r="N619" s="1824"/>
      <c r="O619" s="1824"/>
      <c r="P619" s="1824"/>
      <c r="Q619" s="1824"/>
      <c r="R619" s="1824"/>
      <c r="U619" s="16" t="s">
        <v>908</v>
      </c>
      <c r="AA619" s="1824"/>
      <c r="AB619" s="1824"/>
      <c r="AC619" s="1824"/>
      <c r="AD619" s="1824"/>
      <c r="AE619" s="1824"/>
      <c r="AF619" s="1824"/>
      <c r="AG619" s="1824"/>
      <c r="AH619" s="1824"/>
      <c r="AI619" s="1824"/>
      <c r="AJ619" s="1824"/>
      <c r="AK619" s="1824"/>
      <c r="AL619" s="3"/>
      <c r="AZ619" s="72"/>
      <c r="BA619" s="72"/>
      <c r="BB619" s="72"/>
      <c r="BC619" s="72"/>
      <c r="BD619" s="72"/>
      <c r="BE619" s="1860">
        <f t="shared" si="8"/>
        <v>0</v>
      </c>
      <c r="BF619" s="1862"/>
      <c r="BG619" s="1854">
        <f t="shared" si="6"/>
        <v>0</v>
      </c>
      <c r="BH619" s="1856"/>
      <c r="BI619" s="1860">
        <f t="shared" si="9"/>
        <v>0</v>
      </c>
      <c r="BJ619" s="1862"/>
      <c r="BK619" s="1854">
        <f t="shared" si="7"/>
        <v>0</v>
      </c>
      <c r="BL619" s="1856"/>
      <c r="BN619" s="1854">
        <f t="shared" si="0"/>
        <v>0</v>
      </c>
      <c r="BO619" s="1855"/>
      <c r="BP619" s="1855"/>
      <c r="BQ619" s="1855"/>
      <c r="BR619" s="1863"/>
      <c r="BS619" s="1854">
        <f t="shared" si="1"/>
        <v>0</v>
      </c>
      <c r="BT619" s="1855"/>
      <c r="BU619" s="1855"/>
      <c r="BV619" s="1855"/>
      <c r="BW619" s="1856"/>
      <c r="BX619" s="1854">
        <f t="shared" si="2"/>
        <v>0</v>
      </c>
      <c r="BY619" s="1855"/>
      <c r="BZ619" s="1855"/>
      <c r="CA619" s="1855"/>
      <c r="CB619" s="1856"/>
      <c r="CC619" s="1854">
        <f t="shared" si="3"/>
        <v>0</v>
      </c>
      <c r="CD619" s="1855"/>
      <c r="CE619" s="1855"/>
      <c r="CF619" s="1855"/>
      <c r="CG619" s="1856"/>
      <c r="CH619" s="1854">
        <f t="shared" si="4"/>
        <v>0</v>
      </c>
      <c r="CI619" s="1855"/>
      <c r="CJ619" s="1855"/>
      <c r="CK619" s="1855"/>
      <c r="CL619" s="1856"/>
      <c r="CM619" s="1854">
        <f t="shared" si="5"/>
        <v>0</v>
      </c>
      <c r="CN619" s="1855"/>
      <c r="CO619" s="1855"/>
      <c r="CP619" s="1855"/>
      <c r="CQ619" s="1856"/>
      <c r="CS619" s="1866">
        <f t="shared" si="10"/>
        <v>0</v>
      </c>
      <c r="CT619" s="1867"/>
      <c r="CU619" s="1867"/>
      <c r="CV619" s="1867"/>
      <c r="CW619" s="1868"/>
      <c r="CX619" s="1866">
        <f t="shared" si="11"/>
        <v>0</v>
      </c>
      <c r="CY619" s="1867"/>
      <c r="CZ619" s="1867"/>
      <c r="DA619" s="1867"/>
      <c r="DB619" s="1868"/>
      <c r="DC619" s="1866">
        <f t="shared" si="12"/>
        <v>0</v>
      </c>
      <c r="DD619" s="1867"/>
      <c r="DE619" s="1867"/>
      <c r="DF619" s="1867"/>
      <c r="DG619" s="1868"/>
      <c r="DH619" s="1866">
        <f t="shared" si="13"/>
        <v>0</v>
      </c>
      <c r="DI619" s="1867"/>
      <c r="DJ619" s="1867"/>
      <c r="DK619" s="1867"/>
      <c r="DL619" s="1868"/>
      <c r="DM619" s="1866">
        <f t="shared" si="14"/>
        <v>0</v>
      </c>
      <c r="DN619" s="1867"/>
      <c r="DO619" s="1867"/>
      <c r="DP619" s="1867"/>
      <c r="DQ619" s="1868"/>
      <c r="DR619" s="1866">
        <f t="shared" si="15"/>
        <v>0</v>
      </c>
      <c r="DS619" s="1867"/>
      <c r="DT619" s="1867"/>
      <c r="DU619" s="1867"/>
      <c r="DV619" s="1868"/>
    </row>
    <row r="620" spans="1:126" ht="12.75" customHeight="1">
      <c r="B620" s="16" t="s">
        <v>910</v>
      </c>
      <c r="N620" s="1826" t="s">
        <v>528</v>
      </c>
      <c r="O620" s="1826"/>
      <c r="U620" s="16" t="s">
        <v>910</v>
      </c>
      <c r="AG620" s="1826" t="s">
        <v>528</v>
      </c>
      <c r="AH620" s="1826"/>
      <c r="AL620" s="3"/>
      <c r="AZ620" s="72"/>
      <c r="BA620" s="72"/>
      <c r="BB620" s="72"/>
      <c r="BC620" s="72"/>
      <c r="BD620" s="72"/>
      <c r="BE620" s="1860">
        <f t="shared" si="8"/>
        <v>0</v>
      </c>
      <c r="BF620" s="1862"/>
      <c r="BG620" s="1854">
        <f t="shared" si="6"/>
        <v>0</v>
      </c>
      <c r="BH620" s="1856"/>
      <c r="BI620" s="1860">
        <f t="shared" si="9"/>
        <v>0</v>
      </c>
      <c r="BJ620" s="1862"/>
      <c r="BK620" s="1854">
        <f t="shared" si="7"/>
        <v>0</v>
      </c>
      <c r="BL620" s="1856"/>
      <c r="BN620" s="1854">
        <f t="shared" si="0"/>
        <v>0</v>
      </c>
      <c r="BO620" s="1855"/>
      <c r="BP620" s="1855"/>
      <c r="BQ620" s="1855"/>
      <c r="BR620" s="1863"/>
      <c r="BS620" s="1854">
        <f t="shared" si="1"/>
        <v>0</v>
      </c>
      <c r="BT620" s="1855"/>
      <c r="BU620" s="1855"/>
      <c r="BV620" s="1855"/>
      <c r="BW620" s="1856"/>
      <c r="BX620" s="1854">
        <f t="shared" si="2"/>
        <v>0</v>
      </c>
      <c r="BY620" s="1855"/>
      <c r="BZ620" s="1855"/>
      <c r="CA620" s="1855"/>
      <c r="CB620" s="1856"/>
      <c r="CC620" s="1854">
        <f t="shared" si="3"/>
        <v>0</v>
      </c>
      <c r="CD620" s="1855"/>
      <c r="CE620" s="1855"/>
      <c r="CF620" s="1855"/>
      <c r="CG620" s="1856"/>
      <c r="CH620" s="1854">
        <f t="shared" si="4"/>
        <v>0</v>
      </c>
      <c r="CI620" s="1855"/>
      <c r="CJ620" s="1855"/>
      <c r="CK620" s="1855"/>
      <c r="CL620" s="1856"/>
      <c r="CM620" s="1854">
        <f t="shared" si="5"/>
        <v>0</v>
      </c>
      <c r="CN620" s="1855"/>
      <c r="CO620" s="1855"/>
      <c r="CP620" s="1855"/>
      <c r="CQ620" s="1856"/>
      <c r="CS620" s="1866">
        <f t="shared" si="10"/>
        <v>0</v>
      </c>
      <c r="CT620" s="1867"/>
      <c r="CU620" s="1867"/>
      <c r="CV620" s="1867"/>
      <c r="CW620" s="1868"/>
      <c r="CX620" s="1866">
        <f t="shared" si="11"/>
        <v>0</v>
      </c>
      <c r="CY620" s="1867"/>
      <c r="CZ620" s="1867"/>
      <c r="DA620" s="1867"/>
      <c r="DB620" s="1868"/>
      <c r="DC620" s="1866">
        <f t="shared" si="12"/>
        <v>0</v>
      </c>
      <c r="DD620" s="1867"/>
      <c r="DE620" s="1867"/>
      <c r="DF620" s="1867"/>
      <c r="DG620" s="1868"/>
      <c r="DH620" s="1866">
        <f t="shared" si="13"/>
        <v>0</v>
      </c>
      <c r="DI620" s="1867"/>
      <c r="DJ620" s="1867"/>
      <c r="DK620" s="1867"/>
      <c r="DL620" s="1868"/>
      <c r="DM620" s="1866">
        <f t="shared" si="14"/>
        <v>0</v>
      </c>
      <c r="DN620" s="1867"/>
      <c r="DO620" s="1867"/>
      <c r="DP620" s="1867"/>
      <c r="DQ620" s="1868"/>
      <c r="DR620" s="1866">
        <f t="shared" si="15"/>
        <v>0</v>
      </c>
      <c r="DS620" s="1867"/>
      <c r="DT620" s="1867"/>
      <c r="DU620" s="1867"/>
      <c r="DV620" s="1868"/>
    </row>
    <row r="621" spans="1:126" ht="13.2">
      <c r="AZ621" s="72"/>
      <c r="BA621" s="72"/>
      <c r="BB621" s="72"/>
      <c r="BC621" s="72"/>
      <c r="BD621" s="72"/>
      <c r="BE621" s="1860">
        <f t="shared" si="8"/>
        <v>0</v>
      </c>
      <c r="BF621" s="1862"/>
      <c r="BG621" s="1854">
        <f t="shared" si="6"/>
        <v>0</v>
      </c>
      <c r="BH621" s="1856"/>
      <c r="BI621" s="1860">
        <f t="shared" si="9"/>
        <v>0</v>
      </c>
      <c r="BJ621" s="1862"/>
      <c r="BK621" s="1854">
        <f t="shared" si="7"/>
        <v>0</v>
      </c>
      <c r="BL621" s="1856"/>
      <c r="BN621" s="1854">
        <f t="shared" si="0"/>
        <v>0</v>
      </c>
      <c r="BO621" s="1855"/>
      <c r="BP621" s="1855"/>
      <c r="BQ621" s="1855"/>
      <c r="BR621" s="1863"/>
      <c r="BS621" s="1854">
        <f t="shared" si="1"/>
        <v>0</v>
      </c>
      <c r="BT621" s="1855"/>
      <c r="BU621" s="1855"/>
      <c r="BV621" s="1855"/>
      <c r="BW621" s="1856"/>
      <c r="BX621" s="1854">
        <f t="shared" si="2"/>
        <v>0</v>
      </c>
      <c r="BY621" s="1855"/>
      <c r="BZ621" s="1855"/>
      <c r="CA621" s="1855"/>
      <c r="CB621" s="1856"/>
      <c r="CC621" s="1854">
        <f t="shared" si="3"/>
        <v>0</v>
      </c>
      <c r="CD621" s="1855"/>
      <c r="CE621" s="1855"/>
      <c r="CF621" s="1855"/>
      <c r="CG621" s="1856"/>
      <c r="CH621" s="1854">
        <f t="shared" si="4"/>
        <v>0</v>
      </c>
      <c r="CI621" s="1855"/>
      <c r="CJ621" s="1855"/>
      <c r="CK621" s="1855"/>
      <c r="CL621" s="1856"/>
      <c r="CM621" s="1854">
        <f t="shared" si="5"/>
        <v>0</v>
      </c>
      <c r="CN621" s="1855"/>
      <c r="CO621" s="1855"/>
      <c r="CP621" s="1855"/>
      <c r="CQ621" s="1856"/>
      <c r="CS621" s="1866">
        <f t="shared" si="10"/>
        <v>0</v>
      </c>
      <c r="CT621" s="1867"/>
      <c r="CU621" s="1867"/>
      <c r="CV621" s="1867"/>
      <c r="CW621" s="1868"/>
      <c r="CX621" s="1866">
        <f t="shared" si="11"/>
        <v>0</v>
      </c>
      <c r="CY621" s="1867"/>
      <c r="CZ621" s="1867"/>
      <c r="DA621" s="1867"/>
      <c r="DB621" s="1868"/>
      <c r="DC621" s="1866">
        <f t="shared" si="12"/>
        <v>0</v>
      </c>
      <c r="DD621" s="1867"/>
      <c r="DE621" s="1867"/>
      <c r="DF621" s="1867"/>
      <c r="DG621" s="1868"/>
      <c r="DH621" s="1866">
        <f t="shared" si="13"/>
        <v>0</v>
      </c>
      <c r="DI621" s="1867"/>
      <c r="DJ621" s="1867"/>
      <c r="DK621" s="1867"/>
      <c r="DL621" s="1868"/>
      <c r="DM621" s="1866">
        <f t="shared" si="14"/>
        <v>0</v>
      </c>
      <c r="DN621" s="1867"/>
      <c r="DO621" s="1867"/>
      <c r="DP621" s="1867"/>
      <c r="DQ621" s="1868"/>
      <c r="DR621" s="1866">
        <f t="shared" si="15"/>
        <v>0</v>
      </c>
      <c r="DS621" s="1867"/>
      <c r="DT621" s="1867"/>
      <c r="DU621" s="1867"/>
      <c r="DV621" s="1868"/>
    </row>
    <row r="622" spans="1:126" ht="12.75" customHeight="1">
      <c r="A622" s="1529" t="s">
        <v>137</v>
      </c>
      <c r="B622" s="1529"/>
      <c r="C622" s="1529"/>
      <c r="D622" s="1529"/>
      <c r="E622" s="1529"/>
      <c r="F622" s="1529"/>
      <c r="G622" s="1529"/>
      <c r="H622" s="1529"/>
      <c r="I622" s="1529"/>
      <c r="J622" s="1529"/>
      <c r="K622" s="1529"/>
      <c r="L622" s="1529"/>
      <c r="M622" s="1529"/>
      <c r="N622" s="1529"/>
      <c r="O622" s="1529"/>
      <c r="P622" s="1529"/>
      <c r="Q622" s="1529"/>
      <c r="R622" s="1529"/>
      <c r="S622" s="1529"/>
      <c r="T622" s="1529"/>
      <c r="U622" s="1529"/>
      <c r="V622" s="1529"/>
      <c r="W622" s="1529"/>
      <c r="X622" s="1529"/>
      <c r="Y622" s="1529"/>
      <c r="Z622" s="1529"/>
      <c r="AA622" s="1529"/>
      <c r="AB622" s="1529"/>
      <c r="AC622" s="1529"/>
      <c r="AD622" s="1529"/>
      <c r="AE622" s="1529"/>
      <c r="AF622" s="1529"/>
      <c r="AG622" s="1529"/>
      <c r="AH622" s="1529"/>
      <c r="AI622" s="1529"/>
      <c r="AJ622" s="1529"/>
      <c r="AK622" s="1529"/>
      <c r="AL622" s="1529"/>
      <c r="AM622" s="1529"/>
      <c r="AN622" s="1529"/>
      <c r="AO622" s="1529"/>
      <c r="AP622" s="1529"/>
      <c r="AQ622" s="1529"/>
      <c r="AR622" s="1529"/>
      <c r="AS622" s="1529"/>
      <c r="AZ622" s="72"/>
      <c r="BA622" s="72"/>
      <c r="BB622" s="72"/>
      <c r="BC622" s="72"/>
      <c r="BD622" s="72"/>
      <c r="BE622" s="1860">
        <f t="shared" si="8"/>
        <v>0</v>
      </c>
      <c r="BF622" s="1862"/>
      <c r="BG622" s="1854">
        <f t="shared" si="6"/>
        <v>0</v>
      </c>
      <c r="BH622" s="1856"/>
      <c r="BI622" s="1860">
        <f t="shared" si="9"/>
        <v>0</v>
      </c>
      <c r="BJ622" s="1862"/>
      <c r="BK622" s="1854">
        <f t="shared" si="7"/>
        <v>0</v>
      </c>
      <c r="BL622" s="1856"/>
      <c r="BN622" s="1854">
        <f t="shared" si="0"/>
        <v>0</v>
      </c>
      <c r="BO622" s="1855"/>
      <c r="BP622" s="1855"/>
      <c r="BQ622" s="1855"/>
      <c r="BR622" s="1863"/>
      <c r="BS622" s="1854">
        <f t="shared" si="1"/>
        <v>0</v>
      </c>
      <c r="BT622" s="1855"/>
      <c r="BU622" s="1855"/>
      <c r="BV622" s="1855"/>
      <c r="BW622" s="1856"/>
      <c r="BX622" s="1854">
        <f t="shared" si="2"/>
        <v>0</v>
      </c>
      <c r="BY622" s="1855"/>
      <c r="BZ622" s="1855"/>
      <c r="CA622" s="1855"/>
      <c r="CB622" s="1856"/>
      <c r="CC622" s="1854">
        <f t="shared" si="3"/>
        <v>0</v>
      </c>
      <c r="CD622" s="1855"/>
      <c r="CE622" s="1855"/>
      <c r="CF622" s="1855"/>
      <c r="CG622" s="1856"/>
      <c r="CH622" s="1854">
        <f t="shared" si="4"/>
        <v>0</v>
      </c>
      <c r="CI622" s="1855"/>
      <c r="CJ622" s="1855"/>
      <c r="CK622" s="1855"/>
      <c r="CL622" s="1856"/>
      <c r="CM622" s="1854">
        <f t="shared" si="5"/>
        <v>0</v>
      </c>
      <c r="CN622" s="1855"/>
      <c r="CO622" s="1855"/>
      <c r="CP622" s="1855"/>
      <c r="CQ622" s="1856"/>
      <c r="CS622" s="1866">
        <f t="shared" si="10"/>
        <v>0</v>
      </c>
      <c r="CT622" s="1867"/>
      <c r="CU622" s="1867"/>
      <c r="CV622" s="1867"/>
      <c r="CW622" s="1868"/>
      <c r="CX622" s="1866">
        <f t="shared" si="11"/>
        <v>0</v>
      </c>
      <c r="CY622" s="1867"/>
      <c r="CZ622" s="1867"/>
      <c r="DA622" s="1867"/>
      <c r="DB622" s="1868"/>
      <c r="DC622" s="1866">
        <f t="shared" si="12"/>
        <v>0</v>
      </c>
      <c r="DD622" s="1867"/>
      <c r="DE622" s="1867"/>
      <c r="DF622" s="1867"/>
      <c r="DG622" s="1868"/>
      <c r="DH622" s="1866">
        <f t="shared" si="13"/>
        <v>0</v>
      </c>
      <c r="DI622" s="1867"/>
      <c r="DJ622" s="1867"/>
      <c r="DK622" s="1867"/>
      <c r="DL622" s="1868"/>
      <c r="DM622" s="1866">
        <f t="shared" si="14"/>
        <v>0</v>
      </c>
      <c r="DN622" s="1867"/>
      <c r="DO622" s="1867"/>
      <c r="DP622" s="1867"/>
      <c r="DQ622" s="1868"/>
      <c r="DR622" s="1866">
        <f t="shared" si="15"/>
        <v>0</v>
      </c>
      <c r="DS622" s="1867"/>
      <c r="DT622" s="1867"/>
      <c r="DU622" s="1867"/>
      <c r="DV622" s="1868"/>
    </row>
    <row r="623" spans="1:126" ht="13.2">
      <c r="A623" s="1529"/>
      <c r="B623" s="1529"/>
      <c r="C623" s="1529"/>
      <c r="D623" s="1529"/>
      <c r="E623" s="1529"/>
      <c r="F623" s="1529"/>
      <c r="G623" s="1529"/>
      <c r="H623" s="1529"/>
      <c r="I623" s="1529"/>
      <c r="J623" s="1529"/>
      <c r="K623" s="1529"/>
      <c r="L623" s="1529"/>
      <c r="M623" s="1529"/>
      <c r="N623" s="1529"/>
      <c r="O623" s="1529"/>
      <c r="P623" s="1529"/>
      <c r="Q623" s="1529"/>
      <c r="R623" s="1529"/>
      <c r="S623" s="1529"/>
      <c r="T623" s="1529"/>
      <c r="U623" s="1529"/>
      <c r="V623" s="1529"/>
      <c r="W623" s="1529"/>
      <c r="X623" s="1529"/>
      <c r="Y623" s="1529"/>
      <c r="Z623" s="1529"/>
      <c r="AA623" s="1529"/>
      <c r="AB623" s="1529"/>
      <c r="AC623" s="1529"/>
      <c r="AD623" s="1529"/>
      <c r="AE623" s="1529"/>
      <c r="AF623" s="1529"/>
      <c r="AG623" s="1529"/>
      <c r="AH623" s="1529"/>
      <c r="AI623" s="1529"/>
      <c r="AJ623" s="1529"/>
      <c r="AK623" s="1529"/>
      <c r="AL623" s="1529"/>
      <c r="AM623" s="1529"/>
      <c r="AN623" s="1529"/>
      <c r="AO623" s="1529"/>
      <c r="AP623" s="1529"/>
      <c r="AQ623" s="1529"/>
      <c r="AR623" s="1529"/>
      <c r="AS623" s="1529"/>
      <c r="AZ623" s="72"/>
      <c r="BA623" s="72"/>
      <c r="BB623" s="72"/>
      <c r="BC623" s="72"/>
      <c r="BD623" s="72"/>
      <c r="BE623" s="1860">
        <f t="shared" si="8"/>
        <v>0</v>
      </c>
      <c r="BF623" s="1862"/>
      <c r="BG623" s="1854">
        <f t="shared" si="6"/>
        <v>0</v>
      </c>
      <c r="BH623" s="1856"/>
      <c r="BI623" s="1860">
        <f t="shared" si="9"/>
        <v>0</v>
      </c>
      <c r="BJ623" s="1862"/>
      <c r="BK623" s="1854">
        <f t="shared" si="7"/>
        <v>0</v>
      </c>
      <c r="BL623" s="1856"/>
      <c r="BN623" s="1854">
        <f t="shared" si="0"/>
        <v>0</v>
      </c>
      <c r="BO623" s="1855"/>
      <c r="BP623" s="1855"/>
      <c r="BQ623" s="1855"/>
      <c r="BR623" s="1863"/>
      <c r="BS623" s="1854">
        <f t="shared" si="1"/>
        <v>0</v>
      </c>
      <c r="BT623" s="1855"/>
      <c r="BU623" s="1855"/>
      <c r="BV623" s="1855"/>
      <c r="BW623" s="1856"/>
      <c r="BX623" s="1854">
        <f t="shared" si="2"/>
        <v>0</v>
      </c>
      <c r="BY623" s="1855"/>
      <c r="BZ623" s="1855"/>
      <c r="CA623" s="1855"/>
      <c r="CB623" s="1856"/>
      <c r="CC623" s="1854">
        <f t="shared" si="3"/>
        <v>0</v>
      </c>
      <c r="CD623" s="1855"/>
      <c r="CE623" s="1855"/>
      <c r="CF623" s="1855"/>
      <c r="CG623" s="1856"/>
      <c r="CH623" s="1854">
        <f t="shared" si="4"/>
        <v>0</v>
      </c>
      <c r="CI623" s="1855"/>
      <c r="CJ623" s="1855"/>
      <c r="CK623" s="1855"/>
      <c r="CL623" s="1856"/>
      <c r="CM623" s="1854">
        <f t="shared" si="5"/>
        <v>0</v>
      </c>
      <c r="CN623" s="1855"/>
      <c r="CO623" s="1855"/>
      <c r="CP623" s="1855"/>
      <c r="CQ623" s="1856"/>
      <c r="CS623" s="1866">
        <f t="shared" si="10"/>
        <v>0</v>
      </c>
      <c r="CT623" s="1867"/>
      <c r="CU623" s="1867"/>
      <c r="CV623" s="1867"/>
      <c r="CW623" s="1868"/>
      <c r="CX623" s="1866">
        <f t="shared" si="11"/>
        <v>0</v>
      </c>
      <c r="CY623" s="1867"/>
      <c r="CZ623" s="1867"/>
      <c r="DA623" s="1867"/>
      <c r="DB623" s="1868"/>
      <c r="DC623" s="1866">
        <f t="shared" si="12"/>
        <v>0</v>
      </c>
      <c r="DD623" s="1867"/>
      <c r="DE623" s="1867"/>
      <c r="DF623" s="1867"/>
      <c r="DG623" s="1868"/>
      <c r="DH623" s="1866">
        <f t="shared" si="13"/>
        <v>0</v>
      </c>
      <c r="DI623" s="1867"/>
      <c r="DJ623" s="1867"/>
      <c r="DK623" s="1867"/>
      <c r="DL623" s="1868"/>
      <c r="DM623" s="1866">
        <f t="shared" si="14"/>
        <v>0</v>
      </c>
      <c r="DN623" s="1867"/>
      <c r="DO623" s="1867"/>
      <c r="DP623" s="1867"/>
      <c r="DQ623" s="1868"/>
      <c r="DR623" s="1866">
        <f t="shared" si="15"/>
        <v>0</v>
      </c>
      <c r="DS623" s="1867"/>
      <c r="DT623" s="1867"/>
      <c r="DU623" s="1867"/>
      <c r="DV623" s="1868"/>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860">
        <f t="shared" si="8"/>
        <v>0</v>
      </c>
      <c r="BF624" s="1862"/>
      <c r="BG624" s="1854">
        <f t="shared" si="6"/>
        <v>0</v>
      </c>
      <c r="BH624" s="1856"/>
      <c r="BI624" s="1860">
        <f t="shared" si="9"/>
        <v>0</v>
      </c>
      <c r="BJ624" s="1862"/>
      <c r="BK624" s="1854">
        <f t="shared" si="7"/>
        <v>0</v>
      </c>
      <c r="BL624" s="1856"/>
      <c r="BN624" s="1854">
        <f t="shared" si="0"/>
        <v>0</v>
      </c>
      <c r="BO624" s="1855"/>
      <c r="BP624" s="1855"/>
      <c r="BQ624" s="1855"/>
      <c r="BR624" s="1863"/>
      <c r="BS624" s="1854">
        <f t="shared" si="1"/>
        <v>0</v>
      </c>
      <c r="BT624" s="1855"/>
      <c r="BU624" s="1855"/>
      <c r="BV624" s="1855"/>
      <c r="BW624" s="1856"/>
      <c r="BX624" s="1854">
        <f t="shared" si="2"/>
        <v>0</v>
      </c>
      <c r="BY624" s="1855"/>
      <c r="BZ624" s="1855"/>
      <c r="CA624" s="1855"/>
      <c r="CB624" s="1856"/>
      <c r="CC624" s="1854">
        <f t="shared" si="3"/>
        <v>0</v>
      </c>
      <c r="CD624" s="1855"/>
      <c r="CE624" s="1855"/>
      <c r="CF624" s="1855"/>
      <c r="CG624" s="1856"/>
      <c r="CH624" s="1854">
        <f t="shared" si="4"/>
        <v>0</v>
      </c>
      <c r="CI624" s="1855"/>
      <c r="CJ624" s="1855"/>
      <c r="CK624" s="1855"/>
      <c r="CL624" s="1856"/>
      <c r="CM624" s="1854">
        <f t="shared" si="5"/>
        <v>0</v>
      </c>
      <c r="CN624" s="1855"/>
      <c r="CO624" s="1855"/>
      <c r="CP624" s="1855"/>
      <c r="CQ624" s="1856"/>
      <c r="CS624" s="1866">
        <f t="shared" si="10"/>
        <v>0</v>
      </c>
      <c r="CT624" s="1867"/>
      <c r="CU624" s="1867"/>
      <c r="CV624" s="1867"/>
      <c r="CW624" s="1868"/>
      <c r="CX624" s="1866">
        <f t="shared" si="11"/>
        <v>0</v>
      </c>
      <c r="CY624" s="1867"/>
      <c r="CZ624" s="1867"/>
      <c r="DA624" s="1867"/>
      <c r="DB624" s="1868"/>
      <c r="DC624" s="1866">
        <f t="shared" si="12"/>
        <v>0</v>
      </c>
      <c r="DD624" s="1867"/>
      <c r="DE624" s="1867"/>
      <c r="DF624" s="1867"/>
      <c r="DG624" s="1868"/>
      <c r="DH624" s="1866">
        <f t="shared" si="13"/>
        <v>0</v>
      </c>
      <c r="DI624" s="1867"/>
      <c r="DJ624" s="1867"/>
      <c r="DK624" s="1867"/>
      <c r="DL624" s="1868"/>
      <c r="DM624" s="1866">
        <f t="shared" si="14"/>
        <v>0</v>
      </c>
      <c r="DN624" s="1867"/>
      <c r="DO624" s="1867"/>
      <c r="DP624" s="1867"/>
      <c r="DQ624" s="1868"/>
      <c r="DR624" s="1866">
        <f t="shared" si="15"/>
        <v>0</v>
      </c>
      <c r="DS624" s="1867"/>
      <c r="DT624" s="1867"/>
      <c r="DU624" s="1867"/>
      <c r="DV624" s="1868"/>
    </row>
    <row r="625" spans="1:126" ht="13.2">
      <c r="A625" s="63" t="s">
        <v>715</v>
      </c>
      <c r="B625" s="63"/>
      <c r="C625" s="63" t="s">
        <v>911</v>
      </c>
      <c r="AM625" s="50"/>
      <c r="AN625" s="50"/>
      <c r="AO625" s="50"/>
      <c r="AP625" s="50"/>
      <c r="AQ625" s="50"/>
      <c r="AR625" s="50"/>
      <c r="AS625" s="50"/>
      <c r="AZ625" s="72"/>
      <c r="BA625" s="72"/>
      <c r="BB625" s="72"/>
      <c r="BC625" s="72"/>
      <c r="BD625" s="72"/>
      <c r="BE625" s="1860">
        <f t="shared" si="8"/>
        <v>0</v>
      </c>
      <c r="BF625" s="1862"/>
      <c r="BG625" s="1854">
        <f t="shared" si="6"/>
        <v>0</v>
      </c>
      <c r="BH625" s="1856"/>
      <c r="BI625" s="1860">
        <f t="shared" si="9"/>
        <v>0</v>
      </c>
      <c r="BJ625" s="1862"/>
      <c r="BK625" s="1854">
        <f t="shared" si="7"/>
        <v>0</v>
      </c>
      <c r="BL625" s="1856"/>
      <c r="BN625" s="1854">
        <f t="shared" si="0"/>
        <v>0</v>
      </c>
      <c r="BO625" s="1855"/>
      <c r="BP625" s="1855"/>
      <c r="BQ625" s="1855"/>
      <c r="BR625" s="1863"/>
      <c r="BS625" s="1854">
        <f t="shared" si="1"/>
        <v>0</v>
      </c>
      <c r="BT625" s="1855"/>
      <c r="BU625" s="1855"/>
      <c r="BV625" s="1855"/>
      <c r="BW625" s="1856"/>
      <c r="BX625" s="1854">
        <f t="shared" si="2"/>
        <v>0</v>
      </c>
      <c r="BY625" s="1855"/>
      <c r="BZ625" s="1855"/>
      <c r="CA625" s="1855"/>
      <c r="CB625" s="1856"/>
      <c r="CC625" s="1854">
        <f t="shared" si="3"/>
        <v>0</v>
      </c>
      <c r="CD625" s="1855"/>
      <c r="CE625" s="1855"/>
      <c r="CF625" s="1855"/>
      <c r="CG625" s="1856"/>
      <c r="CH625" s="1854">
        <f t="shared" si="4"/>
        <v>0</v>
      </c>
      <c r="CI625" s="1855"/>
      <c r="CJ625" s="1855"/>
      <c r="CK625" s="1855"/>
      <c r="CL625" s="1856"/>
      <c r="CM625" s="1854">
        <f t="shared" si="5"/>
        <v>0</v>
      </c>
      <c r="CN625" s="1855"/>
      <c r="CO625" s="1855"/>
      <c r="CP625" s="1855"/>
      <c r="CQ625" s="1856"/>
      <c r="CS625" s="1866">
        <f t="shared" si="10"/>
        <v>0</v>
      </c>
      <c r="CT625" s="1867"/>
      <c r="CU625" s="1867"/>
      <c r="CV625" s="1867"/>
      <c r="CW625" s="1868"/>
      <c r="CX625" s="1866">
        <f t="shared" si="11"/>
        <v>0</v>
      </c>
      <c r="CY625" s="1867"/>
      <c r="CZ625" s="1867"/>
      <c r="DA625" s="1867"/>
      <c r="DB625" s="1868"/>
      <c r="DC625" s="1866">
        <f t="shared" si="12"/>
        <v>0</v>
      </c>
      <c r="DD625" s="1867"/>
      <c r="DE625" s="1867"/>
      <c r="DF625" s="1867"/>
      <c r="DG625" s="1868"/>
      <c r="DH625" s="1866">
        <f t="shared" si="13"/>
        <v>0</v>
      </c>
      <c r="DI625" s="1867"/>
      <c r="DJ625" s="1867"/>
      <c r="DK625" s="1867"/>
      <c r="DL625" s="1868"/>
      <c r="DM625" s="1866">
        <f t="shared" si="14"/>
        <v>0</v>
      </c>
      <c r="DN625" s="1867"/>
      <c r="DO625" s="1867"/>
      <c r="DP625" s="1867"/>
      <c r="DQ625" s="1868"/>
      <c r="DR625" s="1866">
        <f t="shared" si="15"/>
        <v>0</v>
      </c>
      <c r="DS625" s="1867"/>
      <c r="DT625" s="1867"/>
      <c r="DU625" s="1867"/>
      <c r="DV625" s="1868"/>
    </row>
    <row r="626" spans="1:126" ht="13.2">
      <c r="A626" s="63"/>
      <c r="B626" s="63"/>
      <c r="C626" s="63"/>
      <c r="AM626" s="50"/>
      <c r="AN626" s="50"/>
      <c r="AO626" s="50"/>
      <c r="AP626" s="50"/>
      <c r="AQ626" s="50"/>
      <c r="AR626" s="50"/>
      <c r="AS626" s="50"/>
      <c r="AZ626" s="72"/>
      <c r="BA626" s="72"/>
      <c r="BB626" s="72"/>
      <c r="BC626" s="72"/>
      <c r="BD626" s="72"/>
      <c r="BE626" s="1860">
        <f t="shared" si="8"/>
        <v>0</v>
      </c>
      <c r="BF626" s="1862"/>
      <c r="BG626" s="1854">
        <f t="shared" si="6"/>
        <v>0</v>
      </c>
      <c r="BH626" s="1856"/>
      <c r="BI626" s="1860">
        <f t="shared" si="9"/>
        <v>0</v>
      </c>
      <c r="BJ626" s="1862"/>
      <c r="BK626" s="1854">
        <f t="shared" si="7"/>
        <v>0</v>
      </c>
      <c r="BL626" s="1856"/>
      <c r="BN626" s="1854">
        <f t="shared" si="0"/>
        <v>0</v>
      </c>
      <c r="BO626" s="1855"/>
      <c r="BP626" s="1855"/>
      <c r="BQ626" s="1855"/>
      <c r="BR626" s="1863"/>
      <c r="BS626" s="1854">
        <f t="shared" si="1"/>
        <v>0</v>
      </c>
      <c r="BT626" s="1855"/>
      <c r="BU626" s="1855"/>
      <c r="BV626" s="1855"/>
      <c r="BW626" s="1856"/>
      <c r="BX626" s="1854">
        <f t="shared" si="2"/>
        <v>0</v>
      </c>
      <c r="BY626" s="1855"/>
      <c r="BZ626" s="1855"/>
      <c r="CA626" s="1855"/>
      <c r="CB626" s="1856"/>
      <c r="CC626" s="1854">
        <f t="shared" si="3"/>
        <v>0</v>
      </c>
      <c r="CD626" s="1855"/>
      <c r="CE626" s="1855"/>
      <c r="CF626" s="1855"/>
      <c r="CG626" s="1856"/>
      <c r="CH626" s="1854">
        <f t="shared" si="4"/>
        <v>0</v>
      </c>
      <c r="CI626" s="1855"/>
      <c r="CJ626" s="1855"/>
      <c r="CK626" s="1855"/>
      <c r="CL626" s="1856"/>
      <c r="CM626" s="1854">
        <f t="shared" si="5"/>
        <v>0</v>
      </c>
      <c r="CN626" s="1855"/>
      <c r="CO626" s="1855"/>
      <c r="CP626" s="1855"/>
      <c r="CQ626" s="1856"/>
      <c r="CS626" s="1866">
        <f t="shared" si="10"/>
        <v>0</v>
      </c>
      <c r="CT626" s="1867"/>
      <c r="CU626" s="1867"/>
      <c r="CV626" s="1867"/>
      <c r="CW626" s="1868"/>
      <c r="CX626" s="1866">
        <f t="shared" si="11"/>
        <v>0</v>
      </c>
      <c r="CY626" s="1867"/>
      <c r="CZ626" s="1867"/>
      <c r="DA626" s="1867"/>
      <c r="DB626" s="1868"/>
      <c r="DC626" s="1866">
        <f t="shared" si="12"/>
        <v>0</v>
      </c>
      <c r="DD626" s="1867"/>
      <c r="DE626" s="1867"/>
      <c r="DF626" s="1867"/>
      <c r="DG626" s="1868"/>
      <c r="DH626" s="1866">
        <f t="shared" si="13"/>
        <v>0</v>
      </c>
      <c r="DI626" s="1867"/>
      <c r="DJ626" s="1867"/>
      <c r="DK626" s="1867"/>
      <c r="DL626" s="1868"/>
      <c r="DM626" s="1866">
        <f t="shared" si="14"/>
        <v>0</v>
      </c>
      <c r="DN626" s="1867"/>
      <c r="DO626" s="1867"/>
      <c r="DP626" s="1867"/>
      <c r="DQ626" s="1868"/>
      <c r="DR626" s="1866">
        <f t="shared" si="15"/>
        <v>0</v>
      </c>
      <c r="DS626" s="1867"/>
      <c r="DT626" s="1867"/>
      <c r="DU626" s="1867"/>
      <c r="DV626" s="1868"/>
    </row>
    <row r="627" spans="1:126" ht="13.2">
      <c r="C627" s="62" t="s">
        <v>2202</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60">
        <f t="shared" si="8"/>
        <v>0</v>
      </c>
      <c r="BF627" s="1862"/>
      <c r="BG627" s="1854">
        <f t="shared" si="6"/>
        <v>0</v>
      </c>
      <c r="BH627" s="1856"/>
      <c r="BI627" s="1860">
        <f t="shared" si="9"/>
        <v>0</v>
      </c>
      <c r="BJ627" s="1862"/>
      <c r="BK627" s="1854">
        <f t="shared" si="7"/>
        <v>0</v>
      </c>
      <c r="BL627" s="1856"/>
      <c r="BN627" s="1860">
        <f>SUM(BN602:BR626)</f>
        <v>0</v>
      </c>
      <c r="BO627" s="1861"/>
      <c r="BP627" s="1861"/>
      <c r="BQ627" s="1861"/>
      <c r="BR627" s="1862"/>
      <c r="BS627" s="1860">
        <f>SUM(BS602:BW626)</f>
        <v>46</v>
      </c>
      <c r="BT627" s="1861"/>
      <c r="BU627" s="1861"/>
      <c r="BV627" s="1861"/>
      <c r="BW627" s="1862"/>
      <c r="BX627" s="1860">
        <f>SUM(BX602:CB626)</f>
        <v>24</v>
      </c>
      <c r="BY627" s="1861"/>
      <c r="BZ627" s="1861"/>
      <c r="CA627" s="1861"/>
      <c r="CB627" s="1862"/>
      <c r="CC627" s="1860">
        <f>SUM(CC602:CG626)</f>
        <v>24</v>
      </c>
      <c r="CD627" s="1861"/>
      <c r="CE627" s="1861"/>
      <c r="CF627" s="1861"/>
      <c r="CG627" s="1862"/>
      <c r="CH627" s="1860">
        <f>SUM(CH602:CL626)</f>
        <v>0</v>
      </c>
      <c r="CI627" s="1861"/>
      <c r="CJ627" s="1861"/>
      <c r="CK627" s="1861"/>
      <c r="CL627" s="1862"/>
      <c r="CM627" s="1860">
        <f>SUM(CM602:CQ626)</f>
        <v>0</v>
      </c>
      <c r="CN627" s="1861"/>
      <c r="CO627" s="1861"/>
      <c r="CP627" s="1861"/>
      <c r="CQ627" s="1862"/>
      <c r="CS627" s="1866">
        <f t="shared" si="10"/>
        <v>0</v>
      </c>
      <c r="CT627" s="1867"/>
      <c r="CU627" s="1867"/>
      <c r="CV627" s="1867"/>
      <c r="CW627" s="1868"/>
      <c r="CX627" s="1866">
        <f t="shared" si="11"/>
        <v>0</v>
      </c>
      <c r="CY627" s="1867"/>
      <c r="CZ627" s="1867"/>
      <c r="DA627" s="1867"/>
      <c r="DB627" s="1868"/>
      <c r="DC627" s="1866">
        <f t="shared" si="12"/>
        <v>0</v>
      </c>
      <c r="DD627" s="1867"/>
      <c r="DE627" s="1867"/>
      <c r="DF627" s="1867"/>
      <c r="DG627" s="1868"/>
      <c r="DH627" s="1866">
        <f t="shared" si="13"/>
        <v>0</v>
      </c>
      <c r="DI627" s="1867"/>
      <c r="DJ627" s="1867"/>
      <c r="DK627" s="1867"/>
      <c r="DL627" s="1868"/>
      <c r="DM627" s="1866">
        <f t="shared" si="14"/>
        <v>0</v>
      </c>
      <c r="DN627" s="1867"/>
      <c r="DO627" s="1867"/>
      <c r="DP627" s="1867"/>
      <c r="DQ627" s="1868"/>
      <c r="DR627" s="1866">
        <f t="shared" si="15"/>
        <v>0</v>
      </c>
      <c r="DS627" s="1867"/>
      <c r="DT627" s="1867"/>
      <c r="DU627" s="1867"/>
      <c r="DV627" s="1868"/>
    </row>
    <row r="628" spans="1:126" ht="13.8"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60">
        <f>SUM(BG603:BH627)</f>
        <v>24</v>
      </c>
      <c r="BH628" s="1862"/>
      <c r="BI628" s="72"/>
      <c r="BJ628" s="72"/>
      <c r="BK628" s="1860">
        <f>SUM(BK603:BL627)</f>
        <v>25</v>
      </c>
      <c r="BL628" s="1862"/>
      <c r="BN628" s="72" t="s">
        <v>1887</v>
      </c>
      <c r="BO628" s="72"/>
      <c r="BP628" s="72"/>
      <c r="BQ628" s="72"/>
      <c r="BR628" s="714">
        <f>BN627*1</f>
        <v>0</v>
      </c>
      <c r="BS628" s="72"/>
      <c r="BT628" s="72"/>
      <c r="BU628" s="72"/>
      <c r="BV628" s="72"/>
      <c r="BW628" s="714">
        <f>BS627*1</f>
        <v>46</v>
      </c>
      <c r="BX628" s="72"/>
      <c r="BY628" s="72"/>
      <c r="BZ628" s="72"/>
      <c r="CA628" s="72"/>
      <c r="CB628" s="714">
        <f>BX627*2</f>
        <v>48</v>
      </c>
      <c r="CC628" s="72"/>
      <c r="CD628" s="72"/>
      <c r="CE628" s="72"/>
      <c r="CF628" s="72"/>
      <c r="CG628" s="714">
        <f>CC627*3</f>
        <v>72</v>
      </c>
      <c r="CH628" s="72"/>
      <c r="CI628" s="72"/>
      <c r="CJ628" s="72"/>
      <c r="CK628" s="72"/>
      <c r="CL628" s="714">
        <f>CH627*4</f>
        <v>0</v>
      </c>
      <c r="CM628" s="72"/>
      <c r="CN628" s="72"/>
      <c r="CO628" s="72"/>
      <c r="CP628" s="72"/>
      <c r="CQ628" s="713">
        <f>CM627*5</f>
        <v>0</v>
      </c>
      <c r="CS628" s="1860">
        <f>SUM(CS603:CW627)</f>
        <v>0</v>
      </c>
      <c r="CT628" s="1861"/>
      <c r="CU628" s="1861"/>
      <c r="CV628" s="1861"/>
      <c r="CW628" s="1862"/>
      <c r="CX628" s="1860">
        <f>SUM(CX603:DB627)</f>
        <v>11</v>
      </c>
      <c r="CY628" s="1861"/>
      <c r="CZ628" s="1861"/>
      <c r="DA628" s="1861"/>
      <c r="DB628" s="1862"/>
      <c r="DC628" s="1860">
        <f>SUM(DC603:DG627)</f>
        <v>6</v>
      </c>
      <c r="DD628" s="1861"/>
      <c r="DE628" s="1861"/>
      <c r="DF628" s="1861"/>
      <c r="DG628" s="1862"/>
      <c r="DH628" s="1860">
        <f>SUM(DH603:DL627)</f>
        <v>8</v>
      </c>
      <c r="DI628" s="1861"/>
      <c r="DJ628" s="1861"/>
      <c r="DK628" s="1861"/>
      <c r="DL628" s="1862"/>
      <c r="DM628" s="1860">
        <f>SUM(DM603:DQ627)</f>
        <v>0</v>
      </c>
      <c r="DN628" s="1861"/>
      <c r="DO628" s="1861"/>
      <c r="DP628" s="1861"/>
      <c r="DQ628" s="1862"/>
      <c r="DR628" s="1860">
        <f>SUM(DR603:DV627)</f>
        <v>0</v>
      </c>
      <c r="DS628" s="1861"/>
      <c r="DT628" s="1861"/>
      <c r="DU628" s="1861"/>
      <c r="DV628" s="1862"/>
    </row>
    <row r="629" spans="1:126" ht="13.5" customHeight="1" thickBot="1">
      <c r="A629" s="1343"/>
      <c r="B629" s="1991" t="s">
        <v>802</v>
      </c>
      <c r="C629" s="1992"/>
      <c r="D629" s="1992"/>
      <c r="E629" s="1992"/>
      <c r="F629" s="1992"/>
      <c r="G629" s="1992"/>
      <c r="H629" s="1992"/>
      <c r="I629" s="1992"/>
      <c r="J629" s="1992"/>
      <c r="K629" s="1992"/>
      <c r="L629" s="1992"/>
      <c r="M629" s="1992"/>
      <c r="N629" s="1993"/>
      <c r="O629" s="1927" t="s">
        <v>486</v>
      </c>
      <c r="P629" s="1928"/>
      <c r="Q629" s="1929"/>
      <c r="R629" s="1927" t="s">
        <v>2203</v>
      </c>
      <c r="S629" s="1928"/>
      <c r="T629" s="1929"/>
      <c r="U629" s="1999" t="s">
        <v>803</v>
      </c>
      <c r="V629" s="1999"/>
      <c r="W629" s="2000"/>
      <c r="X629" s="1927" t="s">
        <v>2204</v>
      </c>
      <c r="Y629" s="1928"/>
      <c r="Z629" s="1928"/>
      <c r="AA629" s="1928"/>
      <c r="AB629" s="1929"/>
      <c r="AC629" s="2005" t="s">
        <v>2205</v>
      </c>
      <c r="AD629" s="2006"/>
      <c r="AE629" s="2007"/>
      <c r="AF629" s="1927" t="s">
        <v>2206</v>
      </c>
      <c r="AG629" s="1928"/>
      <c r="AH629" s="1928"/>
      <c r="AI629" s="1928"/>
      <c r="AJ629" s="1929"/>
      <c r="AK629" s="2014" t="s">
        <v>2207</v>
      </c>
      <c r="AL629" s="2015"/>
      <c r="AM629" s="2015"/>
      <c r="AN629" s="2016"/>
      <c r="AO629" s="1998" t="s">
        <v>804</v>
      </c>
      <c r="AP629" s="1998"/>
      <c r="AQ629" s="1998"/>
      <c r="AR629" s="1998"/>
      <c r="AS629" s="1998"/>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1888</v>
      </c>
      <c r="CQ629" s="715">
        <f>BR628+BW628+CB628+CG628+CL628+CQ628</f>
        <v>166</v>
      </c>
      <c r="CR629" s="72"/>
      <c r="CS629" s="72"/>
    </row>
    <row r="630" spans="1:126" ht="13.2">
      <c r="A630" s="1343"/>
      <c r="B630" s="1994"/>
      <c r="C630" s="1995"/>
      <c r="D630" s="1995"/>
      <c r="E630" s="1995"/>
      <c r="F630" s="1995"/>
      <c r="G630" s="1995"/>
      <c r="H630" s="1995"/>
      <c r="I630" s="1995"/>
      <c r="J630" s="1995"/>
      <c r="K630" s="1995"/>
      <c r="L630" s="1995"/>
      <c r="M630" s="1995"/>
      <c r="N630" s="1996"/>
      <c r="O630" s="1930"/>
      <c r="P630" s="1931"/>
      <c r="Q630" s="1932"/>
      <c r="R630" s="1930"/>
      <c r="S630" s="1931"/>
      <c r="T630" s="1932"/>
      <c r="U630" s="2001"/>
      <c r="V630" s="2001"/>
      <c r="W630" s="2002"/>
      <c r="X630" s="1930"/>
      <c r="Y630" s="1931"/>
      <c r="Z630" s="1931"/>
      <c r="AA630" s="1931"/>
      <c r="AB630" s="1932"/>
      <c r="AC630" s="2008"/>
      <c r="AD630" s="2009"/>
      <c r="AE630" s="2010"/>
      <c r="AF630" s="1930"/>
      <c r="AG630" s="1931"/>
      <c r="AH630" s="1931"/>
      <c r="AI630" s="1931"/>
      <c r="AJ630" s="1932"/>
      <c r="AK630" s="2017"/>
      <c r="AL630" s="2018"/>
      <c r="AM630" s="2018"/>
      <c r="AN630" s="2019"/>
      <c r="AO630" s="1998"/>
      <c r="AP630" s="1998"/>
      <c r="AQ630" s="1998"/>
      <c r="AR630" s="1998"/>
      <c r="AS630" s="1998"/>
      <c r="AT630" s="72"/>
      <c r="AU630" s="72"/>
      <c r="AV630" s="72"/>
      <c r="AW630" s="72"/>
      <c r="AX630" s="72"/>
      <c r="AY630" s="72"/>
      <c r="AZ630" s="72"/>
      <c r="BN630" s="1854">
        <f>IF(J752="SRO/Studio",O752,0)</f>
        <v>0</v>
      </c>
      <c r="BO630" s="1855"/>
      <c r="BP630" s="1855"/>
      <c r="BQ630" s="1855"/>
      <c r="BR630" s="1856"/>
      <c r="BS630" s="1854">
        <f>IF(J752="1 Bedroom",O752,0)</f>
        <v>0</v>
      </c>
      <c r="BT630" s="1855"/>
      <c r="BU630" s="1855"/>
      <c r="BV630" s="1855"/>
      <c r="BW630" s="1856"/>
      <c r="BX630" s="1854">
        <f>IF(J752="2 Bedrooms",O752,0)</f>
        <v>0</v>
      </c>
      <c r="BY630" s="1855"/>
      <c r="BZ630" s="1855"/>
      <c r="CA630" s="1855"/>
      <c r="CB630" s="1856"/>
      <c r="CC630" s="1854">
        <f>IF(J752="3 Bedrooms",O752,0)</f>
        <v>2</v>
      </c>
      <c r="CD630" s="1855"/>
      <c r="CE630" s="1855"/>
      <c r="CF630" s="1855"/>
      <c r="CG630" s="1856"/>
      <c r="CH630" s="1854">
        <f>IF(J752="4 Bedrooms",O752,0)</f>
        <v>0</v>
      </c>
      <c r="CI630" s="1855"/>
      <c r="CJ630" s="1855"/>
      <c r="CK630" s="1855"/>
      <c r="CL630" s="1856"/>
      <c r="CM630" s="1864">
        <f>IF(J752="5 Bedrooms",O752,0)</f>
        <v>0</v>
      </c>
      <c r="CN630" s="1865"/>
      <c r="CO630" s="1865"/>
      <c r="CP630" s="1865"/>
      <c r="CQ630" s="1863"/>
      <c r="CR630" s="72"/>
      <c r="CS630" s="72"/>
    </row>
    <row r="631" spans="1:126" ht="12.75" customHeight="1">
      <c r="A631" s="1343"/>
      <c r="B631" s="1997"/>
      <c r="C631" s="1995"/>
      <c r="D631" s="1995"/>
      <c r="E631" s="1995"/>
      <c r="F631" s="1995"/>
      <c r="G631" s="1995"/>
      <c r="H631" s="1995"/>
      <c r="I631" s="1995"/>
      <c r="J631" s="1995"/>
      <c r="K631" s="1995"/>
      <c r="L631" s="1995"/>
      <c r="M631" s="1995"/>
      <c r="N631" s="1996"/>
      <c r="O631" s="1933"/>
      <c r="P631" s="1934"/>
      <c r="Q631" s="1935"/>
      <c r="R631" s="1933"/>
      <c r="S631" s="1934"/>
      <c r="T631" s="1935"/>
      <c r="U631" s="2003"/>
      <c r="V631" s="2003"/>
      <c r="W631" s="2004"/>
      <c r="X631" s="1933"/>
      <c r="Y631" s="1934"/>
      <c r="Z631" s="1934"/>
      <c r="AA631" s="1934"/>
      <c r="AB631" s="1935"/>
      <c r="AC631" s="2011"/>
      <c r="AD631" s="2012"/>
      <c r="AE631" s="2013"/>
      <c r="AF631" s="1933"/>
      <c r="AG631" s="1934"/>
      <c r="AH631" s="1934"/>
      <c r="AI631" s="1934"/>
      <c r="AJ631" s="1935"/>
      <c r="AK631" s="2020"/>
      <c r="AL631" s="2021"/>
      <c r="AM631" s="2021"/>
      <c r="AN631" s="2022"/>
      <c r="AO631" s="1998"/>
      <c r="AP631" s="1998"/>
      <c r="AQ631" s="1998"/>
      <c r="AR631" s="1998"/>
      <c r="AS631" s="1998"/>
      <c r="AT631" s="75"/>
      <c r="AU631" s="75"/>
      <c r="AV631" s="75"/>
      <c r="AW631" s="75"/>
      <c r="AX631" s="75"/>
      <c r="AY631" s="75"/>
      <c r="AZ631" s="75"/>
      <c r="BN631" s="1854">
        <f>IF(J753="SRO/Studio",O753,0)</f>
        <v>0</v>
      </c>
      <c r="BO631" s="1855"/>
      <c r="BP631" s="1855"/>
      <c r="BQ631" s="1855"/>
      <c r="BR631" s="1856"/>
      <c r="BS631" s="1854">
        <f>IF(J753="1 Bedroom",O753,0)</f>
        <v>0</v>
      </c>
      <c r="BT631" s="1855"/>
      <c r="BU631" s="1855"/>
      <c r="BV631" s="1855"/>
      <c r="BW631" s="1856"/>
      <c r="BX631" s="1854">
        <f>IF(J753="2 Bedrooms",O753,0)</f>
        <v>0</v>
      </c>
      <c r="BY631" s="1855"/>
      <c r="BZ631" s="1855"/>
      <c r="CA631" s="1855"/>
      <c r="CB631" s="1856"/>
      <c r="CC631" s="1854">
        <f>IF(J753="3 Bedrooms",O753,0)</f>
        <v>0</v>
      </c>
      <c r="CD631" s="1855"/>
      <c r="CE631" s="1855"/>
      <c r="CF631" s="1855"/>
      <c r="CG631" s="1856"/>
      <c r="CH631" s="1854">
        <f>IF(J753="4 Bedrooms",O753,0)</f>
        <v>0</v>
      </c>
      <c r="CI631" s="1855"/>
      <c r="CJ631" s="1855"/>
      <c r="CK631" s="1855"/>
      <c r="CL631" s="1856"/>
      <c r="CM631" s="1864">
        <f>IF(J753="5 Bedrooms",O753,0)</f>
        <v>0</v>
      </c>
      <c r="CN631" s="1865"/>
      <c r="CO631" s="1865"/>
      <c r="CP631" s="1865"/>
      <c r="CQ631" s="1863"/>
      <c r="CR631" s="72"/>
      <c r="CS631" s="72"/>
    </row>
    <row r="632" spans="1:126" ht="12.75" customHeight="1">
      <c r="B632" s="97" t="s">
        <v>983</v>
      </c>
      <c r="C632" s="1833" t="s">
        <v>2452</v>
      </c>
      <c r="D632" s="1833"/>
      <c r="E632" s="1833"/>
      <c r="F632" s="1833"/>
      <c r="G632" s="1833"/>
      <c r="H632" s="1833"/>
      <c r="I632" s="1833"/>
      <c r="J632" s="1833"/>
      <c r="K632" s="1833"/>
      <c r="L632" s="1833"/>
      <c r="M632" s="1833"/>
      <c r="N632" s="1834"/>
      <c r="O632" s="1835">
        <v>420</v>
      </c>
      <c r="P632" s="1836"/>
      <c r="Q632" s="1837"/>
      <c r="R632" s="1838">
        <v>420</v>
      </c>
      <c r="S632" s="1839"/>
      <c r="T632" s="1840"/>
      <c r="U632" s="1841">
        <v>7.0999999999999994E-2</v>
      </c>
      <c r="V632" s="1842"/>
      <c r="W632" s="1843"/>
      <c r="X632" s="1726" t="s">
        <v>2209</v>
      </c>
      <c r="Y632" s="1844"/>
      <c r="Z632" s="1844"/>
      <c r="AA632" s="1844"/>
      <c r="AB632" s="1845"/>
      <c r="AC632" s="1846">
        <v>1</v>
      </c>
      <c r="AD632" s="1847"/>
      <c r="AE632" s="1848"/>
      <c r="AF632" s="1719">
        <v>1152673</v>
      </c>
      <c r="AG632" s="1720"/>
      <c r="AH632" s="1720"/>
      <c r="AI632" s="1720"/>
      <c r="AJ632" s="1721"/>
      <c r="AK632" s="1849"/>
      <c r="AL632" s="1850"/>
      <c r="AM632" s="1850"/>
      <c r="AN632" s="1851"/>
      <c r="AO632" s="1729">
        <v>14872110</v>
      </c>
      <c r="AP632" s="1729"/>
      <c r="AQ632" s="1729"/>
      <c r="AR632" s="1729"/>
      <c r="AS632" s="1729"/>
      <c r="AU632" s="75"/>
      <c r="AV632" s="75"/>
      <c r="AW632" s="75"/>
      <c r="AX632" s="75"/>
      <c r="AY632" s="75"/>
      <c r="BA632" s="72" t="s">
        <v>2189</v>
      </c>
      <c r="BC632" s="75"/>
      <c r="BD632" s="75"/>
      <c r="BN632" s="1854">
        <f>IF(J754="SRO/Studio",O754,0)</f>
        <v>0</v>
      </c>
      <c r="BO632" s="1855"/>
      <c r="BP632" s="1855"/>
      <c r="BQ632" s="1855"/>
      <c r="BR632" s="1856"/>
      <c r="BS632" s="1854">
        <f>IF(J754="1 Bedroom",O754,0)</f>
        <v>0</v>
      </c>
      <c r="BT632" s="1855"/>
      <c r="BU632" s="1855"/>
      <c r="BV632" s="1855"/>
      <c r="BW632" s="1856"/>
      <c r="BX632" s="1854">
        <f>IF(J754="2 Bedrooms",O754,0)</f>
        <v>0</v>
      </c>
      <c r="BY632" s="1855"/>
      <c r="BZ632" s="1855"/>
      <c r="CA632" s="1855"/>
      <c r="CB632" s="1856"/>
      <c r="CC632" s="1854">
        <f>IF(J754="3 Bedrooms",O754,0)</f>
        <v>0</v>
      </c>
      <c r="CD632" s="1855"/>
      <c r="CE632" s="1855"/>
      <c r="CF632" s="1855"/>
      <c r="CG632" s="1856"/>
      <c r="CH632" s="1854">
        <f>IF(J754="4 Bedrooms",O754,0)</f>
        <v>0</v>
      </c>
      <c r="CI632" s="1855"/>
      <c r="CJ632" s="1855"/>
      <c r="CK632" s="1855"/>
      <c r="CL632" s="1856"/>
      <c r="CM632" s="1864">
        <f>IF(J754="5 Bedrooms",O754,0)</f>
        <v>0</v>
      </c>
      <c r="CN632" s="1865"/>
      <c r="CO632" s="1865"/>
      <c r="CP632" s="1865"/>
      <c r="CQ632" s="1863"/>
      <c r="CR632" s="72"/>
      <c r="CS632" s="72"/>
    </row>
    <row r="633" spans="1:126" ht="13.2">
      <c r="B633" s="98" t="s">
        <v>984</v>
      </c>
      <c r="C633" s="1833" t="s">
        <v>2401</v>
      </c>
      <c r="D633" s="1833"/>
      <c r="E633" s="1833"/>
      <c r="F633" s="1833"/>
      <c r="G633" s="1833"/>
      <c r="H633" s="1833"/>
      <c r="I633" s="1833"/>
      <c r="J633" s="1833"/>
      <c r="K633" s="1833"/>
      <c r="L633" s="1833"/>
      <c r="M633" s="1833"/>
      <c r="N633" s="1834"/>
      <c r="O633" s="1835">
        <v>660</v>
      </c>
      <c r="P633" s="1836"/>
      <c r="Q633" s="1837"/>
      <c r="R633" s="1838" t="s">
        <v>2348</v>
      </c>
      <c r="S633" s="1839"/>
      <c r="T633" s="1840"/>
      <c r="U633" s="1841">
        <v>0.03</v>
      </c>
      <c r="V633" s="1842"/>
      <c r="W633" s="1843"/>
      <c r="X633" s="1726" t="s">
        <v>856</v>
      </c>
      <c r="Y633" s="1844"/>
      <c r="Z633" s="1844"/>
      <c r="AA633" s="1844"/>
      <c r="AB633" s="1845"/>
      <c r="AC633" s="1846">
        <v>4</v>
      </c>
      <c r="AD633" s="1847"/>
      <c r="AE633" s="1848"/>
      <c r="AF633" s="1719"/>
      <c r="AG633" s="1720"/>
      <c r="AH633" s="1720"/>
      <c r="AI633" s="1720"/>
      <c r="AJ633" s="1721"/>
      <c r="AK633" s="1849"/>
      <c r="AL633" s="1850"/>
      <c r="AM633" s="1850"/>
      <c r="AN633" s="1851"/>
      <c r="AO633" s="1729">
        <v>2580000</v>
      </c>
      <c r="AP633" s="1729"/>
      <c r="AQ633" s="1729"/>
      <c r="AR633" s="1729"/>
      <c r="AS633" s="1729"/>
      <c r="AU633" s="75"/>
      <c r="AV633" s="75"/>
      <c r="AW633" s="75"/>
      <c r="AX633" s="75"/>
      <c r="AY633" s="75"/>
      <c r="BA633" s="72" t="s">
        <v>857</v>
      </c>
      <c r="BC633" s="75"/>
      <c r="BD633" s="75"/>
      <c r="BN633" s="1854">
        <f>IF(J755="SRO/Studio",O755,0)</f>
        <v>0</v>
      </c>
      <c r="BO633" s="1855"/>
      <c r="BP633" s="1855"/>
      <c r="BQ633" s="1855"/>
      <c r="BR633" s="1856"/>
      <c r="BS633" s="1854">
        <f>IF(J755="1 Bedroom",O755,0)</f>
        <v>0</v>
      </c>
      <c r="BT633" s="1855"/>
      <c r="BU633" s="1855"/>
      <c r="BV633" s="1855"/>
      <c r="BW633" s="1856"/>
      <c r="BX633" s="1854">
        <f>IF(J755="2 Bedrooms",O755,0)</f>
        <v>0</v>
      </c>
      <c r="BY633" s="1855"/>
      <c r="BZ633" s="1855"/>
      <c r="CA633" s="1855"/>
      <c r="CB633" s="1856"/>
      <c r="CC633" s="1854">
        <f>IF(J755="3 Bedrooms",O755,0)</f>
        <v>0</v>
      </c>
      <c r="CD633" s="1855"/>
      <c r="CE633" s="1855"/>
      <c r="CF633" s="1855"/>
      <c r="CG633" s="1856"/>
      <c r="CH633" s="1854">
        <f>IF(J755="4 Bedrooms",O755,0)</f>
        <v>0</v>
      </c>
      <c r="CI633" s="1855"/>
      <c r="CJ633" s="1855"/>
      <c r="CK633" s="1855"/>
      <c r="CL633" s="1856"/>
      <c r="CM633" s="1864">
        <f>IF(J755="5 Bedrooms",O755,0)</f>
        <v>0</v>
      </c>
      <c r="CN633" s="1865"/>
      <c r="CO633" s="1865"/>
      <c r="CP633" s="1865"/>
      <c r="CQ633" s="1863"/>
      <c r="CR633" s="72"/>
      <c r="CS633" s="72"/>
    </row>
    <row r="634" spans="1:126" ht="13.2">
      <c r="B634" s="98" t="s">
        <v>990</v>
      </c>
      <c r="C634" s="1833" t="s">
        <v>2415</v>
      </c>
      <c r="D634" s="1833"/>
      <c r="E634" s="1833"/>
      <c r="F634" s="1833"/>
      <c r="G634" s="1833"/>
      <c r="H634" s="1833"/>
      <c r="I634" s="1833"/>
      <c r="J634" s="1833"/>
      <c r="K634" s="1833"/>
      <c r="L634" s="1833"/>
      <c r="M634" s="1833"/>
      <c r="N634" s="1834"/>
      <c r="O634" s="1835">
        <v>660</v>
      </c>
      <c r="P634" s="1836"/>
      <c r="Q634" s="1837"/>
      <c r="R634" s="1838" t="s">
        <v>2348</v>
      </c>
      <c r="S634" s="1839"/>
      <c r="T634" s="1840"/>
      <c r="U634" s="1841">
        <v>0</v>
      </c>
      <c r="V634" s="1842"/>
      <c r="W634" s="1843"/>
      <c r="X634" s="1726" t="s">
        <v>856</v>
      </c>
      <c r="Y634" s="1844"/>
      <c r="Z634" s="1844"/>
      <c r="AA634" s="1844"/>
      <c r="AB634" s="1845"/>
      <c r="AC634" s="1846">
        <v>6</v>
      </c>
      <c r="AD634" s="1847"/>
      <c r="AE634" s="1848"/>
      <c r="AF634" s="1719"/>
      <c r="AG634" s="1720"/>
      <c r="AH634" s="1720"/>
      <c r="AI634" s="1720"/>
      <c r="AJ634" s="1721"/>
      <c r="AK634" s="1849"/>
      <c r="AL634" s="1850"/>
      <c r="AM634" s="1850"/>
      <c r="AN634" s="1851"/>
      <c r="AO634" s="1729">
        <v>2746572</v>
      </c>
      <c r="AP634" s="1729"/>
      <c r="AQ634" s="1729"/>
      <c r="AR634" s="1729"/>
      <c r="AS634" s="1729"/>
      <c r="AU634" s="75"/>
      <c r="AV634" s="75"/>
      <c r="AW634" s="75"/>
      <c r="AX634" s="75"/>
      <c r="AY634" s="75"/>
      <c r="AZ634" s="75"/>
      <c r="BA634" s="72" t="s">
        <v>856</v>
      </c>
      <c r="BB634" s="75"/>
      <c r="BC634" s="75"/>
      <c r="BD634" s="75"/>
      <c r="BN634" s="1857">
        <f>SUM(BN630:BR633)</f>
        <v>0</v>
      </c>
      <c r="BO634" s="1858"/>
      <c r="BP634" s="1858"/>
      <c r="BQ634" s="1858"/>
      <c r="BR634" s="1859"/>
      <c r="BS634" s="1857">
        <f>SUM(BS630:BW633)</f>
        <v>0</v>
      </c>
      <c r="BT634" s="1858"/>
      <c r="BU634" s="1858"/>
      <c r="BV634" s="1858"/>
      <c r="BW634" s="1859"/>
      <c r="BX634" s="1857">
        <f>SUM(BX630:CB633)</f>
        <v>0</v>
      </c>
      <c r="BY634" s="1858"/>
      <c r="BZ634" s="1858"/>
      <c r="CA634" s="1858"/>
      <c r="CB634" s="1859"/>
      <c r="CC634" s="1857">
        <f>SUM(CC630:CG633)</f>
        <v>2</v>
      </c>
      <c r="CD634" s="1858"/>
      <c r="CE634" s="1858"/>
      <c r="CF634" s="1858"/>
      <c r="CG634" s="1859"/>
      <c r="CH634" s="1857">
        <f>SUM(CH630:CL633)</f>
        <v>0</v>
      </c>
      <c r="CI634" s="1858"/>
      <c r="CJ634" s="1858"/>
      <c r="CK634" s="1858"/>
      <c r="CL634" s="1859"/>
      <c r="CM634" s="1857">
        <f>SUM(CM630:CQ633)</f>
        <v>0</v>
      </c>
      <c r="CN634" s="1858"/>
      <c r="CO634" s="1858"/>
      <c r="CP634" s="1858"/>
      <c r="CQ634" s="1859"/>
      <c r="CS634" s="714">
        <f>BN634+BS634+BX634+CC634+CH634+CM634</f>
        <v>2</v>
      </c>
      <c r="CT634" s="142" t="s">
        <v>2193</v>
      </c>
      <c r="CU634" s="72"/>
    </row>
    <row r="635" spans="1:126" ht="13.2">
      <c r="B635" s="98" t="s">
        <v>477</v>
      </c>
      <c r="C635" s="1833" t="s">
        <v>2416</v>
      </c>
      <c r="D635" s="1833"/>
      <c r="E635" s="1833"/>
      <c r="F635" s="1833"/>
      <c r="G635" s="1833"/>
      <c r="H635" s="1833"/>
      <c r="I635" s="1833"/>
      <c r="J635" s="1833"/>
      <c r="K635" s="1833"/>
      <c r="L635" s="1833"/>
      <c r="M635" s="1833"/>
      <c r="N635" s="1834"/>
      <c r="O635" s="1835">
        <v>660</v>
      </c>
      <c r="P635" s="1836"/>
      <c r="Q635" s="1837"/>
      <c r="R635" s="1838" t="s">
        <v>2348</v>
      </c>
      <c r="S635" s="1839"/>
      <c r="T635" s="1840"/>
      <c r="U635" s="1841">
        <v>0.03</v>
      </c>
      <c r="V635" s="1842"/>
      <c r="W635" s="1843"/>
      <c r="X635" s="1726" t="s">
        <v>856</v>
      </c>
      <c r="Y635" s="1844"/>
      <c r="Z635" s="1844"/>
      <c r="AA635" s="1844"/>
      <c r="AB635" s="1845"/>
      <c r="AC635" s="1846">
        <v>5</v>
      </c>
      <c r="AD635" s="1847"/>
      <c r="AE635" s="1848"/>
      <c r="AF635" s="1719"/>
      <c r="AG635" s="1720"/>
      <c r="AH635" s="1720"/>
      <c r="AI635" s="1720"/>
      <c r="AJ635" s="1721"/>
      <c r="AK635" s="1849"/>
      <c r="AL635" s="1850"/>
      <c r="AM635" s="1850"/>
      <c r="AN635" s="1851"/>
      <c r="AO635" s="1729">
        <v>550000</v>
      </c>
      <c r="AP635" s="1729"/>
      <c r="AQ635" s="1729"/>
      <c r="AR635" s="1729"/>
      <c r="AS635" s="1729"/>
      <c r="AT635" s="75"/>
      <c r="AU635" s="75"/>
      <c r="AV635" s="75"/>
      <c r="AW635" s="75"/>
      <c r="AX635" s="75"/>
      <c r="AY635" s="75"/>
      <c r="AZ635" s="75"/>
      <c r="BA635" s="72" t="s">
        <v>2209</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187</v>
      </c>
      <c r="C636" s="1833" t="s">
        <v>2404</v>
      </c>
      <c r="D636" s="1833"/>
      <c r="E636" s="1833"/>
      <c r="F636" s="1833"/>
      <c r="G636" s="1833"/>
      <c r="H636" s="1833"/>
      <c r="I636" s="1833"/>
      <c r="J636" s="1833"/>
      <c r="K636" s="1833"/>
      <c r="L636" s="1833"/>
      <c r="M636" s="1833"/>
      <c r="N636" s="1834"/>
      <c r="O636" s="1835">
        <v>660</v>
      </c>
      <c r="P636" s="1836"/>
      <c r="Q636" s="1837"/>
      <c r="R636" s="1838" t="s">
        <v>2348</v>
      </c>
      <c r="S636" s="1839"/>
      <c r="T636" s="1840"/>
      <c r="U636" s="1841">
        <v>0.03</v>
      </c>
      <c r="V636" s="1842"/>
      <c r="W636" s="1843"/>
      <c r="X636" s="1726" t="s">
        <v>856</v>
      </c>
      <c r="Y636" s="1844"/>
      <c r="Z636" s="1844"/>
      <c r="AA636" s="1844"/>
      <c r="AB636" s="1845"/>
      <c r="AC636" s="1846">
        <v>3</v>
      </c>
      <c r="AD636" s="1847"/>
      <c r="AE636" s="1848"/>
      <c r="AF636" s="1719"/>
      <c r="AG636" s="1720"/>
      <c r="AH636" s="1720"/>
      <c r="AI636" s="1720"/>
      <c r="AJ636" s="1721"/>
      <c r="AK636" s="1849"/>
      <c r="AL636" s="1850"/>
      <c r="AM636" s="1850"/>
      <c r="AN636" s="1851"/>
      <c r="AO636" s="1729">
        <f>7000000</f>
        <v>7000000</v>
      </c>
      <c r="AP636" s="1729"/>
      <c r="AQ636" s="1729"/>
      <c r="AR636" s="1729"/>
      <c r="AS636" s="1729"/>
      <c r="AT636" s="75"/>
      <c r="AU636" s="75"/>
      <c r="AV636" s="75"/>
      <c r="AW636" s="75"/>
      <c r="AX636" s="75"/>
      <c r="AY636" s="75"/>
      <c r="AZ636" s="75"/>
      <c r="BA636" s="72" t="s">
        <v>545</v>
      </c>
      <c r="BN636" s="1854">
        <f t="shared" ref="BN636:BN645" si="16">IF(J766="SRO/Studio",O766,0)</f>
        <v>0</v>
      </c>
      <c r="BO636" s="1855"/>
      <c r="BP636" s="1855"/>
      <c r="BQ636" s="1855"/>
      <c r="BR636" s="1856"/>
      <c r="BS636" s="1854">
        <f t="shared" ref="BS636:BS645" si="17">IF(J766="1 Bedroom",O766,0)</f>
        <v>0</v>
      </c>
      <c r="BT636" s="1855"/>
      <c r="BU636" s="1855"/>
      <c r="BV636" s="1855"/>
      <c r="BW636" s="1856"/>
      <c r="BX636" s="1854">
        <f t="shared" ref="BX636:BX645" si="18">IF(J766="2 Bedrooms",O766,0)</f>
        <v>0</v>
      </c>
      <c r="BY636" s="1855"/>
      <c r="BZ636" s="1855"/>
      <c r="CA636" s="1855"/>
      <c r="CB636" s="1856"/>
      <c r="CC636" s="1854">
        <f t="shared" ref="CC636:CC645" si="19">IF(J766="3 Bedrooms",O766,0)</f>
        <v>0</v>
      </c>
      <c r="CD636" s="1855"/>
      <c r="CE636" s="1855"/>
      <c r="CF636" s="1855"/>
      <c r="CG636" s="1856"/>
      <c r="CH636" s="1854">
        <f t="shared" ref="CH636:CH645" si="20">IF(J766="4 Bedrooms",O766,0)</f>
        <v>0</v>
      </c>
      <c r="CI636" s="1855"/>
      <c r="CJ636" s="1855"/>
      <c r="CK636" s="1855"/>
      <c r="CL636" s="1856"/>
      <c r="CM636" s="1854">
        <f t="shared" ref="CM636:CM645" si="21">IF(J766="5 Bedrooms",O766,0)</f>
        <v>0</v>
      </c>
      <c r="CN636" s="1855"/>
      <c r="CO636" s="1855"/>
      <c r="CP636" s="1855"/>
      <c r="CQ636" s="1856"/>
      <c r="CR636" s="72"/>
      <c r="CS636" s="72"/>
    </row>
    <row r="637" spans="1:126" ht="13.2">
      <c r="B637" s="98" t="s">
        <v>480</v>
      </c>
      <c r="C637" s="1833" t="s">
        <v>2417</v>
      </c>
      <c r="D637" s="1833"/>
      <c r="E637" s="1833"/>
      <c r="F637" s="1833"/>
      <c r="G637" s="1833"/>
      <c r="H637" s="1833"/>
      <c r="I637" s="1833"/>
      <c r="J637" s="1833"/>
      <c r="K637" s="1833"/>
      <c r="L637" s="1833"/>
      <c r="M637" s="1833"/>
      <c r="N637" s="1834"/>
      <c r="O637" s="1835">
        <v>1188</v>
      </c>
      <c r="P637" s="1836"/>
      <c r="Q637" s="1837"/>
      <c r="R637" s="1838" t="s">
        <v>2348</v>
      </c>
      <c r="S637" s="1839"/>
      <c r="T637" s="1840"/>
      <c r="U637" s="1841">
        <v>0.03</v>
      </c>
      <c r="V637" s="1842"/>
      <c r="W637" s="1843"/>
      <c r="X637" s="1726" t="s">
        <v>856</v>
      </c>
      <c r="Y637" s="1844"/>
      <c r="Z637" s="1844"/>
      <c r="AA637" s="1844"/>
      <c r="AB637" s="1845"/>
      <c r="AC637" s="1846">
        <v>2</v>
      </c>
      <c r="AD637" s="1847"/>
      <c r="AE637" s="1848"/>
      <c r="AF637" s="1719"/>
      <c r="AG637" s="1720"/>
      <c r="AH637" s="1720"/>
      <c r="AI637" s="1720"/>
      <c r="AJ637" s="1721"/>
      <c r="AK637" s="1849"/>
      <c r="AL637" s="1850"/>
      <c r="AM637" s="1850"/>
      <c r="AN637" s="1851"/>
      <c r="AO637" s="1729">
        <f>2643026</f>
        <v>2643026</v>
      </c>
      <c r="AP637" s="1729"/>
      <c r="AQ637" s="1729"/>
      <c r="AR637" s="1729"/>
      <c r="AS637" s="1729"/>
      <c r="AT637" s="75"/>
      <c r="AU637" s="75"/>
      <c r="AV637" s="75"/>
      <c r="AW637" s="75"/>
      <c r="AX637" s="75"/>
      <c r="AY637" s="75"/>
      <c r="AZ637" s="75"/>
      <c r="BN637" s="1854">
        <f t="shared" si="16"/>
        <v>0</v>
      </c>
      <c r="BO637" s="1855"/>
      <c r="BP637" s="1855"/>
      <c r="BQ637" s="1855"/>
      <c r="BR637" s="1856"/>
      <c r="BS637" s="1854">
        <f t="shared" si="17"/>
        <v>0</v>
      </c>
      <c r="BT637" s="1855"/>
      <c r="BU637" s="1855"/>
      <c r="BV637" s="1855"/>
      <c r="BW637" s="1856"/>
      <c r="BX637" s="1854">
        <f t="shared" si="18"/>
        <v>0</v>
      </c>
      <c r="BY637" s="1855"/>
      <c r="BZ637" s="1855"/>
      <c r="CA637" s="1855"/>
      <c r="CB637" s="1856"/>
      <c r="CC637" s="1854">
        <f t="shared" si="19"/>
        <v>0</v>
      </c>
      <c r="CD637" s="1855"/>
      <c r="CE637" s="1855"/>
      <c r="CF637" s="1855"/>
      <c r="CG637" s="1856"/>
      <c r="CH637" s="1854">
        <f t="shared" si="20"/>
        <v>0</v>
      </c>
      <c r="CI637" s="1855"/>
      <c r="CJ637" s="1855"/>
      <c r="CK637" s="1855"/>
      <c r="CL637" s="1856"/>
      <c r="CM637" s="1854">
        <f t="shared" si="21"/>
        <v>0</v>
      </c>
      <c r="CN637" s="1855"/>
      <c r="CO637" s="1855"/>
      <c r="CP637" s="1855"/>
      <c r="CQ637" s="1856"/>
      <c r="CR637" s="72"/>
      <c r="CS637" s="72"/>
    </row>
    <row r="638" spans="1:126" ht="13.2">
      <c r="B638" s="98" t="s">
        <v>805</v>
      </c>
      <c r="C638" s="1833"/>
      <c r="D638" s="1833"/>
      <c r="E638" s="1833"/>
      <c r="F638" s="1833"/>
      <c r="G638" s="1833"/>
      <c r="H638" s="1833"/>
      <c r="I638" s="1833"/>
      <c r="J638" s="1833"/>
      <c r="K638" s="1833"/>
      <c r="L638" s="1833"/>
      <c r="M638" s="1833"/>
      <c r="N638" s="1834"/>
      <c r="O638" s="1835"/>
      <c r="P638" s="1836"/>
      <c r="Q638" s="1837"/>
      <c r="R638" s="1838"/>
      <c r="S638" s="1839"/>
      <c r="T638" s="1840"/>
      <c r="U638" s="1841"/>
      <c r="V638" s="1842"/>
      <c r="W638" s="1843"/>
      <c r="X638" s="1726" t="s">
        <v>2189</v>
      </c>
      <c r="Y638" s="1844"/>
      <c r="Z638" s="1844"/>
      <c r="AA638" s="1844"/>
      <c r="AB638" s="1845"/>
      <c r="AC638" s="1846"/>
      <c r="AD638" s="1847"/>
      <c r="AE638" s="1848"/>
      <c r="AF638" s="1719"/>
      <c r="AG638" s="1720"/>
      <c r="AH638" s="1720"/>
      <c r="AI638" s="1720"/>
      <c r="AJ638" s="1721"/>
      <c r="AK638" s="1849"/>
      <c r="AL638" s="1850"/>
      <c r="AM638" s="1850"/>
      <c r="AN638" s="1851"/>
      <c r="AO638" s="1729"/>
      <c r="AP638" s="1729"/>
      <c r="AQ638" s="1729"/>
      <c r="AR638" s="1729"/>
      <c r="AS638" s="1729"/>
      <c r="AT638" s="75"/>
      <c r="AU638" s="75"/>
      <c r="AV638" s="75"/>
      <c r="AW638" s="75"/>
      <c r="AX638" s="75"/>
      <c r="AY638" s="75"/>
      <c r="AZ638" s="75"/>
      <c r="BN638" s="1854">
        <f t="shared" si="16"/>
        <v>0</v>
      </c>
      <c r="BO638" s="1855"/>
      <c r="BP638" s="1855"/>
      <c r="BQ638" s="1855"/>
      <c r="BR638" s="1856"/>
      <c r="BS638" s="1854">
        <f t="shared" si="17"/>
        <v>0</v>
      </c>
      <c r="BT638" s="1855"/>
      <c r="BU638" s="1855"/>
      <c r="BV638" s="1855"/>
      <c r="BW638" s="1856"/>
      <c r="BX638" s="1854">
        <f t="shared" si="18"/>
        <v>0</v>
      </c>
      <c r="BY638" s="1855"/>
      <c r="BZ638" s="1855"/>
      <c r="CA638" s="1855"/>
      <c r="CB638" s="1856"/>
      <c r="CC638" s="1854">
        <f t="shared" si="19"/>
        <v>0</v>
      </c>
      <c r="CD638" s="1855"/>
      <c r="CE638" s="1855"/>
      <c r="CF638" s="1855"/>
      <c r="CG638" s="1856"/>
      <c r="CH638" s="1854">
        <f t="shared" si="20"/>
        <v>0</v>
      </c>
      <c r="CI638" s="1855"/>
      <c r="CJ638" s="1855"/>
      <c r="CK638" s="1855"/>
      <c r="CL638" s="1856"/>
      <c r="CM638" s="1854">
        <f t="shared" si="21"/>
        <v>0</v>
      </c>
      <c r="CN638" s="1855"/>
      <c r="CO638" s="1855"/>
      <c r="CP638" s="1855"/>
      <c r="CQ638" s="1856"/>
      <c r="CR638" s="72"/>
      <c r="CS638" s="72"/>
    </row>
    <row r="639" spans="1:126" ht="13.2">
      <c r="B639" s="98" t="s">
        <v>806</v>
      </c>
      <c r="C639" s="1833"/>
      <c r="D639" s="1833"/>
      <c r="E639" s="1833"/>
      <c r="F639" s="1833"/>
      <c r="G639" s="1833"/>
      <c r="H639" s="1833"/>
      <c r="I639" s="1833"/>
      <c r="J639" s="1833"/>
      <c r="K639" s="1833"/>
      <c r="L639" s="1833"/>
      <c r="M639" s="1833"/>
      <c r="N639" s="1834"/>
      <c r="O639" s="1835"/>
      <c r="P639" s="1836"/>
      <c r="Q639" s="1837"/>
      <c r="R639" s="1838"/>
      <c r="S639" s="1839"/>
      <c r="T639" s="1840"/>
      <c r="U639" s="1841"/>
      <c r="V639" s="1842"/>
      <c r="W639" s="1843"/>
      <c r="X639" s="1726" t="s">
        <v>2189</v>
      </c>
      <c r="Y639" s="1844"/>
      <c r="Z639" s="1844"/>
      <c r="AA639" s="1844"/>
      <c r="AB639" s="1845"/>
      <c r="AC639" s="1846"/>
      <c r="AD639" s="1847"/>
      <c r="AE639" s="1848"/>
      <c r="AF639" s="1719"/>
      <c r="AG639" s="1720"/>
      <c r="AH639" s="1720"/>
      <c r="AI639" s="1720"/>
      <c r="AJ639" s="1721"/>
      <c r="AK639" s="1849"/>
      <c r="AL639" s="1850"/>
      <c r="AM639" s="1850"/>
      <c r="AN639" s="1851"/>
      <c r="AO639" s="1729"/>
      <c r="AP639" s="1729"/>
      <c r="AQ639" s="1729"/>
      <c r="AR639" s="1729"/>
      <c r="AS639" s="1729"/>
      <c r="AT639" s="75"/>
      <c r="AU639" s="75"/>
      <c r="AV639" s="75"/>
      <c r="AW639" s="75"/>
      <c r="AX639" s="75"/>
      <c r="AY639" s="75"/>
      <c r="AZ639" s="75"/>
      <c r="BN639" s="1854">
        <f t="shared" si="16"/>
        <v>0</v>
      </c>
      <c r="BO639" s="1855"/>
      <c r="BP639" s="1855"/>
      <c r="BQ639" s="1855"/>
      <c r="BR639" s="1856"/>
      <c r="BS639" s="1854">
        <f t="shared" si="17"/>
        <v>0</v>
      </c>
      <c r="BT639" s="1855"/>
      <c r="BU639" s="1855"/>
      <c r="BV639" s="1855"/>
      <c r="BW639" s="1856"/>
      <c r="BX639" s="1854">
        <f t="shared" si="18"/>
        <v>0</v>
      </c>
      <c r="BY639" s="1855"/>
      <c r="BZ639" s="1855"/>
      <c r="CA639" s="1855"/>
      <c r="CB639" s="1856"/>
      <c r="CC639" s="1854">
        <f t="shared" si="19"/>
        <v>0</v>
      </c>
      <c r="CD639" s="1855"/>
      <c r="CE639" s="1855"/>
      <c r="CF639" s="1855"/>
      <c r="CG639" s="1856"/>
      <c r="CH639" s="1854">
        <f t="shared" si="20"/>
        <v>0</v>
      </c>
      <c r="CI639" s="1855"/>
      <c r="CJ639" s="1855"/>
      <c r="CK639" s="1855"/>
      <c r="CL639" s="1856"/>
      <c r="CM639" s="1854">
        <f t="shared" si="21"/>
        <v>0</v>
      </c>
      <c r="CN639" s="1855"/>
      <c r="CO639" s="1855"/>
      <c r="CP639" s="1855"/>
      <c r="CQ639" s="1856"/>
      <c r="CR639" s="72"/>
      <c r="CS639" s="72"/>
    </row>
    <row r="640" spans="1:126" ht="13.2">
      <c r="B640" s="98" t="s">
        <v>603</v>
      </c>
      <c r="C640" s="1833"/>
      <c r="D640" s="1833"/>
      <c r="E640" s="1833"/>
      <c r="F640" s="1833"/>
      <c r="G640" s="1833"/>
      <c r="H640" s="1833"/>
      <c r="I640" s="1833"/>
      <c r="J640" s="1833"/>
      <c r="K640" s="1833"/>
      <c r="L640" s="1833"/>
      <c r="M640" s="1833"/>
      <c r="N640" s="1834"/>
      <c r="O640" s="1835"/>
      <c r="P640" s="1836"/>
      <c r="Q640" s="1837"/>
      <c r="R640" s="1838"/>
      <c r="S640" s="1839"/>
      <c r="T640" s="1840"/>
      <c r="U640" s="1841"/>
      <c r="V640" s="1842"/>
      <c r="W640" s="1843"/>
      <c r="X640" s="1726" t="s">
        <v>2189</v>
      </c>
      <c r="Y640" s="1844"/>
      <c r="Z640" s="1844"/>
      <c r="AA640" s="1844"/>
      <c r="AB640" s="1845"/>
      <c r="AC640" s="1846"/>
      <c r="AD640" s="1847"/>
      <c r="AE640" s="1848"/>
      <c r="AF640" s="1719"/>
      <c r="AG640" s="1720"/>
      <c r="AH640" s="1720"/>
      <c r="AI640" s="1720"/>
      <c r="AJ640" s="1721"/>
      <c r="AK640" s="1849"/>
      <c r="AL640" s="1850"/>
      <c r="AM640" s="1850"/>
      <c r="AN640" s="1851"/>
      <c r="AO640" s="1729"/>
      <c r="AP640" s="1729"/>
      <c r="AQ640" s="1729"/>
      <c r="AR640" s="1729"/>
      <c r="AS640" s="1729"/>
      <c r="AT640" s="72"/>
      <c r="AU640" s="72"/>
      <c r="AV640" s="72"/>
      <c r="AW640" s="72"/>
      <c r="AX640" s="72"/>
      <c r="AY640" s="72"/>
      <c r="AZ640" s="72"/>
      <c r="BN640" s="1854">
        <f t="shared" si="16"/>
        <v>0</v>
      </c>
      <c r="BO640" s="1855"/>
      <c r="BP640" s="1855"/>
      <c r="BQ640" s="1855"/>
      <c r="BR640" s="1856"/>
      <c r="BS640" s="1854">
        <f t="shared" si="17"/>
        <v>0</v>
      </c>
      <c r="BT640" s="1855"/>
      <c r="BU640" s="1855"/>
      <c r="BV640" s="1855"/>
      <c r="BW640" s="1856"/>
      <c r="BX640" s="1854">
        <f t="shared" si="18"/>
        <v>0</v>
      </c>
      <c r="BY640" s="1855"/>
      <c r="BZ640" s="1855"/>
      <c r="CA640" s="1855"/>
      <c r="CB640" s="1856"/>
      <c r="CC640" s="1854">
        <f t="shared" si="19"/>
        <v>0</v>
      </c>
      <c r="CD640" s="1855"/>
      <c r="CE640" s="1855"/>
      <c r="CF640" s="1855"/>
      <c r="CG640" s="1856"/>
      <c r="CH640" s="1854">
        <f t="shared" si="20"/>
        <v>0</v>
      </c>
      <c r="CI640" s="1855"/>
      <c r="CJ640" s="1855"/>
      <c r="CK640" s="1855"/>
      <c r="CL640" s="1856"/>
      <c r="CM640" s="1854">
        <f t="shared" si="21"/>
        <v>0</v>
      </c>
      <c r="CN640" s="1855"/>
      <c r="CO640" s="1855"/>
      <c r="CP640" s="1855"/>
      <c r="CQ640" s="1856"/>
      <c r="CR640" s="72"/>
      <c r="CS640" s="72"/>
    </row>
    <row r="641" spans="1:97" ht="13.2">
      <c r="B641" s="98" t="s">
        <v>190</v>
      </c>
      <c r="C641" s="1833"/>
      <c r="D641" s="1833"/>
      <c r="E641" s="1833"/>
      <c r="F641" s="1833"/>
      <c r="G641" s="1833"/>
      <c r="H641" s="1833"/>
      <c r="I641" s="1833"/>
      <c r="J641" s="1833"/>
      <c r="K641" s="1833"/>
      <c r="L641" s="1833"/>
      <c r="M641" s="1833"/>
      <c r="N641" s="1834"/>
      <c r="O641" s="1835"/>
      <c r="P641" s="1836"/>
      <c r="Q641" s="1837"/>
      <c r="R641" s="1838"/>
      <c r="S641" s="1839"/>
      <c r="T641" s="1840"/>
      <c r="U641" s="1841"/>
      <c r="V641" s="1842"/>
      <c r="W641" s="1843"/>
      <c r="X641" s="1726" t="s">
        <v>2189</v>
      </c>
      <c r="Y641" s="1844"/>
      <c r="Z641" s="1844"/>
      <c r="AA641" s="1844"/>
      <c r="AB641" s="1845"/>
      <c r="AC641" s="1846"/>
      <c r="AD641" s="1847"/>
      <c r="AE641" s="1848"/>
      <c r="AF641" s="1719"/>
      <c r="AG641" s="1720"/>
      <c r="AH641" s="1720"/>
      <c r="AI641" s="1720"/>
      <c r="AJ641" s="1721"/>
      <c r="AK641" s="1849"/>
      <c r="AL641" s="1850"/>
      <c r="AM641" s="1850"/>
      <c r="AN641" s="1851"/>
      <c r="AO641" s="1729"/>
      <c r="AP641" s="1729"/>
      <c r="AQ641" s="1729"/>
      <c r="AR641" s="1729"/>
      <c r="AS641" s="1729"/>
      <c r="AT641" s="72"/>
      <c r="AU641" s="72"/>
      <c r="AV641" s="72"/>
      <c r="AW641" s="72"/>
      <c r="AX641" s="72"/>
      <c r="AY641" s="72"/>
      <c r="AZ641" s="72"/>
      <c r="BN641" s="1854">
        <f t="shared" si="16"/>
        <v>0</v>
      </c>
      <c r="BO641" s="1855"/>
      <c r="BP641" s="1855"/>
      <c r="BQ641" s="1855"/>
      <c r="BR641" s="1856"/>
      <c r="BS641" s="1854">
        <f t="shared" si="17"/>
        <v>0</v>
      </c>
      <c r="BT641" s="1855"/>
      <c r="BU641" s="1855"/>
      <c r="BV641" s="1855"/>
      <c r="BW641" s="1856"/>
      <c r="BX641" s="1854">
        <f t="shared" si="18"/>
        <v>0</v>
      </c>
      <c r="BY641" s="1855"/>
      <c r="BZ641" s="1855"/>
      <c r="CA641" s="1855"/>
      <c r="CB641" s="1856"/>
      <c r="CC641" s="1854">
        <f t="shared" si="19"/>
        <v>0</v>
      </c>
      <c r="CD641" s="1855"/>
      <c r="CE641" s="1855"/>
      <c r="CF641" s="1855"/>
      <c r="CG641" s="1856"/>
      <c r="CH641" s="1854">
        <f t="shared" si="20"/>
        <v>0</v>
      </c>
      <c r="CI641" s="1855"/>
      <c r="CJ641" s="1855"/>
      <c r="CK641" s="1855"/>
      <c r="CL641" s="1856"/>
      <c r="CM641" s="1854">
        <f t="shared" si="21"/>
        <v>0</v>
      </c>
      <c r="CN641" s="1855"/>
      <c r="CO641" s="1855"/>
      <c r="CP641" s="1855"/>
      <c r="CQ641" s="1856"/>
      <c r="CR641" s="72"/>
      <c r="CS641" s="72"/>
    </row>
    <row r="642" spans="1:97" ht="13.2">
      <c r="B642" s="98" t="s">
        <v>37</v>
      </c>
      <c r="C642" s="1833"/>
      <c r="D642" s="1833"/>
      <c r="E642" s="1833"/>
      <c r="F642" s="1833"/>
      <c r="G642" s="1833"/>
      <c r="H642" s="1833"/>
      <c r="I642" s="1833"/>
      <c r="J642" s="1833"/>
      <c r="K642" s="1833"/>
      <c r="L642" s="1833"/>
      <c r="M642" s="1833"/>
      <c r="N642" s="1834"/>
      <c r="O642" s="1835"/>
      <c r="P642" s="1836"/>
      <c r="Q642" s="1837"/>
      <c r="R642" s="1838"/>
      <c r="S642" s="1839"/>
      <c r="T642" s="1840"/>
      <c r="U642" s="1841"/>
      <c r="V642" s="1842"/>
      <c r="W642" s="1843"/>
      <c r="X642" s="1726" t="s">
        <v>2189</v>
      </c>
      <c r="Y642" s="1844"/>
      <c r="Z642" s="1844"/>
      <c r="AA642" s="1844"/>
      <c r="AB642" s="1845"/>
      <c r="AC642" s="1846"/>
      <c r="AD642" s="1847"/>
      <c r="AE642" s="1848"/>
      <c r="AF642" s="1719"/>
      <c r="AG642" s="1720"/>
      <c r="AH642" s="1720"/>
      <c r="AI642" s="1720"/>
      <c r="AJ642" s="1721"/>
      <c r="AK642" s="1849"/>
      <c r="AL642" s="1850"/>
      <c r="AM642" s="1850"/>
      <c r="AN642" s="1851"/>
      <c r="AO642" s="1729"/>
      <c r="AP642" s="1729"/>
      <c r="AQ642" s="1729"/>
      <c r="AR642" s="1729"/>
      <c r="AS642" s="1729"/>
      <c r="AT642" s="72"/>
      <c r="AU642" s="72"/>
      <c r="AV642" s="72"/>
      <c r="AW642" s="72"/>
      <c r="AX642" s="72"/>
      <c r="AY642" s="72"/>
      <c r="AZ642" s="72"/>
      <c r="BN642" s="1854">
        <f t="shared" si="16"/>
        <v>0</v>
      </c>
      <c r="BO642" s="1855"/>
      <c r="BP642" s="1855"/>
      <c r="BQ642" s="1855"/>
      <c r="BR642" s="1856"/>
      <c r="BS642" s="1854">
        <f t="shared" si="17"/>
        <v>0</v>
      </c>
      <c r="BT642" s="1855"/>
      <c r="BU642" s="1855"/>
      <c r="BV642" s="1855"/>
      <c r="BW642" s="1856"/>
      <c r="BX642" s="1854">
        <f t="shared" si="18"/>
        <v>0</v>
      </c>
      <c r="BY642" s="1855"/>
      <c r="BZ642" s="1855"/>
      <c r="CA642" s="1855"/>
      <c r="CB642" s="1856"/>
      <c r="CC642" s="1854">
        <f t="shared" si="19"/>
        <v>0</v>
      </c>
      <c r="CD642" s="1855"/>
      <c r="CE642" s="1855"/>
      <c r="CF642" s="1855"/>
      <c r="CG642" s="1856"/>
      <c r="CH642" s="1854">
        <f t="shared" si="20"/>
        <v>0</v>
      </c>
      <c r="CI642" s="1855"/>
      <c r="CJ642" s="1855"/>
      <c r="CK642" s="1855"/>
      <c r="CL642" s="1856"/>
      <c r="CM642" s="1854">
        <f t="shared" si="21"/>
        <v>0</v>
      </c>
      <c r="CN642" s="1855"/>
      <c r="CO642" s="1855"/>
      <c r="CP642" s="1855"/>
      <c r="CQ642" s="1856"/>
      <c r="CR642" s="72"/>
      <c r="CS642" s="72"/>
    </row>
    <row r="643" spans="1:97" ht="12.75" customHeight="1">
      <c r="B643" s="98" t="s">
        <v>38</v>
      </c>
      <c r="C643" s="1833"/>
      <c r="D643" s="1833"/>
      <c r="E643" s="1833"/>
      <c r="F643" s="1833"/>
      <c r="G643" s="1833"/>
      <c r="H643" s="1833"/>
      <c r="I643" s="1833"/>
      <c r="J643" s="1833"/>
      <c r="K643" s="1833"/>
      <c r="L643" s="1833"/>
      <c r="M643" s="1833"/>
      <c r="N643" s="1834"/>
      <c r="O643" s="1835"/>
      <c r="P643" s="1836"/>
      <c r="Q643" s="1837"/>
      <c r="R643" s="1838"/>
      <c r="S643" s="1839"/>
      <c r="T643" s="1840"/>
      <c r="U643" s="1841"/>
      <c r="V643" s="1842"/>
      <c r="W643" s="1843"/>
      <c r="X643" s="1726" t="s">
        <v>2189</v>
      </c>
      <c r="Y643" s="1844"/>
      <c r="Z643" s="1844"/>
      <c r="AA643" s="1844"/>
      <c r="AB643" s="1845"/>
      <c r="AC643" s="1846"/>
      <c r="AD643" s="1847"/>
      <c r="AE643" s="1848"/>
      <c r="AF643" s="1719"/>
      <c r="AG643" s="1720"/>
      <c r="AH643" s="1720"/>
      <c r="AI643" s="1720"/>
      <c r="AJ643" s="1721"/>
      <c r="AK643" s="1849"/>
      <c r="AL643" s="1850"/>
      <c r="AM643" s="1850"/>
      <c r="AN643" s="1851"/>
      <c r="AO643" s="1729"/>
      <c r="AP643" s="1729"/>
      <c r="AQ643" s="1729"/>
      <c r="AR643" s="1729"/>
      <c r="AS643" s="1729"/>
      <c r="AT643" s="75"/>
      <c r="AU643" s="75"/>
      <c r="AV643" s="75"/>
      <c r="AW643" s="75"/>
      <c r="AX643" s="75"/>
      <c r="AY643" s="75"/>
      <c r="AZ643" s="75"/>
      <c r="BN643" s="1854">
        <f t="shared" si="16"/>
        <v>0</v>
      </c>
      <c r="BO643" s="1855"/>
      <c r="BP643" s="1855"/>
      <c r="BQ643" s="1855"/>
      <c r="BR643" s="1856"/>
      <c r="BS643" s="1854">
        <f t="shared" si="17"/>
        <v>0</v>
      </c>
      <c r="BT643" s="1855"/>
      <c r="BU643" s="1855"/>
      <c r="BV643" s="1855"/>
      <c r="BW643" s="1856"/>
      <c r="BX643" s="1854">
        <f t="shared" si="18"/>
        <v>0</v>
      </c>
      <c r="BY643" s="1855"/>
      <c r="BZ643" s="1855"/>
      <c r="CA643" s="1855"/>
      <c r="CB643" s="1856"/>
      <c r="CC643" s="1854">
        <f t="shared" si="19"/>
        <v>0</v>
      </c>
      <c r="CD643" s="1855"/>
      <c r="CE643" s="1855"/>
      <c r="CF643" s="1855"/>
      <c r="CG643" s="1856"/>
      <c r="CH643" s="1854">
        <f t="shared" si="20"/>
        <v>0</v>
      </c>
      <c r="CI643" s="1855"/>
      <c r="CJ643" s="1855"/>
      <c r="CK643" s="1855"/>
      <c r="CL643" s="1856"/>
      <c r="CM643" s="1854">
        <f t="shared" si="21"/>
        <v>0</v>
      </c>
      <c r="CN643" s="1855"/>
      <c r="CO643" s="1855"/>
      <c r="CP643" s="1855"/>
      <c r="CQ643" s="1856"/>
      <c r="CR643" s="72"/>
      <c r="CS643" s="72"/>
    </row>
    <row r="644" spans="1:97" ht="12.75" customHeight="1">
      <c r="B644" s="1740" t="s">
        <v>399</v>
      </c>
      <c r="C644" s="1741"/>
      <c r="D644" s="1741"/>
      <c r="E644" s="1741"/>
      <c r="F644" s="1741"/>
      <c r="G644" s="1741"/>
      <c r="H644" s="1741"/>
      <c r="I644" s="1741"/>
      <c r="J644" s="1741"/>
      <c r="K644" s="1741"/>
      <c r="L644" s="1741"/>
      <c r="M644" s="1741"/>
      <c r="N644" s="1741"/>
      <c r="O644" s="1741"/>
      <c r="P644" s="1741"/>
      <c r="Q644" s="1741"/>
      <c r="R644" s="1741"/>
      <c r="S644" s="1741"/>
      <c r="T644" s="1741"/>
      <c r="U644" s="1741"/>
      <c r="V644" s="1741"/>
      <c r="W644" s="1741"/>
      <c r="X644" s="1741"/>
      <c r="Y644" s="1741"/>
      <c r="Z644" s="1741"/>
      <c r="AA644" s="1741"/>
      <c r="AB644" s="1741"/>
      <c r="AC644" s="1741"/>
      <c r="AD644" s="1741"/>
      <c r="AE644" s="1741"/>
      <c r="AF644" s="1741"/>
      <c r="AG644" s="1741"/>
      <c r="AH644" s="1741"/>
      <c r="AI644" s="1741"/>
      <c r="AJ644" s="1741"/>
      <c r="AK644" s="1741"/>
      <c r="AL644" s="1741"/>
      <c r="AM644" s="1741"/>
      <c r="AN644" s="1742"/>
      <c r="AO644" s="1756">
        <f>SUM(AO632:AS643)</f>
        <v>30391708</v>
      </c>
      <c r="AP644" s="1757"/>
      <c r="AQ644" s="1757"/>
      <c r="AR644" s="1757"/>
      <c r="AS644" s="1758"/>
      <c r="AT644" s="75"/>
      <c r="AU644" s="75"/>
      <c r="AV644" s="75"/>
      <c r="AW644" s="75"/>
      <c r="AX644" s="75"/>
      <c r="AY644" s="75"/>
      <c r="AZ644" s="75"/>
      <c r="BN644" s="1854">
        <f t="shared" si="16"/>
        <v>0</v>
      </c>
      <c r="BO644" s="1855"/>
      <c r="BP644" s="1855"/>
      <c r="BQ644" s="1855"/>
      <c r="BR644" s="1856"/>
      <c r="BS644" s="1854">
        <f t="shared" si="17"/>
        <v>0</v>
      </c>
      <c r="BT644" s="1855"/>
      <c r="BU644" s="1855"/>
      <c r="BV644" s="1855"/>
      <c r="BW644" s="1856"/>
      <c r="BX644" s="1854">
        <f t="shared" si="18"/>
        <v>0</v>
      </c>
      <c r="BY644" s="1855"/>
      <c r="BZ644" s="1855"/>
      <c r="CA644" s="1855"/>
      <c r="CB644" s="1856"/>
      <c r="CC644" s="1854">
        <f t="shared" si="19"/>
        <v>0</v>
      </c>
      <c r="CD644" s="1855"/>
      <c r="CE644" s="1855"/>
      <c r="CF644" s="1855"/>
      <c r="CG644" s="1856"/>
      <c r="CH644" s="1854">
        <f t="shared" si="20"/>
        <v>0</v>
      </c>
      <c r="CI644" s="1855"/>
      <c r="CJ644" s="1855"/>
      <c r="CK644" s="1855"/>
      <c r="CL644" s="1856"/>
      <c r="CM644" s="1854">
        <f t="shared" si="21"/>
        <v>0</v>
      </c>
      <c r="CN644" s="1855"/>
      <c r="CO644" s="1855"/>
      <c r="CP644" s="1855"/>
      <c r="CQ644" s="1856"/>
      <c r="CR644" s="72"/>
      <c r="CS644" s="72"/>
    </row>
    <row r="645" spans="1:97" ht="13.2">
      <c r="B645" s="1740" t="s">
        <v>400</v>
      </c>
      <c r="C645" s="1741"/>
      <c r="D645" s="1741"/>
      <c r="E645" s="1741"/>
      <c r="F645" s="1741"/>
      <c r="G645" s="1741"/>
      <c r="H645" s="1741"/>
      <c r="I645" s="1741"/>
      <c r="J645" s="1741"/>
      <c r="K645" s="1741"/>
      <c r="L645" s="1741"/>
      <c r="M645" s="1741"/>
      <c r="N645" s="1741"/>
      <c r="O645" s="1741"/>
      <c r="P645" s="1741"/>
      <c r="Q645" s="1741"/>
      <c r="R645" s="1741"/>
      <c r="S645" s="1741"/>
      <c r="T645" s="1741"/>
      <c r="U645" s="1741"/>
      <c r="V645" s="1741"/>
      <c r="W645" s="1741"/>
      <c r="X645" s="1741"/>
      <c r="Y645" s="1741"/>
      <c r="Z645" s="1741"/>
      <c r="AA645" s="1741"/>
      <c r="AB645" s="1741"/>
      <c r="AC645" s="1741"/>
      <c r="AD645" s="1741"/>
      <c r="AE645" s="1741"/>
      <c r="AF645" s="1741"/>
      <c r="AG645" s="1741"/>
      <c r="AH645" s="1741"/>
      <c r="AI645" s="1741"/>
      <c r="AJ645" s="1741"/>
      <c r="AK645" s="1741"/>
      <c r="AL645" s="1741"/>
      <c r="AM645" s="1741"/>
      <c r="AN645" s="1742"/>
      <c r="AO645" s="1769">
        <v>20515583</v>
      </c>
      <c r="AP645" s="1770"/>
      <c r="AQ645" s="1770"/>
      <c r="AR645" s="1770"/>
      <c r="AS645" s="1771"/>
      <c r="AT645" s="75"/>
      <c r="AU645" s="75"/>
      <c r="AV645" s="75"/>
      <c r="AW645" s="75"/>
      <c r="AX645" s="75"/>
      <c r="AY645" s="75"/>
      <c r="AZ645" s="75"/>
      <c r="BN645" s="1854">
        <f t="shared" si="16"/>
        <v>0</v>
      </c>
      <c r="BO645" s="1855"/>
      <c r="BP645" s="1855"/>
      <c r="BQ645" s="1855"/>
      <c r="BR645" s="1856"/>
      <c r="BS645" s="1854">
        <f t="shared" si="17"/>
        <v>0</v>
      </c>
      <c r="BT645" s="1855"/>
      <c r="BU645" s="1855"/>
      <c r="BV645" s="1855"/>
      <c r="BW645" s="1856"/>
      <c r="BX645" s="1854">
        <f t="shared" si="18"/>
        <v>0</v>
      </c>
      <c r="BY645" s="1855"/>
      <c r="BZ645" s="1855"/>
      <c r="CA645" s="1855"/>
      <c r="CB645" s="1856"/>
      <c r="CC645" s="1854">
        <f t="shared" si="19"/>
        <v>0</v>
      </c>
      <c r="CD645" s="1855"/>
      <c r="CE645" s="1855"/>
      <c r="CF645" s="1855"/>
      <c r="CG645" s="1856"/>
      <c r="CH645" s="1854">
        <f t="shared" si="20"/>
        <v>0</v>
      </c>
      <c r="CI645" s="1855"/>
      <c r="CJ645" s="1855"/>
      <c r="CK645" s="1855"/>
      <c r="CL645" s="1856"/>
      <c r="CM645" s="1854">
        <f t="shared" si="21"/>
        <v>0</v>
      </c>
      <c r="CN645" s="1855"/>
      <c r="CO645" s="1855"/>
      <c r="CP645" s="1855"/>
      <c r="CQ645" s="1856"/>
      <c r="CR645" s="72"/>
      <c r="CS645" s="72"/>
    </row>
    <row r="646" spans="1:97" ht="13.2">
      <c r="B646" s="1989" t="s">
        <v>1023</v>
      </c>
      <c r="C646" s="1869"/>
      <c r="D646" s="1869"/>
      <c r="E646" s="1869"/>
      <c r="F646" s="1869"/>
      <c r="G646" s="1869"/>
      <c r="H646" s="1869"/>
      <c r="I646" s="1869"/>
      <c r="J646" s="1869"/>
      <c r="K646" s="1869"/>
      <c r="L646" s="1869"/>
      <c r="M646" s="1869"/>
      <c r="N646" s="1869"/>
      <c r="O646" s="1869"/>
      <c r="P646" s="1869"/>
      <c r="Q646" s="1869"/>
      <c r="R646" s="1869"/>
      <c r="S646" s="1869"/>
      <c r="T646" s="1869"/>
      <c r="U646" s="1869"/>
      <c r="V646" s="1869"/>
      <c r="W646" s="1869"/>
      <c r="X646" s="1869"/>
      <c r="Y646" s="1869"/>
      <c r="Z646" s="1869"/>
      <c r="AA646" s="1869"/>
      <c r="AB646" s="1869"/>
      <c r="AC646" s="1869"/>
      <c r="AD646" s="1869"/>
      <c r="AE646" s="1869"/>
      <c r="AF646" s="1869"/>
      <c r="AG646" s="1869"/>
      <c r="AH646" s="1869"/>
      <c r="AI646" s="1869"/>
      <c r="AJ646" s="1869"/>
      <c r="AK646" s="1869"/>
      <c r="AL646" s="1869"/>
      <c r="AM646" s="1869"/>
      <c r="AN646" s="1990"/>
      <c r="AO646" s="1756">
        <f>AO644+AO645</f>
        <v>50907291</v>
      </c>
      <c r="AP646" s="1757"/>
      <c r="AQ646" s="1757"/>
      <c r="AR646" s="1757"/>
      <c r="AS646" s="1758"/>
      <c r="AT646" s="75"/>
      <c r="AU646" s="75"/>
      <c r="AV646" s="75"/>
      <c r="AW646" s="75"/>
      <c r="AX646" s="75"/>
      <c r="AY646" s="75"/>
      <c r="AZ646" s="75"/>
      <c r="BN646" s="1857">
        <f>SUM(BN636:BR645)</f>
        <v>0</v>
      </c>
      <c r="BO646" s="1858"/>
      <c r="BP646" s="1858"/>
      <c r="BQ646" s="1858"/>
      <c r="BR646" s="1859"/>
      <c r="BS646" s="1857">
        <f>SUM(BS636:BW645)</f>
        <v>0</v>
      </c>
      <c r="BT646" s="1858"/>
      <c r="BU646" s="1858"/>
      <c r="BV646" s="1858"/>
      <c r="BW646" s="1859"/>
      <c r="BX646" s="1857">
        <f>SUM(BX636:CB645)</f>
        <v>0</v>
      </c>
      <c r="BY646" s="1858"/>
      <c r="BZ646" s="1858"/>
      <c r="CA646" s="1858"/>
      <c r="CB646" s="1859"/>
      <c r="CC646" s="1857">
        <f>SUM(CC636:CG645)</f>
        <v>0</v>
      </c>
      <c r="CD646" s="1858"/>
      <c r="CE646" s="1858"/>
      <c r="CF646" s="1858"/>
      <c r="CG646" s="1859"/>
      <c r="CH646" s="1857">
        <f>SUM(CH636:CL645)</f>
        <v>0</v>
      </c>
      <c r="CI646" s="1858"/>
      <c r="CJ646" s="1858"/>
      <c r="CK646" s="1858"/>
      <c r="CL646" s="1859"/>
      <c r="CM646" s="1857">
        <f>SUM(CM636:CQ645)</f>
        <v>0</v>
      </c>
      <c r="CN646" s="1858"/>
      <c r="CO646" s="1858"/>
      <c r="CP646" s="1858"/>
      <c r="CQ646" s="1859"/>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8" thickBot="1">
      <c r="A648" s="101" t="s">
        <v>983</v>
      </c>
      <c r="B648" s="16" t="s">
        <v>93</v>
      </c>
      <c r="G648" s="1828" t="str">
        <f>C632</f>
        <v>Permanent Loan - Chase</v>
      </c>
      <c r="H648" s="1828"/>
      <c r="I648" s="1828"/>
      <c r="J648" s="1828"/>
      <c r="K648" s="1828"/>
      <c r="L648" s="1828"/>
      <c r="M648" s="1828"/>
      <c r="N648" s="1828"/>
      <c r="O648" s="1828"/>
      <c r="P648" s="1828"/>
      <c r="Q648" s="1828"/>
      <c r="R648" s="1828"/>
      <c r="S648" s="18"/>
      <c r="T648" s="101" t="s">
        <v>984</v>
      </c>
      <c r="U648" s="16" t="s">
        <v>93</v>
      </c>
      <c r="Z648" s="1828" t="str">
        <f>C633</f>
        <v>City of San Marcos Roll Over</v>
      </c>
      <c r="AA648" s="1828"/>
      <c r="AB648" s="1828"/>
      <c r="AC648" s="1828"/>
      <c r="AD648" s="1828"/>
      <c r="AE648" s="1828"/>
      <c r="AF648" s="1828"/>
      <c r="AG648" s="1828"/>
      <c r="AH648" s="1828"/>
      <c r="AI648" s="1828"/>
      <c r="AJ648" s="1828"/>
      <c r="AK648" s="1828"/>
      <c r="AM648" s="75"/>
      <c r="AN648" s="75"/>
      <c r="AO648" s="75"/>
      <c r="AP648" s="75"/>
      <c r="AQ648" s="75"/>
      <c r="AR648" s="75"/>
      <c r="AS648" s="75"/>
      <c r="AT648" s="75"/>
      <c r="AU648" s="75"/>
      <c r="AV648" s="75"/>
      <c r="AW648" s="75"/>
      <c r="AX648" s="75"/>
      <c r="AY648" s="75"/>
      <c r="AZ648" s="75"/>
      <c r="CP648" s="1351" t="s">
        <v>1889</v>
      </c>
      <c r="CQ648" s="715">
        <f>BN646+BS646+BX646+CC646+CH646+CM646</f>
        <v>0</v>
      </c>
      <c r="CR648" s="72"/>
      <c r="CS648" s="72"/>
    </row>
    <row r="649" spans="1:97" ht="13.8" thickBot="1">
      <c r="A649" s="46"/>
      <c r="B649" s="16" t="s">
        <v>413</v>
      </c>
      <c r="G649" s="1852" t="s">
        <v>2463</v>
      </c>
      <c r="H649" s="1824"/>
      <c r="I649" s="1824"/>
      <c r="J649" s="1824"/>
      <c r="K649" s="1824"/>
      <c r="L649" s="1824"/>
      <c r="M649" s="1824"/>
      <c r="N649" s="1824"/>
      <c r="O649" s="1824"/>
      <c r="P649" s="1824"/>
      <c r="Q649" s="1824"/>
      <c r="R649" s="1824"/>
      <c r="S649" s="18"/>
      <c r="T649" s="46"/>
      <c r="U649" s="16" t="s">
        <v>413</v>
      </c>
      <c r="Z649" s="1852" t="s">
        <v>2342</v>
      </c>
      <c r="AA649" s="1824"/>
      <c r="AB649" s="1824"/>
      <c r="AC649" s="1824"/>
      <c r="AD649" s="1824"/>
      <c r="AE649" s="1824"/>
      <c r="AF649" s="1824"/>
      <c r="AG649" s="1824"/>
      <c r="AH649" s="1824"/>
      <c r="AI649" s="1824"/>
      <c r="AJ649" s="1824"/>
      <c r="AK649" s="1824"/>
      <c r="AM649" s="75"/>
      <c r="AN649" s="75"/>
      <c r="AO649" s="75"/>
      <c r="AP649" s="75"/>
      <c r="AQ649" s="75"/>
      <c r="AR649" s="75"/>
      <c r="AS649" s="75"/>
      <c r="AT649" s="75"/>
      <c r="AU649" s="75"/>
      <c r="AV649" s="75"/>
      <c r="AW649" s="75"/>
      <c r="AX649" s="75"/>
      <c r="AY649" s="75"/>
      <c r="AZ649" s="75"/>
      <c r="CR649" s="72"/>
      <c r="CS649" s="72"/>
    </row>
    <row r="650" spans="1:97" ht="13.8" thickBot="1">
      <c r="A650" s="46"/>
      <c r="B650" s="16" t="s">
        <v>476</v>
      </c>
      <c r="G650" s="1852" t="s">
        <v>2464</v>
      </c>
      <c r="H650" s="1824"/>
      <c r="I650" s="1824"/>
      <c r="J650" s="1824"/>
      <c r="K650" s="1824"/>
      <c r="L650" s="1824"/>
      <c r="M650" s="1824"/>
      <c r="N650" s="1824"/>
      <c r="O650" s="1824"/>
      <c r="P650" s="1824"/>
      <c r="Q650" s="1824"/>
      <c r="R650" s="1824"/>
      <c r="S650" s="102"/>
      <c r="T650" s="46"/>
      <c r="U650" s="16" t="s">
        <v>476</v>
      </c>
      <c r="Z650" s="1852" t="s">
        <v>2418</v>
      </c>
      <c r="AA650" s="1824"/>
      <c r="AB650" s="1824"/>
      <c r="AC650" s="1824"/>
      <c r="AD650" s="1824"/>
      <c r="AE650" s="1824"/>
      <c r="AF650" s="1824"/>
      <c r="AG650" s="1824"/>
      <c r="AH650" s="1824"/>
      <c r="AI650" s="1824"/>
      <c r="AJ650" s="1824"/>
      <c r="AK650" s="1824"/>
      <c r="AM650" s="75"/>
      <c r="AN650" s="75"/>
      <c r="AO650" s="75"/>
      <c r="AP650" s="75"/>
      <c r="AQ650" s="75"/>
      <c r="AR650" s="75"/>
      <c r="AS650" s="75"/>
      <c r="AT650" s="75"/>
      <c r="AU650" s="75"/>
      <c r="AV650" s="75"/>
      <c r="AW650" s="75"/>
      <c r="AX650" s="75"/>
      <c r="AY650" s="75"/>
      <c r="AZ650" s="75"/>
      <c r="CP650" s="1351" t="s">
        <v>1891</v>
      </c>
      <c r="CQ650" s="715">
        <f>CQ648+CQ629</f>
        <v>166</v>
      </c>
      <c r="CR650" s="72"/>
      <c r="CS650" s="72"/>
    </row>
    <row r="651" spans="1:97" ht="13.2">
      <c r="A651" s="46"/>
      <c r="B651" s="16" t="s">
        <v>907</v>
      </c>
      <c r="G651" s="1852" t="s">
        <v>2465</v>
      </c>
      <c r="H651" s="1824"/>
      <c r="I651" s="1824"/>
      <c r="J651" s="1824"/>
      <c r="K651" s="1824"/>
      <c r="L651" s="1824"/>
      <c r="M651" s="1824"/>
      <c r="N651" s="1824"/>
      <c r="O651" s="1824"/>
      <c r="P651" s="1824"/>
      <c r="Q651" s="1824"/>
      <c r="R651" s="1824"/>
      <c r="S651" s="18"/>
      <c r="T651" s="46"/>
      <c r="U651" s="16" t="s">
        <v>907</v>
      </c>
      <c r="Z651" s="1852" t="s">
        <v>2419</v>
      </c>
      <c r="AA651" s="1824"/>
      <c r="AB651" s="1824"/>
      <c r="AC651" s="1824"/>
      <c r="AD651" s="1824"/>
      <c r="AE651" s="1824"/>
      <c r="AF651" s="1824"/>
      <c r="AG651" s="1824"/>
      <c r="AH651" s="1824"/>
      <c r="AI651" s="1824"/>
      <c r="AJ651" s="1824"/>
      <c r="AK651" s="1824"/>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712</v>
      </c>
      <c r="G652" s="1827" t="s">
        <v>2466</v>
      </c>
      <c r="H652" s="1853"/>
      <c r="I652" s="1853"/>
      <c r="J652" s="1853"/>
      <c r="K652" s="1853"/>
      <c r="L652" s="1853"/>
      <c r="O652" s="149" t="s">
        <v>892</v>
      </c>
      <c r="P652" s="1823"/>
      <c r="Q652" s="1823"/>
      <c r="R652" s="1823"/>
      <c r="S652" s="20"/>
      <c r="T652" s="46"/>
      <c r="U652" s="16" t="s">
        <v>712</v>
      </c>
      <c r="Z652" s="1827" t="s">
        <v>2420</v>
      </c>
      <c r="AA652" s="1827"/>
      <c r="AB652" s="1827"/>
      <c r="AC652" s="1827"/>
      <c r="AD652" s="1827"/>
      <c r="AE652" s="1827"/>
      <c r="AH652" s="149" t="s">
        <v>892</v>
      </c>
      <c r="AI652" s="1823">
        <v>3178</v>
      </c>
      <c r="AJ652" s="1823"/>
      <c r="AK652" s="1823"/>
      <c r="AM652" s="75"/>
      <c r="AN652" s="75"/>
      <c r="AO652" s="75"/>
      <c r="AP652" s="75"/>
      <c r="AQ652" s="75"/>
      <c r="AR652" s="75"/>
      <c r="AS652" s="75"/>
      <c r="AT652" s="75"/>
      <c r="AU652" s="75"/>
      <c r="AV652" s="75"/>
      <c r="AW652" s="75"/>
      <c r="AX652" s="75"/>
      <c r="AY652" s="75"/>
      <c r="AZ652" s="75"/>
      <c r="BN652" s="1857">
        <f>BN627+BN634+BN646</f>
        <v>0</v>
      </c>
      <c r="BO652" s="1858"/>
      <c r="BP652" s="1858"/>
      <c r="BQ652" s="1858"/>
      <c r="BR652" s="1859"/>
      <c r="BS652" s="1857">
        <f>BS627+BS634+BS646</f>
        <v>46</v>
      </c>
      <c r="BT652" s="1858"/>
      <c r="BU652" s="1858"/>
      <c r="BV652" s="1858"/>
      <c r="BW652" s="1859"/>
      <c r="BX652" s="1857">
        <f>BX627+BX634+BX646</f>
        <v>24</v>
      </c>
      <c r="BY652" s="1858"/>
      <c r="BZ652" s="1858"/>
      <c r="CA652" s="1858"/>
      <c r="CB652" s="1859"/>
      <c r="CC652" s="1857">
        <f>CC627+CC634+CC646</f>
        <v>26</v>
      </c>
      <c r="CD652" s="1858"/>
      <c r="CE652" s="1858"/>
      <c r="CF652" s="1858"/>
      <c r="CG652" s="1859"/>
      <c r="CH652" s="1857">
        <f>CH627+CH634+CH646</f>
        <v>0</v>
      </c>
      <c r="CI652" s="1858"/>
      <c r="CJ652" s="1858"/>
      <c r="CK652" s="1858"/>
      <c r="CL652" s="1859"/>
      <c r="CM652" s="1860">
        <f>CM646+CM634+CM627</f>
        <v>0</v>
      </c>
      <c r="CN652" s="1861"/>
      <c r="CO652" s="1861"/>
      <c r="CP652" s="1861"/>
      <c r="CQ652" s="1862"/>
      <c r="CR652" s="72"/>
      <c r="CS652" s="72"/>
    </row>
    <row r="653" spans="1:97" ht="13.2">
      <c r="A653" s="46"/>
      <c r="B653" s="16" t="s">
        <v>908</v>
      </c>
      <c r="H653" s="1852" t="s">
        <v>2453</v>
      </c>
      <c r="I653" s="1824"/>
      <c r="J653" s="1824"/>
      <c r="K653" s="1824"/>
      <c r="L653" s="1824"/>
      <c r="M653" s="1824"/>
      <c r="N653" s="1824"/>
      <c r="O653" s="1824"/>
      <c r="P653" s="1824"/>
      <c r="Q653" s="1824"/>
      <c r="R653" s="1824"/>
      <c r="S653" s="18"/>
      <c r="T653" s="46"/>
      <c r="U653" s="16" t="s">
        <v>908</v>
      </c>
      <c r="AA653" s="1824" t="s">
        <v>2453</v>
      </c>
      <c r="AB653" s="1824"/>
      <c r="AC653" s="1824"/>
      <c r="AD653" s="1824"/>
      <c r="AE653" s="1824"/>
      <c r="AF653" s="1824"/>
      <c r="AG653" s="1824"/>
      <c r="AH653" s="1824"/>
      <c r="AI653" s="1824"/>
      <c r="AJ653" s="1824"/>
      <c r="AK653" s="1824"/>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910</v>
      </c>
      <c r="N654" s="1826" t="s">
        <v>119</v>
      </c>
      <c r="O654" s="1826"/>
      <c r="T654" s="46"/>
      <c r="U654" s="16" t="s">
        <v>910</v>
      </c>
      <c r="AG654" s="1826" t="s">
        <v>119</v>
      </c>
      <c r="AH654" s="182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990</v>
      </c>
      <c r="B656" s="16" t="s">
        <v>93</v>
      </c>
      <c r="G656" s="1828" t="str">
        <f>C634</f>
        <v>City of San Marcos Accrued Interest</v>
      </c>
      <c r="H656" s="1828"/>
      <c r="I656" s="1828"/>
      <c r="J656" s="1828"/>
      <c r="K656" s="1828"/>
      <c r="L656" s="1828"/>
      <c r="M656" s="1828"/>
      <c r="N656" s="1828"/>
      <c r="O656" s="1828"/>
      <c r="P656" s="1828"/>
      <c r="Q656" s="1828"/>
      <c r="R656" s="1828"/>
      <c r="T656" s="101" t="s">
        <v>477</v>
      </c>
      <c r="U656" s="16" t="s">
        <v>93</v>
      </c>
      <c r="Z656" s="1828" t="str">
        <f>C635</f>
        <v>City of San Marcos Predevelopment</v>
      </c>
      <c r="AA656" s="1828"/>
      <c r="AB656" s="1828"/>
      <c r="AC656" s="1828"/>
      <c r="AD656" s="1828"/>
      <c r="AE656" s="1828"/>
      <c r="AF656" s="1828"/>
      <c r="AG656" s="1828"/>
      <c r="AH656" s="1828"/>
      <c r="AI656" s="1828"/>
      <c r="AJ656" s="1828"/>
      <c r="AK656" s="1828"/>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413</v>
      </c>
      <c r="G657" s="1852" t="s">
        <v>2342</v>
      </c>
      <c r="H657" s="1824"/>
      <c r="I657" s="1824"/>
      <c r="J657" s="1824"/>
      <c r="K657" s="1824"/>
      <c r="L657" s="1824"/>
      <c r="M657" s="1824"/>
      <c r="N657" s="1824"/>
      <c r="O657" s="1824"/>
      <c r="P657" s="1824"/>
      <c r="Q657" s="1824"/>
      <c r="R657" s="1824"/>
      <c r="T657" s="46"/>
      <c r="U657" s="16" t="s">
        <v>413</v>
      </c>
      <c r="Z657" s="1852" t="s">
        <v>2342</v>
      </c>
      <c r="AA657" s="1824"/>
      <c r="AB657" s="1824"/>
      <c r="AC657" s="1824"/>
      <c r="AD657" s="1824"/>
      <c r="AE657" s="1824"/>
      <c r="AF657" s="1824"/>
      <c r="AG657" s="1824"/>
      <c r="AH657" s="1824"/>
      <c r="AI657" s="1824"/>
      <c r="AJ657" s="1824"/>
      <c r="AK657" s="182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476</v>
      </c>
      <c r="G658" s="1852" t="s">
        <v>2418</v>
      </c>
      <c r="H658" s="1824"/>
      <c r="I658" s="1824"/>
      <c r="J658" s="1824"/>
      <c r="K658" s="1824"/>
      <c r="L658" s="1824"/>
      <c r="M658" s="1824"/>
      <c r="N658" s="1824"/>
      <c r="O658" s="1824"/>
      <c r="P658" s="1824"/>
      <c r="Q658" s="1824"/>
      <c r="R658" s="1824"/>
      <c r="T658" s="46"/>
      <c r="U658" s="16" t="s">
        <v>476</v>
      </c>
      <c r="Z658" s="1852" t="s">
        <v>2418</v>
      </c>
      <c r="AA658" s="1824"/>
      <c r="AB658" s="1824"/>
      <c r="AC658" s="1824"/>
      <c r="AD658" s="1824"/>
      <c r="AE658" s="1824"/>
      <c r="AF658" s="1824"/>
      <c r="AG658" s="1824"/>
      <c r="AH658" s="1824"/>
      <c r="AI658" s="1824"/>
      <c r="AJ658" s="1824"/>
      <c r="AK658" s="182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907</v>
      </c>
      <c r="G659" s="1852" t="s">
        <v>2419</v>
      </c>
      <c r="H659" s="1824"/>
      <c r="I659" s="1824"/>
      <c r="J659" s="1824"/>
      <c r="K659" s="1824"/>
      <c r="L659" s="1824"/>
      <c r="M659" s="1824"/>
      <c r="N659" s="1824"/>
      <c r="O659" s="1824"/>
      <c r="P659" s="1824"/>
      <c r="Q659" s="1824"/>
      <c r="R659" s="1824"/>
      <c r="T659" s="46"/>
      <c r="U659" s="16" t="s">
        <v>907</v>
      </c>
      <c r="Z659" s="1852" t="s">
        <v>2419</v>
      </c>
      <c r="AA659" s="1824"/>
      <c r="AB659" s="1824"/>
      <c r="AC659" s="1824"/>
      <c r="AD659" s="1824"/>
      <c r="AE659" s="1824"/>
      <c r="AF659" s="1824"/>
      <c r="AG659" s="1824"/>
      <c r="AH659" s="1824"/>
      <c r="AI659" s="1824"/>
      <c r="AJ659" s="1824"/>
      <c r="AK659" s="182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712</v>
      </c>
      <c r="G660" s="1827" t="s">
        <v>2420</v>
      </c>
      <c r="H660" s="1827"/>
      <c r="I660" s="1827"/>
      <c r="J660" s="1827"/>
      <c r="K660" s="1827"/>
      <c r="L660" s="1827"/>
      <c r="O660" s="149" t="s">
        <v>892</v>
      </c>
      <c r="P660" s="1823">
        <v>3178</v>
      </c>
      <c r="Q660" s="1823"/>
      <c r="R660" s="1823"/>
      <c r="T660" s="46"/>
      <c r="U660" s="16" t="s">
        <v>712</v>
      </c>
      <c r="Z660" s="1827" t="s">
        <v>2420</v>
      </c>
      <c r="AA660" s="1827"/>
      <c r="AB660" s="1827"/>
      <c r="AC660" s="1827"/>
      <c r="AD660" s="1827"/>
      <c r="AE660" s="1827"/>
      <c r="AH660" s="149" t="s">
        <v>892</v>
      </c>
      <c r="AI660" s="1823">
        <v>3178</v>
      </c>
      <c r="AJ660" s="1823"/>
      <c r="AK660" s="1823"/>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824" t="s">
        <v>2453</v>
      </c>
      <c r="I661" s="1824"/>
      <c r="J661" s="1824"/>
      <c r="K661" s="1824"/>
      <c r="L661" s="1824"/>
      <c r="M661" s="1824"/>
      <c r="N661" s="1824"/>
      <c r="O661" s="1824"/>
      <c r="P661" s="1824"/>
      <c r="Q661" s="1824"/>
      <c r="R661" s="1824"/>
      <c r="T661" s="46"/>
      <c r="U661" s="16" t="s">
        <v>908</v>
      </c>
      <c r="AA661" s="1824" t="s">
        <v>2453</v>
      </c>
      <c r="AB661" s="1824"/>
      <c r="AC661" s="1824"/>
      <c r="AD661" s="1824"/>
      <c r="AE661" s="1824"/>
      <c r="AF661" s="1824"/>
      <c r="AG661" s="1824"/>
      <c r="AH661" s="1824"/>
      <c r="AI661" s="1824"/>
      <c r="AJ661" s="1824"/>
      <c r="AK661" s="1824"/>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910</v>
      </c>
      <c r="N662" s="1826" t="s">
        <v>119</v>
      </c>
      <c r="O662" s="1826"/>
      <c r="T662" s="46"/>
      <c r="U662" s="16" t="s">
        <v>910</v>
      </c>
      <c r="AG662" s="1826" t="s">
        <v>119</v>
      </c>
      <c r="AH662" s="1826"/>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8" t="str">
        <f>C636</f>
        <v>City of San Marcos Loan</v>
      </c>
      <c r="H664" s="1828"/>
      <c r="I664" s="1828"/>
      <c r="J664" s="1828"/>
      <c r="K664" s="1828"/>
      <c r="L664" s="1828"/>
      <c r="M664" s="1828"/>
      <c r="N664" s="1828"/>
      <c r="O664" s="1828"/>
      <c r="P664" s="1828"/>
      <c r="Q664" s="1828"/>
      <c r="R664" s="1828"/>
      <c r="T664" s="101" t="s">
        <v>480</v>
      </c>
      <c r="U664" s="16" t="s">
        <v>93</v>
      </c>
      <c r="Z664" s="1828" t="str">
        <f>C637</f>
        <v>County of San Diego - HOME</v>
      </c>
      <c r="AA664" s="1828"/>
      <c r="AB664" s="1828"/>
      <c r="AC664" s="1828"/>
      <c r="AD664" s="1828"/>
      <c r="AE664" s="1828"/>
      <c r="AF664" s="1828"/>
      <c r="AG664" s="1828"/>
      <c r="AH664" s="1828"/>
      <c r="AI664" s="1828"/>
      <c r="AJ664" s="1828"/>
      <c r="AK664" s="182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413</v>
      </c>
      <c r="G665" s="1852" t="s">
        <v>2342</v>
      </c>
      <c r="H665" s="1824"/>
      <c r="I665" s="1824"/>
      <c r="J665" s="1824"/>
      <c r="K665" s="1824"/>
      <c r="L665" s="1824"/>
      <c r="M665" s="1824"/>
      <c r="N665" s="1824"/>
      <c r="O665" s="1824"/>
      <c r="P665" s="1824"/>
      <c r="Q665" s="1824"/>
      <c r="R665" s="1824"/>
      <c r="T665" s="46"/>
      <c r="U665" s="16" t="s">
        <v>413</v>
      </c>
      <c r="Z665" s="1852" t="s">
        <v>2405</v>
      </c>
      <c r="AA665" s="1824"/>
      <c r="AB665" s="1824"/>
      <c r="AC665" s="1824"/>
      <c r="AD665" s="1824"/>
      <c r="AE665" s="1824"/>
      <c r="AF665" s="1824"/>
      <c r="AG665" s="1824"/>
      <c r="AH665" s="1824"/>
      <c r="AI665" s="1824"/>
      <c r="AJ665" s="1824"/>
      <c r="AK665" s="1824"/>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476</v>
      </c>
      <c r="G666" s="1852" t="s">
        <v>2418</v>
      </c>
      <c r="H666" s="1824"/>
      <c r="I666" s="1824"/>
      <c r="J666" s="1824"/>
      <c r="K666" s="1824"/>
      <c r="L666" s="1824"/>
      <c r="M666" s="1824"/>
      <c r="N666" s="1824"/>
      <c r="O666" s="1824"/>
      <c r="P666" s="1824"/>
      <c r="Q666" s="1824"/>
      <c r="R666" s="1824"/>
      <c r="T666" s="46"/>
      <c r="U666" s="16" t="s">
        <v>476</v>
      </c>
      <c r="Z666" s="1833" t="s">
        <v>2406</v>
      </c>
      <c r="AA666" s="1825"/>
      <c r="AB666" s="1825"/>
      <c r="AC666" s="1825"/>
      <c r="AD666" s="1825"/>
      <c r="AE666" s="1825"/>
      <c r="AF666" s="1825"/>
      <c r="AG666" s="1825"/>
      <c r="AH666" s="1825"/>
      <c r="AI666" s="1825"/>
      <c r="AJ666" s="1825"/>
      <c r="AK666" s="182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907</v>
      </c>
      <c r="G667" s="1852" t="s">
        <v>2419</v>
      </c>
      <c r="H667" s="1824"/>
      <c r="I667" s="1824"/>
      <c r="J667" s="1824"/>
      <c r="K667" s="1824"/>
      <c r="L667" s="1824"/>
      <c r="M667" s="1824"/>
      <c r="N667" s="1824"/>
      <c r="O667" s="1824"/>
      <c r="P667" s="1824"/>
      <c r="Q667" s="1824"/>
      <c r="R667" s="1824"/>
      <c r="T667" s="46"/>
      <c r="U667" s="16" t="s">
        <v>907</v>
      </c>
      <c r="Z667" s="1833" t="s">
        <v>2407</v>
      </c>
      <c r="AA667" s="1825"/>
      <c r="AB667" s="1825"/>
      <c r="AC667" s="1825"/>
      <c r="AD667" s="1825"/>
      <c r="AE667" s="1825"/>
      <c r="AF667" s="1825"/>
      <c r="AG667" s="1825"/>
      <c r="AH667" s="1825"/>
      <c r="AI667" s="1825"/>
      <c r="AJ667" s="1825"/>
      <c r="AK667" s="182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712</v>
      </c>
      <c r="G668" s="1827" t="s">
        <v>2420</v>
      </c>
      <c r="H668" s="1827"/>
      <c r="I668" s="1827"/>
      <c r="J668" s="1827"/>
      <c r="K668" s="1827"/>
      <c r="L668" s="1827"/>
      <c r="O668" s="149" t="s">
        <v>892</v>
      </c>
      <c r="P668" s="1823">
        <v>3178</v>
      </c>
      <c r="Q668" s="1823"/>
      <c r="R668" s="1823"/>
      <c r="T668" s="46"/>
      <c r="U668" s="16" t="s">
        <v>712</v>
      </c>
      <c r="Z668" s="1827" t="s">
        <v>2408</v>
      </c>
      <c r="AA668" s="1827"/>
      <c r="AB668" s="1827"/>
      <c r="AC668" s="1827"/>
      <c r="AD668" s="1827"/>
      <c r="AE668" s="1827"/>
      <c r="AH668" s="149" t="s">
        <v>892</v>
      </c>
      <c r="AI668" s="1833" t="s">
        <v>2348</v>
      </c>
      <c r="AJ668" s="1823"/>
      <c r="AK668" s="182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908</v>
      </c>
      <c r="H669" s="1824" t="s">
        <v>2453</v>
      </c>
      <c r="I669" s="1824"/>
      <c r="J669" s="1824"/>
      <c r="K669" s="1824"/>
      <c r="L669" s="1824"/>
      <c r="M669" s="1824"/>
      <c r="N669" s="1824"/>
      <c r="O669" s="1824"/>
      <c r="P669" s="1824"/>
      <c r="Q669" s="1824"/>
      <c r="R669" s="1824"/>
      <c r="T669" s="46"/>
      <c r="U669" s="16" t="s">
        <v>908</v>
      </c>
      <c r="AA669" s="1824" t="s">
        <v>2453</v>
      </c>
      <c r="AB669" s="1824"/>
      <c r="AC669" s="1824"/>
      <c r="AD669" s="1824"/>
      <c r="AE669" s="1824"/>
      <c r="AF669" s="1824"/>
      <c r="AG669" s="1824"/>
      <c r="AH669" s="1824"/>
      <c r="AI669" s="1824"/>
      <c r="AJ669" s="1824"/>
      <c r="AK669" s="1824"/>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910</v>
      </c>
      <c r="N670" s="1826" t="s">
        <v>119</v>
      </c>
      <c r="O670" s="1826"/>
      <c r="T670" s="46"/>
      <c r="U670" s="16" t="s">
        <v>910</v>
      </c>
      <c r="AG670" s="1826" t="s">
        <v>119</v>
      </c>
      <c r="AH670" s="1826"/>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8">
        <f>C638</f>
        <v>0</v>
      </c>
      <c r="H672" s="1828"/>
      <c r="I672" s="1828"/>
      <c r="J672" s="1828"/>
      <c r="K672" s="1828"/>
      <c r="L672" s="1828"/>
      <c r="M672" s="1828"/>
      <c r="N672" s="1828"/>
      <c r="O672" s="1828"/>
      <c r="P672" s="1828"/>
      <c r="Q672" s="1828"/>
      <c r="R672" s="1828"/>
      <c r="T672" s="101" t="s">
        <v>806</v>
      </c>
      <c r="U672" s="16" t="s">
        <v>93</v>
      </c>
      <c r="Z672" s="1828">
        <f>C639</f>
        <v>0</v>
      </c>
      <c r="AA672" s="1828"/>
      <c r="AB672" s="1828"/>
      <c r="AC672" s="1828"/>
      <c r="AD672" s="1828"/>
      <c r="AE672" s="1828"/>
      <c r="AF672" s="1828"/>
      <c r="AG672" s="1828"/>
      <c r="AH672" s="1828"/>
      <c r="AI672" s="1828"/>
      <c r="AJ672" s="1828"/>
      <c r="AK672" s="182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413</v>
      </c>
      <c r="G673" s="1824"/>
      <c r="H673" s="1824"/>
      <c r="I673" s="1824"/>
      <c r="J673" s="1824"/>
      <c r="K673" s="1824"/>
      <c r="L673" s="1824"/>
      <c r="M673" s="1824"/>
      <c r="N673" s="1824"/>
      <c r="O673" s="1824"/>
      <c r="P673" s="1824"/>
      <c r="Q673" s="1824"/>
      <c r="R673" s="1824"/>
      <c r="T673" s="46"/>
      <c r="U673" s="16" t="s">
        <v>413</v>
      </c>
      <c r="Z673" s="1824"/>
      <c r="AA673" s="1824"/>
      <c r="AB673" s="1824"/>
      <c r="AC673" s="1824"/>
      <c r="AD673" s="1824"/>
      <c r="AE673" s="1824"/>
      <c r="AF673" s="1824"/>
      <c r="AG673" s="1824"/>
      <c r="AH673" s="1824"/>
      <c r="AI673" s="1824"/>
      <c r="AJ673" s="1824"/>
      <c r="AK673" s="182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476</v>
      </c>
      <c r="G674" s="1824"/>
      <c r="H674" s="1824"/>
      <c r="I674" s="1824"/>
      <c r="J674" s="1824"/>
      <c r="K674" s="1824"/>
      <c r="L674" s="1824"/>
      <c r="M674" s="1824"/>
      <c r="N674" s="1824"/>
      <c r="O674" s="1824"/>
      <c r="P674" s="1824"/>
      <c r="Q674" s="1824"/>
      <c r="R674" s="1824"/>
      <c r="T674" s="46"/>
      <c r="U674" s="16" t="s">
        <v>476</v>
      </c>
      <c r="Z674" s="1825"/>
      <c r="AA674" s="1825"/>
      <c r="AB674" s="1825"/>
      <c r="AC674" s="1825"/>
      <c r="AD674" s="1825"/>
      <c r="AE674" s="1825"/>
      <c r="AF674" s="1825"/>
      <c r="AG674" s="1825"/>
      <c r="AH674" s="1825"/>
      <c r="AI674" s="1825"/>
      <c r="AJ674" s="1825"/>
      <c r="AK674" s="182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907</v>
      </c>
      <c r="G675" s="1824"/>
      <c r="H675" s="1824"/>
      <c r="I675" s="1824"/>
      <c r="J675" s="1824"/>
      <c r="K675" s="1824"/>
      <c r="L675" s="1824"/>
      <c r="M675" s="1824"/>
      <c r="N675" s="1824"/>
      <c r="O675" s="1824"/>
      <c r="P675" s="1824"/>
      <c r="Q675" s="1824"/>
      <c r="R675" s="1824"/>
      <c r="T675" s="46"/>
      <c r="U675" s="16" t="s">
        <v>907</v>
      </c>
      <c r="Z675" s="1825"/>
      <c r="AA675" s="1825"/>
      <c r="AB675" s="1825"/>
      <c r="AC675" s="1825"/>
      <c r="AD675" s="1825"/>
      <c r="AE675" s="1825"/>
      <c r="AF675" s="1825"/>
      <c r="AG675" s="1825"/>
      <c r="AH675" s="1825"/>
      <c r="AI675" s="1825"/>
      <c r="AJ675" s="1825"/>
      <c r="AK675" s="182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712</v>
      </c>
      <c r="G676" s="1853"/>
      <c r="H676" s="1853"/>
      <c r="I676" s="1853"/>
      <c r="J676" s="1853"/>
      <c r="K676" s="1853"/>
      <c r="L676" s="1853"/>
      <c r="O676" s="149" t="s">
        <v>892</v>
      </c>
      <c r="P676" s="1823"/>
      <c r="Q676" s="1823"/>
      <c r="R676" s="1823"/>
      <c r="T676" s="46"/>
      <c r="U676" s="16" t="s">
        <v>712</v>
      </c>
      <c r="Z676" s="1853"/>
      <c r="AA676" s="1853"/>
      <c r="AB676" s="1853"/>
      <c r="AC676" s="1853"/>
      <c r="AD676" s="1853"/>
      <c r="AE676" s="1853"/>
      <c r="AH676" s="149" t="s">
        <v>892</v>
      </c>
      <c r="AI676" s="1823"/>
      <c r="AJ676" s="1823"/>
      <c r="AK676" s="182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908</v>
      </c>
      <c r="H677" s="1824"/>
      <c r="I677" s="1824"/>
      <c r="J677" s="1824"/>
      <c r="K677" s="1824"/>
      <c r="L677" s="1824"/>
      <c r="M677" s="1824"/>
      <c r="N677" s="1824"/>
      <c r="O677" s="1824"/>
      <c r="P677" s="1824"/>
      <c r="Q677" s="1824"/>
      <c r="R677" s="1824"/>
      <c r="T677" s="46"/>
      <c r="U677" s="16" t="s">
        <v>908</v>
      </c>
      <c r="AA677" s="1824"/>
      <c r="AB677" s="1824"/>
      <c r="AC677" s="1824"/>
      <c r="AD677" s="1824"/>
      <c r="AE677" s="1824"/>
      <c r="AF677" s="1824"/>
      <c r="AG677" s="1824"/>
      <c r="AH677" s="1824"/>
      <c r="AI677" s="1824"/>
      <c r="AJ677" s="1824"/>
      <c r="AK677" s="1824"/>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910</v>
      </c>
      <c r="N678" s="1826" t="s">
        <v>528</v>
      </c>
      <c r="O678" s="1826"/>
      <c r="T678" s="46"/>
      <c r="U678" s="16" t="s">
        <v>910</v>
      </c>
      <c r="AG678" s="1826" t="s">
        <v>528</v>
      </c>
      <c r="AH678" s="182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8">
        <f>C640</f>
        <v>0</v>
      </c>
      <c r="H680" s="1828"/>
      <c r="I680" s="1828"/>
      <c r="J680" s="1828"/>
      <c r="K680" s="1828"/>
      <c r="L680" s="1828"/>
      <c r="M680" s="1828"/>
      <c r="N680" s="1828"/>
      <c r="O680" s="1828"/>
      <c r="P680" s="1828"/>
      <c r="Q680" s="1828"/>
      <c r="R680" s="1828"/>
      <c r="T680" s="101" t="s">
        <v>190</v>
      </c>
      <c r="U680" s="16" t="s">
        <v>93</v>
      </c>
      <c r="Z680" s="1828">
        <f>C641</f>
        <v>0</v>
      </c>
      <c r="AA680" s="1828"/>
      <c r="AB680" s="1828"/>
      <c r="AC680" s="1828"/>
      <c r="AD680" s="1828"/>
      <c r="AE680" s="1828"/>
      <c r="AF680" s="1828"/>
      <c r="AG680" s="1828"/>
      <c r="AH680" s="1828"/>
      <c r="AI680" s="1828"/>
      <c r="AJ680" s="1828"/>
      <c r="AK680" s="1828"/>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824"/>
      <c r="H681" s="1824"/>
      <c r="I681" s="1824"/>
      <c r="J681" s="1824"/>
      <c r="K681" s="1824"/>
      <c r="L681" s="1824"/>
      <c r="M681" s="1824"/>
      <c r="N681" s="1824"/>
      <c r="O681" s="1824"/>
      <c r="P681" s="1824"/>
      <c r="Q681" s="1824"/>
      <c r="R681" s="1824"/>
      <c r="T681" s="46"/>
      <c r="U681" s="16" t="s">
        <v>413</v>
      </c>
      <c r="Z681" s="1824"/>
      <c r="AA681" s="1824"/>
      <c r="AB681" s="1824"/>
      <c r="AC681" s="1824"/>
      <c r="AD681" s="1824"/>
      <c r="AE681" s="1824"/>
      <c r="AF681" s="1824"/>
      <c r="AG681" s="1824"/>
      <c r="AH681" s="1824"/>
      <c r="AI681" s="1824"/>
      <c r="AJ681" s="1824"/>
      <c r="AK681" s="1824"/>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824"/>
      <c r="H682" s="1824"/>
      <c r="I682" s="1824"/>
      <c r="J682" s="1824"/>
      <c r="K682" s="1824"/>
      <c r="L682" s="1824"/>
      <c r="M682" s="1824"/>
      <c r="N682" s="1824"/>
      <c r="O682" s="1824"/>
      <c r="P682" s="1824"/>
      <c r="Q682" s="1824"/>
      <c r="R682" s="1824"/>
      <c r="T682" s="46"/>
      <c r="U682" s="16" t="s">
        <v>476</v>
      </c>
      <c r="Z682" s="1825"/>
      <c r="AA682" s="1825"/>
      <c r="AB682" s="1825"/>
      <c r="AC682" s="1825"/>
      <c r="AD682" s="1825"/>
      <c r="AE682" s="1825"/>
      <c r="AF682" s="1825"/>
      <c r="AG682" s="1825"/>
      <c r="AH682" s="1825"/>
      <c r="AI682" s="1825"/>
      <c r="AJ682" s="1825"/>
      <c r="AK682" s="182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824"/>
      <c r="H683" s="1824"/>
      <c r="I683" s="1824"/>
      <c r="J683" s="1824"/>
      <c r="K683" s="1824"/>
      <c r="L683" s="1824"/>
      <c r="M683" s="1824"/>
      <c r="N683" s="1824"/>
      <c r="O683" s="1824"/>
      <c r="P683" s="1824"/>
      <c r="Q683" s="1824"/>
      <c r="R683" s="1824"/>
      <c r="T683" s="46"/>
      <c r="U683" s="16" t="s">
        <v>907</v>
      </c>
      <c r="Z683" s="1825"/>
      <c r="AA683" s="1825"/>
      <c r="AB683" s="1825"/>
      <c r="AC683" s="1825"/>
      <c r="AD683" s="1825"/>
      <c r="AE683" s="1825"/>
      <c r="AF683" s="1825"/>
      <c r="AG683" s="1825"/>
      <c r="AH683" s="1825"/>
      <c r="AI683" s="1825"/>
      <c r="AJ683" s="1825"/>
      <c r="AK683" s="182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853"/>
      <c r="H684" s="1853"/>
      <c r="I684" s="1853"/>
      <c r="J684" s="1853"/>
      <c r="K684" s="1853"/>
      <c r="L684" s="1853"/>
      <c r="O684" s="149" t="s">
        <v>892</v>
      </c>
      <c r="P684" s="1823"/>
      <c r="Q684" s="1823"/>
      <c r="R684" s="1823"/>
      <c r="T684" s="46"/>
      <c r="U684" s="16" t="s">
        <v>712</v>
      </c>
      <c r="Z684" s="1853"/>
      <c r="AA684" s="1853"/>
      <c r="AB684" s="1853"/>
      <c r="AC684" s="1853"/>
      <c r="AD684" s="1853"/>
      <c r="AE684" s="1853"/>
      <c r="AH684" s="149" t="s">
        <v>892</v>
      </c>
      <c r="AI684" s="1823"/>
      <c r="AJ684" s="1823"/>
      <c r="AK684" s="182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908</v>
      </c>
      <c r="H685" s="1824"/>
      <c r="I685" s="1824"/>
      <c r="J685" s="1824"/>
      <c r="K685" s="1824"/>
      <c r="L685" s="1824"/>
      <c r="M685" s="1824"/>
      <c r="N685" s="1824"/>
      <c r="O685" s="1824"/>
      <c r="P685" s="1824"/>
      <c r="Q685" s="1824"/>
      <c r="R685" s="1824"/>
      <c r="T685" s="46"/>
      <c r="U685" s="16" t="s">
        <v>908</v>
      </c>
      <c r="AA685" s="1824"/>
      <c r="AB685" s="1824"/>
      <c r="AC685" s="1824"/>
      <c r="AD685" s="1824"/>
      <c r="AE685" s="1824"/>
      <c r="AF685" s="1824"/>
      <c r="AG685" s="1824"/>
      <c r="AH685" s="1824"/>
      <c r="AI685" s="1824"/>
      <c r="AJ685" s="1824"/>
      <c r="AK685" s="1824"/>
      <c r="AM685" s="75"/>
      <c r="BA685" s="75"/>
      <c r="BB685" s="75"/>
      <c r="BC685" s="75"/>
      <c r="BD685" s="75"/>
      <c r="BE685" s="75"/>
      <c r="BF685" s="75"/>
      <c r="BG685" s="75"/>
      <c r="BH685" s="75"/>
      <c r="BI685" s="75"/>
      <c r="BJ685" s="75"/>
      <c r="BK685" s="75"/>
      <c r="BL685" s="75"/>
      <c r="BM685" s="72"/>
      <c r="BN685" s="72"/>
      <c r="BO685" s="72"/>
      <c r="BP685" s="702" t="s">
        <v>2334</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826" t="s">
        <v>528</v>
      </c>
      <c r="O686" s="1826"/>
      <c r="T686" s="46"/>
      <c r="U686" s="16" t="s">
        <v>910</v>
      </c>
      <c r="AG686" s="1826" t="s">
        <v>528</v>
      </c>
      <c r="AH686" s="1826"/>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828">
        <f>C642</f>
        <v>0</v>
      </c>
      <c r="H688" s="1828"/>
      <c r="I688" s="1828"/>
      <c r="J688" s="1828"/>
      <c r="K688" s="1828"/>
      <c r="L688" s="1828"/>
      <c r="M688" s="1828"/>
      <c r="N688" s="1828"/>
      <c r="O688" s="1828"/>
      <c r="P688" s="1828"/>
      <c r="Q688" s="1828"/>
      <c r="R688" s="1828"/>
      <c r="T688" s="101" t="s">
        <v>38</v>
      </c>
      <c r="U688" s="16" t="s">
        <v>93</v>
      </c>
      <c r="Z688" s="1828">
        <f>C643</f>
        <v>0</v>
      </c>
      <c r="AA688" s="1828"/>
      <c r="AB688" s="1828"/>
      <c r="AC688" s="1828"/>
      <c r="AD688" s="1828"/>
      <c r="AE688" s="1828"/>
      <c r="AF688" s="1828"/>
      <c r="AG688" s="1828"/>
      <c r="AH688" s="1828"/>
      <c r="AI688" s="1828"/>
      <c r="AJ688" s="1828"/>
      <c r="AK688" s="1828"/>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413</v>
      </c>
      <c r="G689" s="1824"/>
      <c r="H689" s="1824"/>
      <c r="I689" s="1824"/>
      <c r="J689" s="1824"/>
      <c r="K689" s="1824"/>
      <c r="L689" s="1824"/>
      <c r="M689" s="1824"/>
      <c r="N689" s="1824"/>
      <c r="O689" s="1824"/>
      <c r="P689" s="1824"/>
      <c r="Q689" s="1824"/>
      <c r="R689" s="1824"/>
      <c r="T689" s="46"/>
      <c r="U689" s="16" t="s">
        <v>413</v>
      </c>
      <c r="Z689" s="1824"/>
      <c r="AA689" s="1824"/>
      <c r="AB689" s="1824"/>
      <c r="AC689" s="1824"/>
      <c r="AD689" s="1824"/>
      <c r="AE689" s="1824"/>
      <c r="AF689" s="1824"/>
      <c r="AG689" s="1824"/>
      <c r="AH689" s="1824"/>
      <c r="AI689" s="1824"/>
      <c r="AJ689" s="1824"/>
      <c r="AK689" s="1824"/>
      <c r="AM689" s="75"/>
      <c r="BA689" s="75">
        <f>IF($G706=0,"N/A",VLOOKUP($T$189,TC_Rent,(MATCH($B706,bedrooms,FALSE))))</f>
        <v>2440</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476</v>
      </c>
      <c r="G690" s="1824"/>
      <c r="H690" s="1824"/>
      <c r="I690" s="1824"/>
      <c r="J690" s="1824"/>
      <c r="K690" s="1824"/>
      <c r="L690" s="1824"/>
      <c r="M690" s="1824"/>
      <c r="N690" s="1824"/>
      <c r="O690" s="1824"/>
      <c r="P690" s="1824"/>
      <c r="Q690" s="1824"/>
      <c r="R690" s="1824"/>
      <c r="U690" s="16" t="s">
        <v>476</v>
      </c>
      <c r="Z690" s="1825"/>
      <c r="AA690" s="1825"/>
      <c r="AB690" s="1825"/>
      <c r="AC690" s="1825"/>
      <c r="AD690" s="1825"/>
      <c r="AE690" s="1825"/>
      <c r="AF690" s="1825"/>
      <c r="AG690" s="1825"/>
      <c r="AH690" s="1825"/>
      <c r="AI690" s="1825"/>
      <c r="AJ690" s="1825"/>
      <c r="AK690" s="1825"/>
      <c r="AM690" s="75"/>
      <c r="BA690" s="75">
        <f t="shared" ref="BA690:BA713" si="22">IF($G707=0,"N/A",VLOOKUP($T$189,TC_Rent,(MATCH($B707,bedrooms,FALSE))))</f>
        <v>2440</v>
      </c>
      <c r="BB690" s="75"/>
      <c r="BC690" s="75"/>
      <c r="BD690" s="75"/>
      <c r="BE690" s="75"/>
      <c r="BF690" s="75"/>
      <c r="BG690" s="681">
        <f>G706</f>
        <v>11</v>
      </c>
      <c r="BH690" s="694">
        <f>BG690/$BG$715</f>
        <v>0.11702127659574468</v>
      </c>
      <c r="BI690" s="696">
        <f>IF(BH690=0," ",BH690*AH706)</f>
        <v>3.5106382978723406E-2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907</v>
      </c>
      <c r="G691" s="1824"/>
      <c r="H691" s="1824"/>
      <c r="I691" s="1824"/>
      <c r="J691" s="1824"/>
      <c r="K691" s="1824"/>
      <c r="L691" s="1824"/>
      <c r="M691" s="1824"/>
      <c r="N691" s="1824"/>
      <c r="O691" s="1824"/>
      <c r="P691" s="1824"/>
      <c r="Q691" s="1824"/>
      <c r="R691" s="1824"/>
      <c r="U691" s="16" t="s">
        <v>907</v>
      </c>
      <c r="Z691" s="1825"/>
      <c r="AA691" s="1825"/>
      <c r="AB691" s="1825"/>
      <c r="AC691" s="1825"/>
      <c r="AD691" s="1825"/>
      <c r="AE691" s="1825"/>
      <c r="AF691" s="1825"/>
      <c r="AG691" s="1825"/>
      <c r="AH691" s="1825"/>
      <c r="AI691" s="1825"/>
      <c r="AJ691" s="1825"/>
      <c r="AK691" s="1825"/>
      <c r="AM691" s="75"/>
      <c r="BA691" s="75">
        <f t="shared" si="22"/>
        <v>2440</v>
      </c>
      <c r="BB691" s="75"/>
      <c r="BC691" s="75"/>
      <c r="BD691" s="75"/>
      <c r="BE691" s="75"/>
      <c r="BF691" s="75"/>
      <c r="BG691" s="682">
        <f t="shared" ref="BG691:BG714" si="23">G707</f>
        <v>6</v>
      </c>
      <c r="BH691" s="694">
        <f t="shared" ref="BH691:BH714" si="24">BG691/$BG$715</f>
        <v>6.3829787234042548E-2</v>
      </c>
      <c r="BI691" s="696">
        <f t="shared" ref="BI691:BI714" si="25">IF(BH691=0," ",BH691*AH707)</f>
        <v>2.553191489361702E-2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853"/>
      <c r="H692" s="1853"/>
      <c r="I692" s="1853"/>
      <c r="J692" s="1853"/>
      <c r="K692" s="1853"/>
      <c r="L692" s="1853"/>
      <c r="O692" s="149" t="s">
        <v>892</v>
      </c>
      <c r="P692" s="1823"/>
      <c r="Q692" s="1823"/>
      <c r="R692" s="1823"/>
      <c r="U692" s="16" t="s">
        <v>712</v>
      </c>
      <c r="Z692" s="1853"/>
      <c r="AA692" s="1853"/>
      <c r="AB692" s="1853"/>
      <c r="AC692" s="1853"/>
      <c r="AD692" s="1853"/>
      <c r="AE692" s="1853"/>
      <c r="AH692" s="149" t="s">
        <v>892</v>
      </c>
      <c r="AI692" s="1823"/>
      <c r="AJ692" s="1823"/>
      <c r="AK692" s="1823"/>
      <c r="AM692" s="75"/>
      <c r="BA692" s="75">
        <f t="shared" si="22"/>
        <v>2440</v>
      </c>
      <c r="BB692" s="72"/>
      <c r="BC692" s="72"/>
      <c r="BD692" s="72"/>
      <c r="BE692" s="72"/>
      <c r="BF692" s="72"/>
      <c r="BG692" s="682">
        <f t="shared" si="23"/>
        <v>3</v>
      </c>
      <c r="BH692" s="694">
        <f t="shared" si="24"/>
        <v>3.1914893617021274E-2</v>
      </c>
      <c r="BI692" s="696">
        <f t="shared" si="25"/>
        <v>1.5957446808510637E-2</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824"/>
      <c r="I693" s="1824"/>
      <c r="J693" s="1824"/>
      <c r="K693" s="1824"/>
      <c r="L693" s="1824"/>
      <c r="M693" s="1824"/>
      <c r="N693" s="1824"/>
      <c r="O693" s="1824"/>
      <c r="P693" s="1824"/>
      <c r="Q693" s="1824"/>
      <c r="R693" s="1824"/>
      <c r="U693" s="16" t="s">
        <v>908</v>
      </c>
      <c r="AA693" s="1824"/>
      <c r="AB693" s="1824"/>
      <c r="AC693" s="1824"/>
      <c r="AD693" s="1824"/>
      <c r="AE693" s="1824"/>
      <c r="AF693" s="1824"/>
      <c r="AG693" s="1824"/>
      <c r="AH693" s="1824"/>
      <c r="AI693" s="1824"/>
      <c r="AJ693" s="1824"/>
      <c r="AK693" s="1824"/>
      <c r="AM693" s="72"/>
      <c r="BA693" s="75">
        <f t="shared" si="22"/>
        <v>2440</v>
      </c>
      <c r="BB693" s="72"/>
      <c r="BC693" s="72"/>
      <c r="BD693" s="72"/>
      <c r="BE693" s="72"/>
      <c r="BF693" s="72"/>
      <c r="BG693" s="682">
        <f t="shared" si="23"/>
        <v>7</v>
      </c>
      <c r="BH693" s="694">
        <f t="shared" si="24"/>
        <v>7.4468085106382975E-2</v>
      </c>
      <c r="BI693" s="696">
        <f t="shared" si="25"/>
        <v>3.7234042553191488E-2</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910</v>
      </c>
      <c r="N694" s="1826" t="s">
        <v>528</v>
      </c>
      <c r="O694" s="1826"/>
      <c r="U694" s="16" t="s">
        <v>910</v>
      </c>
      <c r="AG694" s="1826" t="s">
        <v>528</v>
      </c>
      <c r="AH694" s="1826"/>
      <c r="AM694" s="72"/>
      <c r="BA694" s="75">
        <f t="shared" si="22"/>
        <v>2926</v>
      </c>
      <c r="BB694" s="72"/>
      <c r="BC694" s="72"/>
      <c r="BD694" s="72"/>
      <c r="BE694" s="72"/>
      <c r="BF694" s="72"/>
      <c r="BG694" s="682">
        <f t="shared" si="23"/>
        <v>19</v>
      </c>
      <c r="BH694" s="694">
        <f t="shared" si="24"/>
        <v>0.20212765957446807</v>
      </c>
      <c r="BI694" s="696">
        <f t="shared" si="25"/>
        <v>0.16170212765957448</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2"/>
        <v>2926</v>
      </c>
      <c r="BB695" s="72"/>
      <c r="BC695" s="72"/>
      <c r="BD695" s="72"/>
      <c r="BE695" s="72"/>
      <c r="BF695" s="72"/>
      <c r="BG695" s="682">
        <f t="shared" si="23"/>
        <v>6</v>
      </c>
      <c r="BH695" s="694">
        <f t="shared" si="24"/>
        <v>6.3829787234042548E-2</v>
      </c>
      <c r="BI695" s="696">
        <f t="shared" si="25"/>
        <v>1.9148936170212762E-2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2"/>
        <v>2926</v>
      </c>
      <c r="BB696" s="72"/>
      <c r="BC696" s="72"/>
      <c r="BD696" s="72"/>
      <c r="BE696" s="72"/>
      <c r="BF696" s="72"/>
      <c r="BG696" s="682">
        <f t="shared" si="23"/>
        <v>1</v>
      </c>
      <c r="BH696" s="694">
        <f t="shared" si="24"/>
        <v>1.0638297872340425E-2</v>
      </c>
      <c r="BI696" s="696">
        <f t="shared" si="25"/>
        <v>4.2553191489361703E-3</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829" t="s">
        <v>138</v>
      </c>
      <c r="B697" s="1829"/>
      <c r="C697" s="1829"/>
      <c r="D697" s="1829"/>
      <c r="E697" s="1829"/>
      <c r="F697" s="1829"/>
      <c r="G697" s="1829"/>
      <c r="H697" s="1829"/>
      <c r="I697" s="1829"/>
      <c r="J697" s="1829"/>
      <c r="K697" s="1829"/>
      <c r="L697" s="1829"/>
      <c r="M697" s="1829"/>
      <c r="N697" s="1829"/>
      <c r="O697" s="1829"/>
      <c r="P697" s="1829"/>
      <c r="Q697" s="1829"/>
      <c r="R697" s="1829"/>
      <c r="S697" s="1829"/>
      <c r="T697" s="1829"/>
      <c r="U697" s="1829"/>
      <c r="V697" s="1829"/>
      <c r="W697" s="1829"/>
      <c r="X697" s="1829"/>
      <c r="Y697" s="1829"/>
      <c r="Z697" s="1829"/>
      <c r="AA697" s="1829"/>
      <c r="AB697" s="1829"/>
      <c r="AC697" s="1829"/>
      <c r="AD697" s="1829"/>
      <c r="AE697" s="1829"/>
      <c r="AF697" s="1829"/>
      <c r="AG697" s="1829"/>
      <c r="AH697" s="1829"/>
      <c r="AI697" s="1829"/>
      <c r="AJ697" s="1829"/>
      <c r="AK697" s="1829"/>
      <c r="AL697" s="1829"/>
      <c r="AM697" s="1829"/>
      <c r="AN697" s="1829"/>
      <c r="AO697" s="1829"/>
      <c r="BA697" s="75">
        <f t="shared" si="22"/>
        <v>3382</v>
      </c>
      <c r="BB697" s="72"/>
      <c r="BC697" s="72"/>
      <c r="BD697" s="72"/>
      <c r="BE697" s="72"/>
      <c r="BF697" s="72"/>
      <c r="BG697" s="682">
        <f t="shared" si="23"/>
        <v>17</v>
      </c>
      <c r="BH697" s="694">
        <f t="shared" si="24"/>
        <v>0.18085106382978725</v>
      </c>
      <c r="BI697" s="696">
        <f t="shared" si="25"/>
        <v>0.1446808510638298</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829"/>
      <c r="B698" s="1829"/>
      <c r="C698" s="1829"/>
      <c r="D698" s="1829"/>
      <c r="E698" s="1829"/>
      <c r="F698" s="1829"/>
      <c r="G698" s="1829"/>
      <c r="H698" s="1829"/>
      <c r="I698" s="1829"/>
      <c r="J698" s="1829"/>
      <c r="K698" s="1829"/>
      <c r="L698" s="1829"/>
      <c r="M698" s="1829"/>
      <c r="N698" s="1829"/>
      <c r="O698" s="1829"/>
      <c r="P698" s="1829"/>
      <c r="Q698" s="1829"/>
      <c r="R698" s="1829"/>
      <c r="S698" s="1829"/>
      <c r="T698" s="1829"/>
      <c r="U698" s="1829"/>
      <c r="V698" s="1829"/>
      <c r="W698" s="1829"/>
      <c r="X698" s="1829"/>
      <c r="Y698" s="1829"/>
      <c r="Z698" s="1829"/>
      <c r="AA698" s="1829"/>
      <c r="AB698" s="1829"/>
      <c r="AC698" s="1829"/>
      <c r="AD698" s="1829"/>
      <c r="AE698" s="1829"/>
      <c r="AF698" s="1829"/>
      <c r="AG698" s="1829"/>
      <c r="AH698" s="1829"/>
      <c r="AI698" s="1829"/>
      <c r="AJ698" s="1829"/>
      <c r="AK698" s="1829"/>
      <c r="AL698" s="1829"/>
      <c r="AM698" s="1829"/>
      <c r="AN698" s="1829"/>
      <c r="AO698" s="1829"/>
      <c r="BA698" s="75">
        <f t="shared" si="22"/>
        <v>3382</v>
      </c>
      <c r="BE698" s="72"/>
      <c r="BF698" s="72"/>
      <c r="BG698" s="682">
        <f t="shared" si="23"/>
        <v>7</v>
      </c>
      <c r="BH698" s="694">
        <f t="shared" si="24"/>
        <v>7.4468085106382975E-2</v>
      </c>
      <c r="BI698" s="696">
        <f t="shared" si="25"/>
        <v>2.2340425531914891E-2</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829"/>
      <c r="B699" s="1829"/>
      <c r="C699" s="1829"/>
      <c r="D699" s="1829"/>
      <c r="E699" s="1829"/>
      <c r="F699" s="1829"/>
      <c r="G699" s="1829"/>
      <c r="H699" s="1829"/>
      <c r="I699" s="1829"/>
      <c r="J699" s="1829"/>
      <c r="K699" s="1829"/>
      <c r="L699" s="1829"/>
      <c r="M699" s="1829"/>
      <c r="N699" s="1829"/>
      <c r="O699" s="1829"/>
      <c r="P699" s="1829"/>
      <c r="Q699" s="1829"/>
      <c r="R699" s="1829"/>
      <c r="S699" s="1829"/>
      <c r="T699" s="1829"/>
      <c r="U699" s="1829"/>
      <c r="V699" s="1829"/>
      <c r="W699" s="1829"/>
      <c r="X699" s="1829"/>
      <c r="Y699" s="1829"/>
      <c r="Z699" s="1829"/>
      <c r="AA699" s="1829"/>
      <c r="AB699" s="1829"/>
      <c r="AC699" s="1829"/>
      <c r="AD699" s="1829"/>
      <c r="AE699" s="1829"/>
      <c r="AF699" s="1829"/>
      <c r="AG699" s="1829"/>
      <c r="AH699" s="1829"/>
      <c r="AI699" s="1829"/>
      <c r="AJ699" s="1829"/>
      <c r="AK699" s="1829"/>
      <c r="AL699" s="1829"/>
      <c r="AM699" s="1829"/>
      <c r="AN699" s="1829"/>
      <c r="AO699" s="1829"/>
      <c r="BA699" s="75">
        <f t="shared" si="22"/>
        <v>3382</v>
      </c>
      <c r="BE699" s="72"/>
      <c r="BF699" s="72"/>
      <c r="BG699" s="682">
        <f t="shared" si="23"/>
        <v>3</v>
      </c>
      <c r="BH699" s="694">
        <f t="shared" si="24"/>
        <v>3.1914893617021274E-2</v>
      </c>
      <c r="BI699" s="696">
        <f t="shared" si="25"/>
        <v>1.276595744680851E-2</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715</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f t="shared" si="22"/>
        <v>3382</v>
      </c>
      <c r="BE700" s="72"/>
      <c r="BF700" s="72"/>
      <c r="BG700" s="682">
        <f t="shared" si="23"/>
        <v>4</v>
      </c>
      <c r="BH700" s="694">
        <f t="shared" si="24"/>
        <v>4.2553191489361701E-2</v>
      </c>
      <c r="BI700" s="696">
        <f t="shared" si="25"/>
        <v>2.1276595744680851E-2</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f t="shared" si="22"/>
        <v>3382</v>
      </c>
      <c r="BE701" s="72"/>
      <c r="BF701" s="72"/>
      <c r="BG701" s="682">
        <f t="shared" si="23"/>
        <v>1</v>
      </c>
      <c r="BH701" s="694">
        <f t="shared" si="24"/>
        <v>1.0638297872340425E-2</v>
      </c>
      <c r="BI701" s="696">
        <f t="shared" si="25"/>
        <v>3.1914893617021275E-3</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801" t="s">
        <v>59</v>
      </c>
      <c r="C702" s="1802"/>
      <c r="D702" s="1802"/>
      <c r="E702" s="1802"/>
      <c r="F702" s="1803"/>
      <c r="G702" s="1801" t="s">
        <v>283</v>
      </c>
      <c r="H702" s="1802"/>
      <c r="I702" s="1802"/>
      <c r="J702" s="1803"/>
      <c r="K702" s="1792" t="s">
        <v>2210</v>
      </c>
      <c r="L702" s="1793"/>
      <c r="M702" s="1793"/>
      <c r="N702" s="1794"/>
      <c r="O702" s="1801" t="s">
        <v>651</v>
      </c>
      <c r="P702" s="1802"/>
      <c r="Q702" s="1802"/>
      <c r="R702" s="1802"/>
      <c r="S702" s="1803"/>
      <c r="T702" s="1801" t="s">
        <v>284</v>
      </c>
      <c r="U702" s="1802"/>
      <c r="V702" s="1802"/>
      <c r="W702" s="1802"/>
      <c r="X702" s="1803"/>
      <c r="Y702" s="1801" t="s">
        <v>285</v>
      </c>
      <c r="Z702" s="1802"/>
      <c r="AA702" s="1802"/>
      <c r="AB702" s="1803"/>
      <c r="AC702" s="1801" t="s">
        <v>286</v>
      </c>
      <c r="AD702" s="1802"/>
      <c r="AE702" s="1802"/>
      <c r="AF702" s="1802"/>
      <c r="AG702" s="1803"/>
      <c r="AH702" s="1801" t="s">
        <v>2211</v>
      </c>
      <c r="AI702" s="1802"/>
      <c r="AJ702" s="1802"/>
      <c r="AK702" s="1802"/>
      <c r="AL702" s="1803"/>
      <c r="AM702" s="1801" t="s">
        <v>2212</v>
      </c>
      <c r="AN702" s="1802"/>
      <c r="AO702" s="1803"/>
      <c r="BA702" s="75" t="str">
        <f t="shared" si="22"/>
        <v>N/A</v>
      </c>
      <c r="BB702" s="72"/>
      <c r="BC702" s="72"/>
      <c r="BD702" s="72"/>
      <c r="BE702" s="72"/>
      <c r="BF702" s="72"/>
      <c r="BG702" s="682">
        <f t="shared" si="23"/>
        <v>9</v>
      </c>
      <c r="BH702" s="694">
        <f t="shared" si="24"/>
        <v>9.5744680851063829E-2</v>
      </c>
      <c r="BI702" s="696">
        <f t="shared" si="25"/>
        <v>7.6595744680851063E-2</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43"/>
      <c r="B703" s="1804"/>
      <c r="C703" s="1805"/>
      <c r="D703" s="1805"/>
      <c r="E703" s="1805"/>
      <c r="F703" s="1806"/>
      <c r="G703" s="1804"/>
      <c r="H703" s="1805"/>
      <c r="I703" s="1805"/>
      <c r="J703" s="1806"/>
      <c r="K703" s="1795"/>
      <c r="L703" s="1796"/>
      <c r="M703" s="1796"/>
      <c r="N703" s="1797"/>
      <c r="O703" s="1804"/>
      <c r="P703" s="1805"/>
      <c r="Q703" s="1805"/>
      <c r="R703" s="1805"/>
      <c r="S703" s="1806"/>
      <c r="T703" s="1804"/>
      <c r="U703" s="1805"/>
      <c r="V703" s="1805"/>
      <c r="W703" s="1805"/>
      <c r="X703" s="1806"/>
      <c r="Y703" s="1804"/>
      <c r="Z703" s="1805"/>
      <c r="AA703" s="1805"/>
      <c r="AB703" s="1806"/>
      <c r="AC703" s="1804"/>
      <c r="AD703" s="1805"/>
      <c r="AE703" s="1805"/>
      <c r="AF703" s="1805"/>
      <c r="AG703" s="1806"/>
      <c r="AH703" s="1804"/>
      <c r="AI703" s="1805"/>
      <c r="AJ703" s="1805"/>
      <c r="AK703" s="1805"/>
      <c r="AL703" s="1806"/>
      <c r="AM703" s="1804"/>
      <c r="AN703" s="1805"/>
      <c r="AO703" s="1806"/>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804"/>
      <c r="C704" s="1805"/>
      <c r="D704" s="1805"/>
      <c r="E704" s="1805"/>
      <c r="F704" s="1806"/>
      <c r="G704" s="1804"/>
      <c r="H704" s="1805"/>
      <c r="I704" s="1805"/>
      <c r="J704" s="1806"/>
      <c r="K704" s="1795"/>
      <c r="L704" s="1796"/>
      <c r="M704" s="1796"/>
      <c r="N704" s="1797"/>
      <c r="O704" s="1804"/>
      <c r="P704" s="1805"/>
      <c r="Q704" s="1805"/>
      <c r="R704" s="1805"/>
      <c r="S704" s="1806"/>
      <c r="T704" s="1804"/>
      <c r="U704" s="1805"/>
      <c r="V704" s="1805"/>
      <c r="W704" s="1805"/>
      <c r="X704" s="1806"/>
      <c r="Y704" s="1804"/>
      <c r="Z704" s="1805"/>
      <c r="AA704" s="1805"/>
      <c r="AB704" s="1806"/>
      <c r="AC704" s="1804"/>
      <c r="AD704" s="1805"/>
      <c r="AE704" s="1805"/>
      <c r="AF704" s="1805"/>
      <c r="AG704" s="1806"/>
      <c r="AH704" s="1804"/>
      <c r="AI704" s="1805"/>
      <c r="AJ704" s="1805"/>
      <c r="AK704" s="1805"/>
      <c r="AL704" s="1806"/>
      <c r="AM704" s="1804"/>
      <c r="AN704" s="1805"/>
      <c r="AO704" s="1806"/>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807"/>
      <c r="C705" s="1808"/>
      <c r="D705" s="1808"/>
      <c r="E705" s="1808"/>
      <c r="F705" s="1809"/>
      <c r="G705" s="1807"/>
      <c r="H705" s="1808"/>
      <c r="I705" s="1808"/>
      <c r="J705" s="1809"/>
      <c r="K705" s="1795"/>
      <c r="L705" s="1796"/>
      <c r="M705" s="1796"/>
      <c r="N705" s="1797"/>
      <c r="O705" s="1807"/>
      <c r="P705" s="1808"/>
      <c r="Q705" s="1808"/>
      <c r="R705" s="1808"/>
      <c r="S705" s="1809"/>
      <c r="T705" s="1807"/>
      <c r="U705" s="1808"/>
      <c r="V705" s="1808"/>
      <c r="W705" s="1808"/>
      <c r="X705" s="1809"/>
      <c r="Y705" s="1807"/>
      <c r="Z705" s="1808"/>
      <c r="AA705" s="1808"/>
      <c r="AB705" s="1809"/>
      <c r="AC705" s="1807"/>
      <c r="AD705" s="1808"/>
      <c r="AE705" s="1808"/>
      <c r="AF705" s="1808"/>
      <c r="AG705" s="1809"/>
      <c r="AH705" s="1807"/>
      <c r="AI705" s="1808"/>
      <c r="AJ705" s="1808"/>
      <c r="AK705" s="1808"/>
      <c r="AL705" s="1809"/>
      <c r="AM705" s="1807"/>
      <c r="AN705" s="1808"/>
      <c r="AO705" s="1809"/>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952" t="s">
        <v>488</v>
      </c>
      <c r="C706" s="1953"/>
      <c r="D706" s="1953"/>
      <c r="E706" s="1953"/>
      <c r="F706" s="1954"/>
      <c r="G706" s="1830">
        <v>11</v>
      </c>
      <c r="H706" s="1831"/>
      <c r="I706" s="1831"/>
      <c r="J706" s="1832"/>
      <c r="K706" s="1810" t="s">
        <v>2454</v>
      </c>
      <c r="L706" s="1811"/>
      <c r="M706" s="1811"/>
      <c r="N706" s="1812"/>
      <c r="O706" s="1813">
        <v>704</v>
      </c>
      <c r="P706" s="1814"/>
      <c r="Q706" s="1814"/>
      <c r="R706" s="1814"/>
      <c r="S706" s="1815"/>
      <c r="T706" s="1786">
        <f t="shared" ref="T706:T730" si="26">G706*O706</f>
        <v>7744</v>
      </c>
      <c r="U706" s="1787"/>
      <c r="V706" s="1787"/>
      <c r="W706" s="1787"/>
      <c r="X706" s="1788"/>
      <c r="Y706" s="1813">
        <v>27.71</v>
      </c>
      <c r="Z706" s="1814"/>
      <c r="AA706" s="1814"/>
      <c r="AB706" s="1815"/>
      <c r="AC706" s="1786">
        <f t="shared" ref="AC706:AC730" si="27">O706+Y706</f>
        <v>731.71</v>
      </c>
      <c r="AD706" s="1787"/>
      <c r="AE706" s="1787"/>
      <c r="AF706" s="1787"/>
      <c r="AG706" s="1788"/>
      <c r="AH706" s="2072">
        <v>0.3</v>
      </c>
      <c r="AI706" s="2073"/>
      <c r="AJ706" s="2073"/>
      <c r="AK706" s="2073"/>
      <c r="AL706" s="2074"/>
      <c r="AM706" s="1783">
        <f>IF($AH706&gt;0,($AC706/$BA689)," ")</f>
        <v>0.29988114754098361</v>
      </c>
      <c r="AN706" s="1784"/>
      <c r="AO706" s="1785"/>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952" t="s">
        <v>488</v>
      </c>
      <c r="C707" s="1953"/>
      <c r="D707" s="1953"/>
      <c r="E707" s="1953"/>
      <c r="F707" s="1954"/>
      <c r="G707" s="1830">
        <v>6</v>
      </c>
      <c r="H707" s="1831"/>
      <c r="I707" s="1831"/>
      <c r="J707" s="1832"/>
      <c r="K707" s="1810" t="s">
        <v>2454</v>
      </c>
      <c r="L707" s="1811"/>
      <c r="M707" s="1811"/>
      <c r="N707" s="1812"/>
      <c r="O707" s="1813">
        <v>948</v>
      </c>
      <c r="P707" s="1814"/>
      <c r="Q707" s="1814"/>
      <c r="R707" s="1814"/>
      <c r="S707" s="1815"/>
      <c r="T707" s="1786">
        <f t="shared" si="26"/>
        <v>5688</v>
      </c>
      <c r="U707" s="1787"/>
      <c r="V707" s="1787"/>
      <c r="W707" s="1787"/>
      <c r="X707" s="1788"/>
      <c r="Y707" s="1813">
        <v>27.71</v>
      </c>
      <c r="Z707" s="1814"/>
      <c r="AA707" s="1814"/>
      <c r="AB707" s="1815"/>
      <c r="AC707" s="1786">
        <f t="shared" si="27"/>
        <v>975.71</v>
      </c>
      <c r="AD707" s="1787"/>
      <c r="AE707" s="1787"/>
      <c r="AF707" s="1787"/>
      <c r="AG707" s="1788"/>
      <c r="AH707" s="1817">
        <v>0.4</v>
      </c>
      <c r="AI707" s="1818"/>
      <c r="AJ707" s="1818"/>
      <c r="AK707" s="1818"/>
      <c r="AL707" s="1819"/>
      <c r="AM707" s="1783">
        <f t="shared" ref="AM707:AM730" si="28">IF($AH707&gt;0,($AC707/$BA690), " ")</f>
        <v>0.39988114754098364</v>
      </c>
      <c r="AN707" s="1784"/>
      <c r="AO707" s="1785"/>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952" t="s">
        <v>488</v>
      </c>
      <c r="C708" s="1953"/>
      <c r="D708" s="1953"/>
      <c r="E708" s="1953"/>
      <c r="F708" s="1954"/>
      <c r="G708" s="1830">
        <v>3</v>
      </c>
      <c r="H708" s="1831"/>
      <c r="I708" s="1831"/>
      <c r="J708" s="1832"/>
      <c r="K708" s="1810" t="s">
        <v>2454</v>
      </c>
      <c r="L708" s="1811"/>
      <c r="M708" s="1811"/>
      <c r="N708" s="1812"/>
      <c r="O708" s="1813">
        <v>1220</v>
      </c>
      <c r="P708" s="1814"/>
      <c r="Q708" s="1814"/>
      <c r="R708" s="1814"/>
      <c r="S708" s="1815"/>
      <c r="T708" s="1786">
        <f t="shared" si="26"/>
        <v>3660</v>
      </c>
      <c r="U708" s="1787"/>
      <c r="V708" s="1787"/>
      <c r="W708" s="1787"/>
      <c r="X708" s="1788"/>
      <c r="Y708" s="1813">
        <v>0</v>
      </c>
      <c r="Z708" s="1814"/>
      <c r="AA708" s="1814"/>
      <c r="AB708" s="1815"/>
      <c r="AC708" s="1786">
        <f t="shared" si="27"/>
        <v>1220</v>
      </c>
      <c r="AD708" s="1787"/>
      <c r="AE708" s="1787"/>
      <c r="AF708" s="1787"/>
      <c r="AG708" s="1788"/>
      <c r="AH708" s="1817">
        <v>0.5</v>
      </c>
      <c r="AI708" s="1818"/>
      <c r="AJ708" s="1818"/>
      <c r="AK708" s="1818"/>
      <c r="AL708" s="1819"/>
      <c r="AM708" s="1783">
        <f t="shared" si="28"/>
        <v>0.5</v>
      </c>
      <c r="AN708" s="1784"/>
      <c r="AO708" s="1785"/>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43"/>
      <c r="B709" s="1952" t="s">
        <v>488</v>
      </c>
      <c r="C709" s="1953"/>
      <c r="D709" s="1953"/>
      <c r="E709" s="1953"/>
      <c r="F709" s="1954"/>
      <c r="G709" s="1830">
        <v>7</v>
      </c>
      <c r="H709" s="1831"/>
      <c r="I709" s="1831"/>
      <c r="J709" s="1832"/>
      <c r="K709" s="1810" t="s">
        <v>2454</v>
      </c>
      <c r="L709" s="1811"/>
      <c r="M709" s="1811"/>
      <c r="N709" s="1812"/>
      <c r="O709" s="1813">
        <v>1192</v>
      </c>
      <c r="P709" s="1814"/>
      <c r="Q709" s="1814"/>
      <c r="R709" s="1814"/>
      <c r="S709" s="1815"/>
      <c r="T709" s="1786">
        <f t="shared" si="26"/>
        <v>8344</v>
      </c>
      <c r="U709" s="1787"/>
      <c r="V709" s="1787"/>
      <c r="W709" s="1787"/>
      <c r="X709" s="1788"/>
      <c r="Y709" s="1813">
        <v>27.71</v>
      </c>
      <c r="Z709" s="1814"/>
      <c r="AA709" s="1814"/>
      <c r="AB709" s="1815"/>
      <c r="AC709" s="1786">
        <f t="shared" si="27"/>
        <v>1219.71</v>
      </c>
      <c r="AD709" s="1787"/>
      <c r="AE709" s="1787"/>
      <c r="AF709" s="1787"/>
      <c r="AG709" s="1788"/>
      <c r="AH709" s="1817">
        <v>0.5</v>
      </c>
      <c r="AI709" s="1818"/>
      <c r="AJ709" s="1818"/>
      <c r="AK709" s="1818"/>
      <c r="AL709" s="1819"/>
      <c r="AM709" s="1783">
        <f t="shared" si="28"/>
        <v>0.49988114754098362</v>
      </c>
      <c r="AN709" s="1784"/>
      <c r="AO709" s="1785"/>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43"/>
      <c r="B710" s="1952" t="s">
        <v>488</v>
      </c>
      <c r="C710" s="1953"/>
      <c r="D710" s="1953"/>
      <c r="E710" s="1953"/>
      <c r="F710" s="1954"/>
      <c r="G710" s="1830">
        <v>19</v>
      </c>
      <c r="H710" s="1831"/>
      <c r="I710" s="1831"/>
      <c r="J710" s="1832"/>
      <c r="K710" s="1810" t="s">
        <v>2454</v>
      </c>
      <c r="L710" s="1811"/>
      <c r="M710" s="1811"/>
      <c r="N710" s="1812"/>
      <c r="O710" s="1813">
        <v>1924</v>
      </c>
      <c r="P710" s="1814"/>
      <c r="Q710" s="1814"/>
      <c r="R710" s="1814"/>
      <c r="S710" s="1815"/>
      <c r="T710" s="1786">
        <f t="shared" si="26"/>
        <v>36556</v>
      </c>
      <c r="U710" s="1787"/>
      <c r="V710" s="1787"/>
      <c r="W710" s="1787"/>
      <c r="X710" s="1788"/>
      <c r="Y710" s="1813">
        <v>27.71</v>
      </c>
      <c r="Z710" s="1814"/>
      <c r="AA710" s="1814"/>
      <c r="AB710" s="1815"/>
      <c r="AC710" s="1786">
        <f t="shared" si="27"/>
        <v>1951.71</v>
      </c>
      <c r="AD710" s="1787"/>
      <c r="AE710" s="1787"/>
      <c r="AF710" s="1787"/>
      <c r="AG710" s="1788"/>
      <c r="AH710" s="1817">
        <v>0.8</v>
      </c>
      <c r="AI710" s="1818"/>
      <c r="AJ710" s="1818"/>
      <c r="AK710" s="1818"/>
      <c r="AL710" s="1819"/>
      <c r="AM710" s="1783">
        <f t="shared" si="28"/>
        <v>0.79988114754098361</v>
      </c>
      <c r="AN710" s="1784"/>
      <c r="AO710" s="1785"/>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43"/>
      <c r="B711" s="1952" t="s">
        <v>845</v>
      </c>
      <c r="C711" s="1953"/>
      <c r="D711" s="1953"/>
      <c r="E711" s="1953"/>
      <c r="F711" s="1954"/>
      <c r="G711" s="1830">
        <v>6</v>
      </c>
      <c r="H711" s="1831"/>
      <c r="I711" s="1831"/>
      <c r="J711" s="1832"/>
      <c r="K711" s="1810" t="s">
        <v>2455</v>
      </c>
      <c r="L711" s="1811"/>
      <c r="M711" s="1811"/>
      <c r="N711" s="1812"/>
      <c r="O711" s="1813">
        <v>878</v>
      </c>
      <c r="P711" s="1814"/>
      <c r="Q711" s="1814"/>
      <c r="R711" s="1814"/>
      <c r="S711" s="1815"/>
      <c r="T711" s="1786">
        <f t="shared" si="26"/>
        <v>5268</v>
      </c>
      <c r="U711" s="1787"/>
      <c r="V711" s="1787"/>
      <c r="W711" s="1787"/>
      <c r="X711" s="1788"/>
      <c r="Y711" s="1813">
        <v>0</v>
      </c>
      <c r="Z711" s="1814"/>
      <c r="AA711" s="1814"/>
      <c r="AB711" s="1815"/>
      <c r="AC711" s="1786">
        <f t="shared" si="27"/>
        <v>878</v>
      </c>
      <c r="AD711" s="1787"/>
      <c r="AE711" s="1787"/>
      <c r="AF711" s="1787"/>
      <c r="AG711" s="1788"/>
      <c r="AH711" s="1817">
        <v>0.3</v>
      </c>
      <c r="AI711" s="1818"/>
      <c r="AJ711" s="1818"/>
      <c r="AK711" s="1818"/>
      <c r="AL711" s="1819"/>
      <c r="AM711" s="1783">
        <f t="shared" si="28"/>
        <v>0.30006835269993165</v>
      </c>
      <c r="AN711" s="1784"/>
      <c r="AO711" s="1785"/>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43"/>
      <c r="B712" s="1952" t="s">
        <v>845</v>
      </c>
      <c r="C712" s="1953"/>
      <c r="D712" s="1953"/>
      <c r="E712" s="1953"/>
      <c r="F712" s="1954"/>
      <c r="G712" s="1830">
        <v>1</v>
      </c>
      <c r="H712" s="1831"/>
      <c r="I712" s="1831"/>
      <c r="J712" s="1832"/>
      <c r="K712" s="1810" t="s">
        <v>2455</v>
      </c>
      <c r="L712" s="1811"/>
      <c r="M712" s="1811"/>
      <c r="N712" s="1812"/>
      <c r="O712" s="1813">
        <v>1171</v>
      </c>
      <c r="P712" s="1814"/>
      <c r="Q712" s="1814"/>
      <c r="R712" s="1814"/>
      <c r="S712" s="1815"/>
      <c r="T712" s="1786">
        <f t="shared" si="26"/>
        <v>1171</v>
      </c>
      <c r="U712" s="1787"/>
      <c r="V712" s="1787"/>
      <c r="W712" s="1787"/>
      <c r="X712" s="1788"/>
      <c r="Y712" s="1813">
        <v>0</v>
      </c>
      <c r="Z712" s="1814"/>
      <c r="AA712" s="1814"/>
      <c r="AB712" s="1815"/>
      <c r="AC712" s="1786">
        <f t="shared" si="27"/>
        <v>1171</v>
      </c>
      <c r="AD712" s="1787"/>
      <c r="AE712" s="1787"/>
      <c r="AF712" s="1787"/>
      <c r="AG712" s="1788"/>
      <c r="AH712" s="1817">
        <v>0.4</v>
      </c>
      <c r="AI712" s="1818"/>
      <c r="AJ712" s="1818"/>
      <c r="AK712" s="1818"/>
      <c r="AL712" s="1819"/>
      <c r="AM712" s="1783">
        <f t="shared" si="28"/>
        <v>0.40020505809979495</v>
      </c>
      <c r="AN712" s="1784"/>
      <c r="AO712" s="1785"/>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43"/>
      <c r="B713" s="1952" t="s">
        <v>845</v>
      </c>
      <c r="C713" s="1953"/>
      <c r="D713" s="1953"/>
      <c r="E713" s="1953"/>
      <c r="F713" s="1954"/>
      <c r="G713" s="1830">
        <v>17</v>
      </c>
      <c r="H713" s="1831"/>
      <c r="I713" s="1831"/>
      <c r="J713" s="1832"/>
      <c r="K713" s="1810" t="s">
        <v>2455</v>
      </c>
      <c r="L713" s="1811"/>
      <c r="M713" s="1811"/>
      <c r="N713" s="1812"/>
      <c r="O713" s="1813">
        <v>2311</v>
      </c>
      <c r="P713" s="1814"/>
      <c r="Q713" s="1814"/>
      <c r="R713" s="1814"/>
      <c r="S713" s="1815"/>
      <c r="T713" s="1786">
        <f t="shared" si="26"/>
        <v>39287</v>
      </c>
      <c r="U713" s="1787"/>
      <c r="V713" s="1787"/>
      <c r="W713" s="1787"/>
      <c r="X713" s="1788"/>
      <c r="Y713" s="1813">
        <v>30.5</v>
      </c>
      <c r="Z713" s="1814"/>
      <c r="AA713" s="1814"/>
      <c r="AB713" s="1815"/>
      <c r="AC713" s="1786">
        <f t="shared" si="27"/>
        <v>2341.5</v>
      </c>
      <c r="AD713" s="1787"/>
      <c r="AE713" s="1787"/>
      <c r="AF713" s="1787"/>
      <c r="AG713" s="1788"/>
      <c r="AH713" s="1817">
        <v>0.8</v>
      </c>
      <c r="AI713" s="1818"/>
      <c r="AJ713" s="1818"/>
      <c r="AK713" s="1818"/>
      <c r="AL713" s="1819"/>
      <c r="AM713" s="1783">
        <f t="shared" si="28"/>
        <v>0.80023923444976075</v>
      </c>
      <c r="AN713" s="1784"/>
      <c r="AO713" s="1785"/>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43"/>
      <c r="B714" s="1952" t="s">
        <v>846</v>
      </c>
      <c r="C714" s="1953"/>
      <c r="D714" s="1953"/>
      <c r="E714" s="1953"/>
      <c r="F714" s="1954"/>
      <c r="G714" s="1830">
        <v>7</v>
      </c>
      <c r="H714" s="1831"/>
      <c r="I714" s="1831"/>
      <c r="J714" s="1832"/>
      <c r="K714" s="1810" t="s">
        <v>2456</v>
      </c>
      <c r="L714" s="1811"/>
      <c r="M714" s="1811"/>
      <c r="N714" s="1812"/>
      <c r="O714" s="1813">
        <v>1015</v>
      </c>
      <c r="P714" s="1814"/>
      <c r="Q714" s="1814"/>
      <c r="R714" s="1814"/>
      <c r="S714" s="1815"/>
      <c r="T714" s="1786">
        <f t="shared" si="26"/>
        <v>7105</v>
      </c>
      <c r="U714" s="1787"/>
      <c r="V714" s="1787"/>
      <c r="W714" s="1787"/>
      <c r="X714" s="1788"/>
      <c r="Y714" s="1813">
        <v>0</v>
      </c>
      <c r="Z714" s="1814"/>
      <c r="AA714" s="1814"/>
      <c r="AB714" s="1815"/>
      <c r="AC714" s="1786">
        <f t="shared" si="27"/>
        <v>1015</v>
      </c>
      <c r="AD714" s="1787"/>
      <c r="AE714" s="1787"/>
      <c r="AF714" s="1787"/>
      <c r="AG714" s="1788"/>
      <c r="AH714" s="1817">
        <v>0.3</v>
      </c>
      <c r="AI714" s="1818"/>
      <c r="AJ714" s="1818"/>
      <c r="AK714" s="1818"/>
      <c r="AL714" s="1819"/>
      <c r="AM714" s="1783">
        <f t="shared" si="28"/>
        <v>0.30011827321111767</v>
      </c>
      <c r="AN714" s="1784"/>
      <c r="AO714" s="1785"/>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952" t="s">
        <v>846</v>
      </c>
      <c r="C715" s="1953"/>
      <c r="D715" s="1953"/>
      <c r="E715" s="1953"/>
      <c r="F715" s="1954"/>
      <c r="G715" s="1830">
        <v>3</v>
      </c>
      <c r="H715" s="1831"/>
      <c r="I715" s="1831"/>
      <c r="J715" s="1832"/>
      <c r="K715" s="1810" t="s">
        <v>2456</v>
      </c>
      <c r="L715" s="1811"/>
      <c r="M715" s="1811"/>
      <c r="N715" s="1812"/>
      <c r="O715" s="1813">
        <v>1353</v>
      </c>
      <c r="P715" s="1814"/>
      <c r="Q715" s="1814"/>
      <c r="R715" s="1814"/>
      <c r="S715" s="1815"/>
      <c r="T715" s="1786">
        <f t="shared" si="26"/>
        <v>4059</v>
      </c>
      <c r="U715" s="1787"/>
      <c r="V715" s="1787"/>
      <c r="W715" s="1787"/>
      <c r="X715" s="1788"/>
      <c r="Y715" s="1813">
        <v>0</v>
      </c>
      <c r="Z715" s="1814"/>
      <c r="AA715" s="1814"/>
      <c r="AB715" s="1815"/>
      <c r="AC715" s="1786">
        <f t="shared" si="27"/>
        <v>1353</v>
      </c>
      <c r="AD715" s="1787"/>
      <c r="AE715" s="1787"/>
      <c r="AF715" s="1787"/>
      <c r="AG715" s="1788"/>
      <c r="AH715" s="1817">
        <v>0.4</v>
      </c>
      <c r="AI715" s="1818"/>
      <c r="AJ715" s="1818"/>
      <c r="AK715" s="1818"/>
      <c r="AL715" s="1819"/>
      <c r="AM715" s="1783">
        <f t="shared" si="28"/>
        <v>0.40005913660555886</v>
      </c>
      <c r="AN715" s="1784"/>
      <c r="AO715" s="1785"/>
      <c r="BA715" s="72"/>
      <c r="BB715" s="72"/>
      <c r="BC715" s="72"/>
      <c r="BD715" s="72"/>
      <c r="BE715" s="149"/>
      <c r="BF715" s="147" t="s">
        <v>953</v>
      </c>
      <c r="BG715" s="697">
        <f>SUM(BG690:BG714)</f>
        <v>94</v>
      </c>
      <c r="BH715" s="698">
        <f>SUM(BH690:BH714)</f>
        <v>0.99999999999999978</v>
      </c>
      <c r="BI715" s="698">
        <f>SUM(BI690:BI714)</f>
        <v>0.57978723404255317</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952" t="s">
        <v>846</v>
      </c>
      <c r="C716" s="1953"/>
      <c r="D716" s="1953"/>
      <c r="E716" s="1953"/>
      <c r="F716" s="1954"/>
      <c r="G716" s="1830">
        <v>4</v>
      </c>
      <c r="H716" s="1831"/>
      <c r="I716" s="1831"/>
      <c r="J716" s="1832"/>
      <c r="K716" s="1810" t="s">
        <v>2456</v>
      </c>
      <c r="L716" s="1811"/>
      <c r="M716" s="1811"/>
      <c r="N716" s="1812"/>
      <c r="O716" s="1813">
        <v>1691</v>
      </c>
      <c r="P716" s="1814"/>
      <c r="Q716" s="1814"/>
      <c r="R716" s="1814"/>
      <c r="S716" s="1815"/>
      <c r="T716" s="1786">
        <f t="shared" si="26"/>
        <v>6764</v>
      </c>
      <c r="U716" s="1787"/>
      <c r="V716" s="1787"/>
      <c r="W716" s="1787"/>
      <c r="X716" s="1788"/>
      <c r="Y716" s="1813">
        <v>0</v>
      </c>
      <c r="Z716" s="1814"/>
      <c r="AA716" s="1814"/>
      <c r="AB716" s="1815"/>
      <c r="AC716" s="1786">
        <f t="shared" si="27"/>
        <v>1691</v>
      </c>
      <c r="AD716" s="1787"/>
      <c r="AE716" s="1787"/>
      <c r="AF716" s="1787"/>
      <c r="AG716" s="1788"/>
      <c r="AH716" s="1817">
        <v>0.5</v>
      </c>
      <c r="AI716" s="1818"/>
      <c r="AJ716" s="1818"/>
      <c r="AK716" s="1818"/>
      <c r="AL716" s="1819"/>
      <c r="AM716" s="1783">
        <f t="shared" si="28"/>
        <v>0.5</v>
      </c>
      <c r="AN716" s="1784"/>
      <c r="AO716" s="1785"/>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952" t="s">
        <v>846</v>
      </c>
      <c r="C717" s="1953"/>
      <c r="D717" s="1953"/>
      <c r="E717" s="1953"/>
      <c r="F717" s="1954"/>
      <c r="G717" s="1830">
        <v>1</v>
      </c>
      <c r="H717" s="1831"/>
      <c r="I717" s="1831"/>
      <c r="J717" s="1832"/>
      <c r="K717" s="1810" t="s">
        <v>2456</v>
      </c>
      <c r="L717" s="1811"/>
      <c r="M717" s="1811"/>
      <c r="N717" s="1812"/>
      <c r="O717" s="1813">
        <v>979</v>
      </c>
      <c r="P717" s="1814"/>
      <c r="Q717" s="1814"/>
      <c r="R717" s="1814"/>
      <c r="S717" s="1815"/>
      <c r="T717" s="1786">
        <f t="shared" si="26"/>
        <v>979</v>
      </c>
      <c r="U717" s="1787"/>
      <c r="V717" s="1787"/>
      <c r="W717" s="1787"/>
      <c r="X717" s="1788"/>
      <c r="Y717" s="1813">
        <v>35.81</v>
      </c>
      <c r="Z717" s="1814"/>
      <c r="AA717" s="1814"/>
      <c r="AB717" s="1815"/>
      <c r="AC717" s="1786">
        <f t="shared" si="27"/>
        <v>1014.81</v>
      </c>
      <c r="AD717" s="1787"/>
      <c r="AE717" s="1787"/>
      <c r="AF717" s="1787"/>
      <c r="AG717" s="1788"/>
      <c r="AH717" s="1817">
        <v>0.3</v>
      </c>
      <c r="AI717" s="1818"/>
      <c r="AJ717" s="1818"/>
      <c r="AK717" s="1818"/>
      <c r="AL717" s="1819"/>
      <c r="AM717" s="1783">
        <f t="shared" si="28"/>
        <v>0.30006209343583679</v>
      </c>
      <c r="AN717" s="1784"/>
      <c r="AO717" s="1785"/>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43"/>
      <c r="B718" s="1952" t="s">
        <v>846</v>
      </c>
      <c r="C718" s="1953"/>
      <c r="D718" s="1953"/>
      <c r="E718" s="1953"/>
      <c r="F718" s="1954"/>
      <c r="G718" s="1830">
        <v>9</v>
      </c>
      <c r="H718" s="1831"/>
      <c r="I718" s="1831"/>
      <c r="J718" s="1832"/>
      <c r="K718" s="1810" t="s">
        <v>2456</v>
      </c>
      <c r="L718" s="1811"/>
      <c r="M718" s="1811"/>
      <c r="N718" s="1812"/>
      <c r="O718" s="1813">
        <v>2671</v>
      </c>
      <c r="P718" s="1814"/>
      <c r="Q718" s="1814"/>
      <c r="R718" s="1814"/>
      <c r="S718" s="1815"/>
      <c r="T718" s="1786">
        <f t="shared" si="26"/>
        <v>24039</v>
      </c>
      <c r="U718" s="1787"/>
      <c r="V718" s="1787"/>
      <c r="W718" s="1787"/>
      <c r="X718" s="1788"/>
      <c r="Y718" s="1813">
        <v>35.81</v>
      </c>
      <c r="Z718" s="1814"/>
      <c r="AA718" s="1814"/>
      <c r="AB718" s="1815"/>
      <c r="AC718" s="1786">
        <f t="shared" si="27"/>
        <v>2706.81</v>
      </c>
      <c r="AD718" s="1787"/>
      <c r="AE718" s="1787"/>
      <c r="AF718" s="1787"/>
      <c r="AG718" s="1788"/>
      <c r="AH718" s="1817">
        <v>0.8</v>
      </c>
      <c r="AI718" s="1818"/>
      <c r="AJ718" s="1818"/>
      <c r="AK718" s="1818"/>
      <c r="AL718" s="1819"/>
      <c r="AM718" s="1783">
        <f t="shared" si="28"/>
        <v>0.80035777646363093</v>
      </c>
      <c r="AN718" s="1784"/>
      <c r="AO718" s="1785"/>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43"/>
      <c r="B719" s="1952"/>
      <c r="C719" s="1953"/>
      <c r="D719" s="1953"/>
      <c r="E719" s="1953"/>
      <c r="F719" s="1954"/>
      <c r="G719" s="1830"/>
      <c r="H719" s="1831"/>
      <c r="I719" s="1831"/>
      <c r="J719" s="1832"/>
      <c r="K719" s="1810"/>
      <c r="L719" s="1811"/>
      <c r="M719" s="1811"/>
      <c r="N719" s="1812"/>
      <c r="O719" s="1813"/>
      <c r="P719" s="1814"/>
      <c r="Q719" s="1814"/>
      <c r="R719" s="1814"/>
      <c r="S719" s="1815"/>
      <c r="T719" s="1786">
        <f t="shared" si="26"/>
        <v>0</v>
      </c>
      <c r="U719" s="1787"/>
      <c r="V719" s="1787"/>
      <c r="W719" s="1787"/>
      <c r="X719" s="1788"/>
      <c r="Y719" s="1813"/>
      <c r="Z719" s="1814"/>
      <c r="AA719" s="1814"/>
      <c r="AB719" s="1815"/>
      <c r="AC719" s="1786">
        <f t="shared" si="27"/>
        <v>0</v>
      </c>
      <c r="AD719" s="1787"/>
      <c r="AE719" s="1787"/>
      <c r="AF719" s="1787"/>
      <c r="AG719" s="1788"/>
      <c r="AH719" s="1817">
        <v>0</v>
      </c>
      <c r="AI719" s="1818"/>
      <c r="AJ719" s="1818"/>
      <c r="AK719" s="1818"/>
      <c r="AL719" s="1819"/>
      <c r="AM719" s="1783" t="str">
        <f t="shared" si="28"/>
        <v xml:space="preserve"> </v>
      </c>
      <c r="AN719" s="1784"/>
      <c r="AO719" s="1785"/>
      <c r="BA719" s="72"/>
      <c r="BB719" s="72"/>
      <c r="BC719" s="72"/>
      <c r="BD719" s="72"/>
      <c r="BE719" s="72"/>
      <c r="BF719" s="72"/>
      <c r="BG719" s="1401" t="s">
        <v>2213</v>
      </c>
      <c r="BH719" s="1402"/>
      <c r="BI719" s="1402"/>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43"/>
      <c r="B720" s="1952"/>
      <c r="C720" s="1953"/>
      <c r="D720" s="1953"/>
      <c r="E720" s="1953"/>
      <c r="F720" s="1954"/>
      <c r="G720" s="1830"/>
      <c r="H720" s="1831"/>
      <c r="I720" s="1831"/>
      <c r="J720" s="1832"/>
      <c r="K720" s="1810"/>
      <c r="L720" s="1811"/>
      <c r="M720" s="1811"/>
      <c r="N720" s="1812"/>
      <c r="O720" s="1813"/>
      <c r="P720" s="1814"/>
      <c r="Q720" s="1814"/>
      <c r="R720" s="1814"/>
      <c r="S720" s="1815"/>
      <c r="T720" s="1786">
        <f t="shared" si="26"/>
        <v>0</v>
      </c>
      <c r="U720" s="1787"/>
      <c r="V720" s="1787"/>
      <c r="W720" s="1787"/>
      <c r="X720" s="1788"/>
      <c r="Y720" s="1813"/>
      <c r="Z720" s="1814"/>
      <c r="AA720" s="1814"/>
      <c r="AB720" s="1815"/>
      <c r="AC720" s="1786">
        <f t="shared" si="27"/>
        <v>0</v>
      </c>
      <c r="AD720" s="1787"/>
      <c r="AE720" s="1787"/>
      <c r="AF720" s="1787"/>
      <c r="AG720" s="1788"/>
      <c r="AH720" s="1817">
        <v>0</v>
      </c>
      <c r="AI720" s="1818"/>
      <c r="AJ720" s="1818"/>
      <c r="AK720" s="1818"/>
      <c r="AL720" s="1819"/>
      <c r="AM720" s="1783" t="str">
        <f t="shared" si="28"/>
        <v xml:space="preserve"> </v>
      </c>
      <c r="AN720" s="1784"/>
      <c r="AO720" s="1785"/>
      <c r="BA720" s="72"/>
      <c r="BB720" s="72"/>
      <c r="BC720" s="72"/>
      <c r="BD720" s="72"/>
      <c r="BE720" s="72"/>
      <c r="BF720" s="72"/>
      <c r="BG720" s="1403" t="s">
        <v>1228</v>
      </c>
      <c r="BH720" s="1404" t="s">
        <v>1229</v>
      </c>
      <c r="BI720" s="1405"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43"/>
      <c r="B721" s="1952"/>
      <c r="C721" s="1953"/>
      <c r="D721" s="1953"/>
      <c r="E721" s="1953"/>
      <c r="F721" s="1954"/>
      <c r="G721" s="1830"/>
      <c r="H721" s="1831"/>
      <c r="I721" s="1831"/>
      <c r="J721" s="1832"/>
      <c r="K721" s="1810"/>
      <c r="L721" s="1811"/>
      <c r="M721" s="1811"/>
      <c r="N721" s="1812"/>
      <c r="O721" s="1813"/>
      <c r="P721" s="1814"/>
      <c r="Q721" s="1814"/>
      <c r="R721" s="1814"/>
      <c r="S721" s="1815"/>
      <c r="T721" s="1786">
        <f t="shared" si="26"/>
        <v>0</v>
      </c>
      <c r="U721" s="1787"/>
      <c r="V721" s="1787"/>
      <c r="W721" s="1787"/>
      <c r="X721" s="1788"/>
      <c r="Y721" s="1813"/>
      <c r="Z721" s="1814"/>
      <c r="AA721" s="1814"/>
      <c r="AB721" s="1815"/>
      <c r="AC721" s="1786">
        <f t="shared" si="27"/>
        <v>0</v>
      </c>
      <c r="AD721" s="1787"/>
      <c r="AE721" s="1787"/>
      <c r="AF721" s="1787"/>
      <c r="AG721" s="1788"/>
      <c r="AH721" s="1817">
        <v>0</v>
      </c>
      <c r="AI721" s="1818"/>
      <c r="AJ721" s="1818"/>
      <c r="AK721" s="1818"/>
      <c r="AL721" s="1819"/>
      <c r="AM721" s="1783" t="str">
        <f t="shared" si="28"/>
        <v xml:space="preserve"> </v>
      </c>
      <c r="AN721" s="1784"/>
      <c r="AO721" s="1785"/>
      <c r="BA721" s="72"/>
      <c r="BB721" s="72"/>
      <c r="BC721" s="72"/>
      <c r="BD721" s="72"/>
      <c r="BE721" s="72"/>
      <c r="BF721" s="72"/>
      <c r="BG721" s="1406">
        <f>G706</f>
        <v>11</v>
      </c>
      <c r="BH721" s="1410">
        <f>BG721/$BG$746</f>
        <v>0.11702127659574468</v>
      </c>
      <c r="BI721" s="1411">
        <f>IF(BH721=0," ",BH721*AM706)</f>
        <v>3.5092474712242763E-2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43"/>
      <c r="B722" s="1952"/>
      <c r="C722" s="1953"/>
      <c r="D722" s="1953"/>
      <c r="E722" s="1953"/>
      <c r="F722" s="1954"/>
      <c r="G722" s="1830"/>
      <c r="H722" s="1831"/>
      <c r="I722" s="1831"/>
      <c r="J722" s="1832"/>
      <c r="K722" s="1810"/>
      <c r="L722" s="1811"/>
      <c r="M722" s="1811"/>
      <c r="N722" s="1812"/>
      <c r="O722" s="1813"/>
      <c r="P722" s="1814"/>
      <c r="Q722" s="1814"/>
      <c r="R722" s="1814"/>
      <c r="S722" s="1815"/>
      <c r="T722" s="1786">
        <f t="shared" si="26"/>
        <v>0</v>
      </c>
      <c r="U722" s="1787"/>
      <c r="V722" s="1787"/>
      <c r="W722" s="1787"/>
      <c r="X722" s="1788"/>
      <c r="Y722" s="1813"/>
      <c r="Z722" s="1814"/>
      <c r="AA722" s="1814"/>
      <c r="AB722" s="1815"/>
      <c r="AC722" s="1786">
        <f t="shared" si="27"/>
        <v>0</v>
      </c>
      <c r="AD722" s="1787"/>
      <c r="AE722" s="1787"/>
      <c r="AF722" s="1787"/>
      <c r="AG722" s="1788"/>
      <c r="AH722" s="1817">
        <v>0</v>
      </c>
      <c r="AI722" s="1818"/>
      <c r="AJ722" s="1818"/>
      <c r="AK722" s="1818"/>
      <c r="AL722" s="1819"/>
      <c r="AM722" s="1783" t="str">
        <f t="shared" si="28"/>
        <v xml:space="preserve"> </v>
      </c>
      <c r="AN722" s="1784"/>
      <c r="AO722" s="1785"/>
      <c r="BA722" s="72"/>
      <c r="BB722" s="72"/>
      <c r="BC722" s="72"/>
      <c r="BD722" s="72"/>
      <c r="BE722" s="72"/>
      <c r="BF722" s="72"/>
      <c r="BG722" s="1406">
        <f t="shared" ref="BG722:BG745" si="29">G707</f>
        <v>6</v>
      </c>
      <c r="BH722" s="1410">
        <f t="shared" ref="BH722:BH745" si="30">BG722/$BG$746</f>
        <v>6.3829787234042548E-2</v>
      </c>
      <c r="BI722" s="1411">
        <f t="shared" ref="BI722:BI745" si="31">IF(BH722=0," ",BH722*AM707)</f>
        <v>2.5524328566445761E-2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43"/>
      <c r="B723" s="1952"/>
      <c r="C723" s="1953"/>
      <c r="D723" s="1953"/>
      <c r="E723" s="1953"/>
      <c r="F723" s="1954"/>
      <c r="G723" s="1830"/>
      <c r="H723" s="1831"/>
      <c r="I723" s="1831"/>
      <c r="J723" s="1832"/>
      <c r="K723" s="1810"/>
      <c r="L723" s="1811"/>
      <c r="M723" s="1811"/>
      <c r="N723" s="1812"/>
      <c r="O723" s="1813"/>
      <c r="P723" s="1814"/>
      <c r="Q723" s="1814"/>
      <c r="R723" s="1814"/>
      <c r="S723" s="1815"/>
      <c r="T723" s="1786">
        <f t="shared" si="26"/>
        <v>0</v>
      </c>
      <c r="U723" s="1787"/>
      <c r="V723" s="1787"/>
      <c r="W723" s="1787"/>
      <c r="X723" s="1788"/>
      <c r="Y723" s="1813"/>
      <c r="Z723" s="1814"/>
      <c r="AA723" s="1814"/>
      <c r="AB723" s="1815"/>
      <c r="AC723" s="1786">
        <f t="shared" si="27"/>
        <v>0</v>
      </c>
      <c r="AD723" s="1787"/>
      <c r="AE723" s="1787"/>
      <c r="AF723" s="1787"/>
      <c r="AG723" s="1788"/>
      <c r="AH723" s="1817">
        <v>0</v>
      </c>
      <c r="AI723" s="1818"/>
      <c r="AJ723" s="1818"/>
      <c r="AK723" s="1818"/>
      <c r="AL723" s="1819"/>
      <c r="AM723" s="1783" t="str">
        <f t="shared" si="28"/>
        <v xml:space="preserve"> </v>
      </c>
      <c r="AN723" s="1784"/>
      <c r="AO723" s="1785"/>
      <c r="BA723" s="75"/>
      <c r="BB723" s="75"/>
      <c r="BC723" s="75"/>
      <c r="BD723" s="75"/>
      <c r="BE723" s="75"/>
      <c r="BF723" s="75"/>
      <c r="BG723" s="1406">
        <f t="shared" si="29"/>
        <v>3</v>
      </c>
      <c r="BH723" s="1410">
        <f t="shared" si="30"/>
        <v>3.1914893617021274E-2</v>
      </c>
      <c r="BI723" s="1411">
        <f t="shared" si="31"/>
        <v>1.5957446808510637E-2</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43"/>
      <c r="B724" s="1952"/>
      <c r="C724" s="1953"/>
      <c r="D724" s="1953"/>
      <c r="E724" s="1953"/>
      <c r="F724" s="1954"/>
      <c r="G724" s="1830"/>
      <c r="H724" s="1831"/>
      <c r="I724" s="1831"/>
      <c r="J724" s="1832"/>
      <c r="K724" s="1810"/>
      <c r="L724" s="1811"/>
      <c r="M724" s="1811"/>
      <c r="N724" s="1812"/>
      <c r="O724" s="1813"/>
      <c r="P724" s="1814"/>
      <c r="Q724" s="1814"/>
      <c r="R724" s="1814"/>
      <c r="S724" s="1815"/>
      <c r="T724" s="1786">
        <f t="shared" si="26"/>
        <v>0</v>
      </c>
      <c r="U724" s="1787"/>
      <c r="V724" s="1787"/>
      <c r="W724" s="1787"/>
      <c r="X724" s="1788"/>
      <c r="Y724" s="1813"/>
      <c r="Z724" s="1814"/>
      <c r="AA724" s="1814"/>
      <c r="AB724" s="1815"/>
      <c r="AC724" s="1786">
        <f t="shared" si="27"/>
        <v>0</v>
      </c>
      <c r="AD724" s="1787"/>
      <c r="AE724" s="1787"/>
      <c r="AF724" s="1787"/>
      <c r="AG724" s="1788"/>
      <c r="AH724" s="1817">
        <v>0</v>
      </c>
      <c r="AI724" s="1818"/>
      <c r="AJ724" s="1818"/>
      <c r="AK724" s="1818"/>
      <c r="AL724" s="1819"/>
      <c r="AM724" s="1783" t="str">
        <f t="shared" si="28"/>
        <v xml:space="preserve"> </v>
      </c>
      <c r="AN724" s="1784"/>
      <c r="AO724" s="1785"/>
      <c r="BA724" s="75"/>
      <c r="BB724" s="75"/>
      <c r="BC724" s="75"/>
      <c r="BD724" s="75"/>
      <c r="BE724" s="75"/>
      <c r="BF724" s="75"/>
      <c r="BG724" s="1406">
        <f t="shared" si="29"/>
        <v>7</v>
      </c>
      <c r="BH724" s="1410">
        <f t="shared" si="30"/>
        <v>7.4468085106382975E-2</v>
      </c>
      <c r="BI724" s="1411">
        <f t="shared" si="31"/>
        <v>3.7225191838158353E-2</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43"/>
      <c r="B725" s="1952"/>
      <c r="C725" s="1953"/>
      <c r="D725" s="1953"/>
      <c r="E725" s="1953"/>
      <c r="F725" s="1954"/>
      <c r="G725" s="1830"/>
      <c r="H725" s="1831"/>
      <c r="I725" s="1831"/>
      <c r="J725" s="1832"/>
      <c r="K725" s="1810"/>
      <c r="L725" s="1811"/>
      <c r="M725" s="1811"/>
      <c r="N725" s="1812"/>
      <c r="O725" s="1813"/>
      <c r="P725" s="1814"/>
      <c r="Q725" s="1814"/>
      <c r="R725" s="1814"/>
      <c r="S725" s="1815"/>
      <c r="T725" s="1786">
        <f t="shared" si="26"/>
        <v>0</v>
      </c>
      <c r="U725" s="1787"/>
      <c r="V725" s="1787"/>
      <c r="W725" s="1787"/>
      <c r="X725" s="1788"/>
      <c r="Y725" s="1813"/>
      <c r="Z725" s="1814"/>
      <c r="AA725" s="1814"/>
      <c r="AB725" s="1815"/>
      <c r="AC725" s="1786">
        <f t="shared" si="27"/>
        <v>0</v>
      </c>
      <c r="AD725" s="1787"/>
      <c r="AE725" s="1787"/>
      <c r="AF725" s="1787"/>
      <c r="AG725" s="1788"/>
      <c r="AH725" s="1817">
        <v>0</v>
      </c>
      <c r="AI725" s="1818"/>
      <c r="AJ725" s="1818"/>
      <c r="AK725" s="1818"/>
      <c r="AL725" s="1819"/>
      <c r="AM725" s="1783" t="str">
        <f t="shared" si="28"/>
        <v xml:space="preserve"> </v>
      </c>
      <c r="AN725" s="1784"/>
      <c r="AO725" s="1785"/>
      <c r="BA725" s="75"/>
      <c r="BB725" s="75"/>
      <c r="BC725" s="75"/>
      <c r="BD725" s="75"/>
      <c r="BE725" s="75"/>
      <c r="BF725" s="75"/>
      <c r="BG725" s="1406">
        <f t="shared" si="29"/>
        <v>19</v>
      </c>
      <c r="BH725" s="1410">
        <f t="shared" si="30"/>
        <v>0.20212765957446807</v>
      </c>
      <c r="BI725" s="1411">
        <f t="shared" si="31"/>
        <v>0.1616781042901988</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43"/>
      <c r="B726" s="1952"/>
      <c r="C726" s="1953"/>
      <c r="D726" s="1953"/>
      <c r="E726" s="1953"/>
      <c r="F726" s="1954"/>
      <c r="G726" s="1830"/>
      <c r="H726" s="1831"/>
      <c r="I726" s="1831"/>
      <c r="J726" s="1832"/>
      <c r="K726" s="1810"/>
      <c r="L726" s="1811"/>
      <c r="M726" s="1811"/>
      <c r="N726" s="1812"/>
      <c r="O726" s="1813"/>
      <c r="P726" s="1814"/>
      <c r="Q726" s="1814"/>
      <c r="R726" s="1814"/>
      <c r="S726" s="1815"/>
      <c r="T726" s="1786">
        <f t="shared" si="26"/>
        <v>0</v>
      </c>
      <c r="U726" s="1787"/>
      <c r="V726" s="1787"/>
      <c r="W726" s="1787"/>
      <c r="X726" s="1788"/>
      <c r="Y726" s="1813"/>
      <c r="Z726" s="1814"/>
      <c r="AA726" s="1814"/>
      <c r="AB726" s="1815"/>
      <c r="AC726" s="1786">
        <f t="shared" si="27"/>
        <v>0</v>
      </c>
      <c r="AD726" s="1787"/>
      <c r="AE726" s="1787"/>
      <c r="AF726" s="1787"/>
      <c r="AG726" s="1788"/>
      <c r="AH726" s="1817">
        <v>0</v>
      </c>
      <c r="AI726" s="1818"/>
      <c r="AJ726" s="1818"/>
      <c r="AK726" s="1818"/>
      <c r="AL726" s="1819"/>
      <c r="AM726" s="1783" t="str">
        <f t="shared" si="28"/>
        <v xml:space="preserve"> </v>
      </c>
      <c r="AN726" s="1784"/>
      <c r="AO726" s="1785"/>
      <c r="BA726" s="75"/>
      <c r="BB726" s="75"/>
      <c r="BC726" s="75"/>
      <c r="BD726" s="75"/>
      <c r="BE726" s="75"/>
      <c r="BF726" s="75"/>
      <c r="BG726" s="1406">
        <f t="shared" si="29"/>
        <v>6</v>
      </c>
      <c r="BH726" s="1410">
        <f t="shared" si="30"/>
        <v>6.3829787234042548E-2</v>
      </c>
      <c r="BI726" s="1411">
        <f t="shared" si="31"/>
        <v>1.9153299108506276E-2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43"/>
      <c r="B727" s="1952"/>
      <c r="C727" s="1953"/>
      <c r="D727" s="1953"/>
      <c r="E727" s="1953"/>
      <c r="F727" s="1954"/>
      <c r="G727" s="1830"/>
      <c r="H727" s="1831"/>
      <c r="I727" s="1831"/>
      <c r="J727" s="1832"/>
      <c r="K727" s="1810"/>
      <c r="L727" s="1811"/>
      <c r="M727" s="1811"/>
      <c r="N727" s="1812"/>
      <c r="O727" s="1813"/>
      <c r="P727" s="1814"/>
      <c r="Q727" s="1814"/>
      <c r="R727" s="1814"/>
      <c r="S727" s="1815"/>
      <c r="T727" s="1786">
        <f t="shared" si="26"/>
        <v>0</v>
      </c>
      <c r="U727" s="1787"/>
      <c r="V727" s="1787"/>
      <c r="W727" s="1787"/>
      <c r="X727" s="1788"/>
      <c r="Y727" s="1813"/>
      <c r="Z727" s="1814"/>
      <c r="AA727" s="1814"/>
      <c r="AB727" s="1815"/>
      <c r="AC727" s="1786">
        <f t="shared" si="27"/>
        <v>0</v>
      </c>
      <c r="AD727" s="1787"/>
      <c r="AE727" s="1787"/>
      <c r="AF727" s="1787"/>
      <c r="AG727" s="1788"/>
      <c r="AH727" s="1817">
        <v>0</v>
      </c>
      <c r="AI727" s="1818"/>
      <c r="AJ727" s="1818"/>
      <c r="AK727" s="1818"/>
      <c r="AL727" s="1819"/>
      <c r="AM727" s="1783" t="str">
        <f t="shared" si="28"/>
        <v xml:space="preserve"> </v>
      </c>
      <c r="AN727" s="1784"/>
      <c r="AO727" s="1785"/>
      <c r="BA727" s="75"/>
      <c r="BB727" s="75"/>
      <c r="BC727" s="75"/>
      <c r="BD727" s="75"/>
      <c r="BE727" s="75"/>
      <c r="BF727" s="75"/>
      <c r="BG727" s="1406">
        <f t="shared" si="29"/>
        <v>1</v>
      </c>
      <c r="BH727" s="1410">
        <f t="shared" si="30"/>
        <v>1.0638297872340425E-2</v>
      </c>
      <c r="BI727" s="1411">
        <f t="shared" si="31"/>
        <v>4.2575006180829251E-3</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43"/>
      <c r="B728" s="1952"/>
      <c r="C728" s="1953"/>
      <c r="D728" s="1953"/>
      <c r="E728" s="1953"/>
      <c r="F728" s="1954"/>
      <c r="G728" s="1830"/>
      <c r="H728" s="1831"/>
      <c r="I728" s="1831"/>
      <c r="J728" s="1832"/>
      <c r="K728" s="1810"/>
      <c r="L728" s="1811"/>
      <c r="M728" s="1811"/>
      <c r="N728" s="1812"/>
      <c r="O728" s="1813"/>
      <c r="P728" s="1814"/>
      <c r="Q728" s="1814"/>
      <c r="R728" s="1814"/>
      <c r="S728" s="1815"/>
      <c r="T728" s="1786">
        <f t="shared" si="26"/>
        <v>0</v>
      </c>
      <c r="U728" s="1787"/>
      <c r="V728" s="1787"/>
      <c r="W728" s="1787"/>
      <c r="X728" s="1788"/>
      <c r="Y728" s="1813"/>
      <c r="Z728" s="1814"/>
      <c r="AA728" s="1814"/>
      <c r="AB728" s="1815"/>
      <c r="AC728" s="1786">
        <f t="shared" si="27"/>
        <v>0</v>
      </c>
      <c r="AD728" s="1787"/>
      <c r="AE728" s="1787"/>
      <c r="AF728" s="1787"/>
      <c r="AG728" s="1788"/>
      <c r="AH728" s="1817">
        <v>0</v>
      </c>
      <c r="AI728" s="1818"/>
      <c r="AJ728" s="1818"/>
      <c r="AK728" s="1818"/>
      <c r="AL728" s="1819"/>
      <c r="AM728" s="1783" t="str">
        <f t="shared" si="28"/>
        <v xml:space="preserve"> </v>
      </c>
      <c r="AN728" s="1784"/>
      <c r="AO728" s="1785"/>
      <c r="BA728" s="62"/>
      <c r="BB728" s="326"/>
      <c r="BC728" s="326"/>
      <c r="BD728" s="326"/>
      <c r="BE728" s="781"/>
      <c r="BF728" s="781"/>
      <c r="BG728" s="1406">
        <f t="shared" si="29"/>
        <v>17</v>
      </c>
      <c r="BH728" s="1410">
        <f t="shared" si="30"/>
        <v>0.18085106382978725</v>
      </c>
      <c r="BI728" s="1411">
        <f t="shared" si="31"/>
        <v>0.14472411686857375</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43"/>
      <c r="B729" s="1952"/>
      <c r="C729" s="1953"/>
      <c r="D729" s="1953"/>
      <c r="E729" s="1953"/>
      <c r="F729" s="1954"/>
      <c r="G729" s="1830"/>
      <c r="H729" s="1831"/>
      <c r="I729" s="1831"/>
      <c r="J729" s="1832"/>
      <c r="K729" s="1810"/>
      <c r="L729" s="1811"/>
      <c r="M729" s="1811"/>
      <c r="N729" s="1812"/>
      <c r="O729" s="1813"/>
      <c r="P729" s="1814"/>
      <c r="Q729" s="1814"/>
      <c r="R729" s="1814"/>
      <c r="S729" s="1815"/>
      <c r="T729" s="1786">
        <f t="shared" si="26"/>
        <v>0</v>
      </c>
      <c r="U729" s="1787"/>
      <c r="V729" s="1787"/>
      <c r="W729" s="1787"/>
      <c r="X729" s="1788"/>
      <c r="Y729" s="1813"/>
      <c r="Z729" s="1814"/>
      <c r="AA729" s="1814"/>
      <c r="AB729" s="1815"/>
      <c r="AC729" s="1786">
        <f t="shared" si="27"/>
        <v>0</v>
      </c>
      <c r="AD729" s="1787"/>
      <c r="AE729" s="1787"/>
      <c r="AF729" s="1787"/>
      <c r="AG729" s="1788"/>
      <c r="AH729" s="1817">
        <v>0</v>
      </c>
      <c r="AI729" s="1818"/>
      <c r="AJ729" s="1818"/>
      <c r="AK729" s="1818"/>
      <c r="AL729" s="1819"/>
      <c r="AM729" s="1783" t="str">
        <f t="shared" si="28"/>
        <v xml:space="preserve"> </v>
      </c>
      <c r="AN729" s="1784"/>
      <c r="AO729" s="1785"/>
      <c r="BA729" s="326"/>
      <c r="BB729" s="326"/>
      <c r="BC729" s="326"/>
      <c r="BD729" s="326"/>
      <c r="BE729" s="781"/>
      <c r="BF729" s="781"/>
      <c r="BG729" s="1406">
        <f t="shared" si="29"/>
        <v>7</v>
      </c>
      <c r="BH729" s="1410">
        <f t="shared" si="30"/>
        <v>7.4468085106382975E-2</v>
      </c>
      <c r="BI729" s="1411">
        <f t="shared" si="31"/>
        <v>2.2349233111466207E-2</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43"/>
      <c r="B730" s="1952"/>
      <c r="C730" s="1953"/>
      <c r="D730" s="1953"/>
      <c r="E730" s="1953"/>
      <c r="F730" s="1954"/>
      <c r="G730" s="1830"/>
      <c r="H730" s="1831"/>
      <c r="I730" s="1831"/>
      <c r="J730" s="1832"/>
      <c r="K730" s="1810"/>
      <c r="L730" s="1811"/>
      <c r="M730" s="1811"/>
      <c r="N730" s="1812"/>
      <c r="O730" s="1813"/>
      <c r="P730" s="1814"/>
      <c r="Q730" s="1814"/>
      <c r="R730" s="1814"/>
      <c r="S730" s="1815"/>
      <c r="T730" s="1786">
        <f t="shared" si="26"/>
        <v>0</v>
      </c>
      <c r="U730" s="1787"/>
      <c r="V730" s="1787"/>
      <c r="W730" s="1787"/>
      <c r="X730" s="1788"/>
      <c r="Y730" s="1813"/>
      <c r="Z730" s="1814"/>
      <c r="AA730" s="1814"/>
      <c r="AB730" s="1815"/>
      <c r="AC730" s="1786">
        <f t="shared" si="27"/>
        <v>0</v>
      </c>
      <c r="AD730" s="1787"/>
      <c r="AE730" s="1787"/>
      <c r="AF730" s="1787"/>
      <c r="AG730" s="1788"/>
      <c r="AH730" s="1817">
        <v>0</v>
      </c>
      <c r="AI730" s="1818"/>
      <c r="AJ730" s="1818"/>
      <c r="AK730" s="1818"/>
      <c r="AL730" s="1819"/>
      <c r="AM730" s="1783" t="str">
        <f t="shared" si="28"/>
        <v xml:space="preserve"> </v>
      </c>
      <c r="AN730" s="1784"/>
      <c r="AO730" s="1785"/>
      <c r="BA730" s="326"/>
      <c r="BB730" s="326"/>
      <c r="BC730" s="326"/>
      <c r="BD730" s="326"/>
      <c r="BE730" s="781"/>
      <c r="BF730" s="781"/>
      <c r="BG730" s="1406">
        <f t="shared" si="29"/>
        <v>3</v>
      </c>
      <c r="BH730" s="1410">
        <f t="shared" si="30"/>
        <v>3.1914893617021274E-2</v>
      </c>
      <c r="BI730" s="1411">
        <f t="shared" si="31"/>
        <v>1.2767844785283793E-2</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43"/>
      <c r="B731" s="1740" t="s">
        <v>955</v>
      </c>
      <c r="C731" s="1741"/>
      <c r="D731" s="1741"/>
      <c r="E731" s="1741"/>
      <c r="F731" s="1742"/>
      <c r="G731" s="2167">
        <f>SUM(G706:J730)</f>
        <v>94</v>
      </c>
      <c r="H731" s="2168"/>
      <c r="I731" s="2168"/>
      <c r="J731" s="2169"/>
      <c r="K731" s="1343"/>
      <c r="L731" s="1343"/>
      <c r="M731" s="1343"/>
      <c r="N731" s="1343"/>
      <c r="O731" s="661" t="s">
        <v>954</v>
      </c>
      <c r="P731" s="662"/>
      <c r="Q731" s="662"/>
      <c r="R731" s="662"/>
      <c r="S731" s="1396"/>
      <c r="T731" s="1786">
        <f>SUM(T706:X730)</f>
        <v>150664</v>
      </c>
      <c r="U731" s="1787"/>
      <c r="V731" s="1787"/>
      <c r="W731" s="1787"/>
      <c r="X731" s="1788"/>
      <c r="Y731" s="1343"/>
      <c r="Z731" s="1343"/>
      <c r="AA731" s="1343"/>
      <c r="AB731" s="1343"/>
      <c r="AC731" s="1397" t="s">
        <v>1231</v>
      </c>
      <c r="AD731" s="1398"/>
      <c r="AE731" s="1398"/>
      <c r="AF731" s="1398"/>
      <c r="AG731" s="1399"/>
      <c r="AH731" s="1789">
        <f>BI715</f>
        <v>0.57978723404255317</v>
      </c>
      <c r="AI731" s="1790"/>
      <c r="AJ731" s="1790"/>
      <c r="AK731" s="1790"/>
      <c r="AL731" s="1791"/>
      <c r="AM731" s="1789">
        <f>BI746</f>
        <v>0.57982828625649607</v>
      </c>
      <c r="AN731" s="1790"/>
      <c r="AO731" s="1791"/>
      <c r="BA731" s="326"/>
      <c r="BB731" s="326"/>
      <c r="BC731" s="326"/>
      <c r="BD731" s="326"/>
      <c r="BE731" s="781"/>
      <c r="BF731" s="781"/>
      <c r="BG731" s="1406">
        <f t="shared" si="29"/>
        <v>4</v>
      </c>
      <c r="BH731" s="1410">
        <f t="shared" si="30"/>
        <v>4.2553191489361701E-2</v>
      </c>
      <c r="BI731" s="1411">
        <f t="shared" si="31"/>
        <v>2.1276595744680851E-2</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995" t="s">
        <v>2286</v>
      </c>
      <c r="D732" s="1995"/>
      <c r="E732" s="1995"/>
      <c r="F732" s="1995"/>
      <c r="G732" s="1995"/>
      <c r="H732" s="1995"/>
      <c r="I732" s="1995"/>
      <c r="J732" s="1995"/>
      <c r="K732" s="1995"/>
      <c r="L732" s="1995"/>
      <c r="M732" s="1995"/>
      <c r="N732" s="1995"/>
      <c r="O732" s="1995"/>
      <c r="P732" s="1995"/>
      <c r="Q732" s="1995"/>
      <c r="R732" s="1995"/>
      <c r="S732" s="1995"/>
      <c r="T732" s="1995"/>
      <c r="U732" s="1995"/>
      <c r="V732" s="1995"/>
      <c r="W732" s="1995"/>
      <c r="X732" s="1995"/>
      <c r="Y732" s="1995"/>
      <c r="Z732" s="1995"/>
      <c r="AA732" s="1995"/>
      <c r="AB732" s="1995"/>
      <c r="AC732" s="1995"/>
      <c r="AD732" s="1995"/>
      <c r="AE732" s="1995"/>
      <c r="AF732" s="1995"/>
      <c r="AG732" s="1995"/>
      <c r="AH732" s="1995"/>
      <c r="AL732" s="72"/>
      <c r="AM732" s="781"/>
      <c r="BA732" s="72"/>
      <c r="BB732" s="72"/>
      <c r="BC732" s="72"/>
      <c r="BD732" s="72"/>
      <c r="BE732" s="72"/>
      <c r="BF732" s="72"/>
      <c r="BG732" s="1406">
        <f t="shared" si="29"/>
        <v>1</v>
      </c>
      <c r="BH732" s="1410">
        <f t="shared" si="30"/>
        <v>1.0638297872340425E-2</v>
      </c>
      <c r="BI732" s="1411">
        <f t="shared" si="31"/>
        <v>3.1921499301684766E-3</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C733" s="1995"/>
      <c r="D733" s="1995"/>
      <c r="E733" s="1995"/>
      <c r="F733" s="1995"/>
      <c r="G733" s="1995"/>
      <c r="H733" s="1995"/>
      <c r="I733" s="1995"/>
      <c r="J733" s="1995"/>
      <c r="K733" s="1995"/>
      <c r="L733" s="1995"/>
      <c r="M733" s="1995"/>
      <c r="N733" s="1995"/>
      <c r="O733" s="1995"/>
      <c r="P733" s="1995"/>
      <c r="Q733" s="1995"/>
      <c r="R733" s="1995"/>
      <c r="S733" s="1995"/>
      <c r="T733" s="1995"/>
      <c r="U733" s="1995"/>
      <c r="V733" s="1995"/>
      <c r="W733" s="1995"/>
      <c r="X733" s="1995"/>
      <c r="Y733" s="1995"/>
      <c r="Z733" s="1995"/>
      <c r="AA733" s="1995"/>
      <c r="AB733" s="1995"/>
      <c r="AC733" s="1995"/>
      <c r="AD733" s="1995"/>
      <c r="AE733" s="1995"/>
      <c r="AF733" s="1995"/>
      <c r="AG733" s="1995"/>
      <c r="AH733" s="1995"/>
      <c r="AL733" s="72"/>
      <c r="AM733" s="72"/>
      <c r="BA733" s="72"/>
      <c r="BB733" s="72"/>
      <c r="BC733" s="72"/>
      <c r="BD733" s="72"/>
      <c r="BE733" s="72"/>
      <c r="BF733" s="72"/>
      <c r="BG733" s="1406">
        <f t="shared" si="29"/>
        <v>9</v>
      </c>
      <c r="BH733" s="1410">
        <f t="shared" si="30"/>
        <v>9.5744680851063829E-2</v>
      </c>
      <c r="BI733" s="1411">
        <f t="shared" si="31"/>
        <v>7.6629999874177429E-2</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C734" s="1494" t="s">
        <v>2287</v>
      </c>
      <c r="D734" s="1497"/>
      <c r="E734" s="1497"/>
      <c r="F734" s="1497"/>
      <c r="G734" s="1498"/>
      <c r="H734" s="1498"/>
      <c r="I734" s="1498"/>
      <c r="J734" s="1498"/>
      <c r="K734" s="1497"/>
      <c r="L734" s="1497"/>
      <c r="M734" s="1497"/>
      <c r="N734" s="1497"/>
      <c r="O734" s="2173">
        <f>CQ629</f>
        <v>166</v>
      </c>
      <c r="P734" s="2173"/>
      <c r="Q734" s="2173"/>
      <c r="R734" s="2173"/>
      <c r="S734" s="1499"/>
      <c r="T734" s="1499"/>
      <c r="U734" s="1494" t="s">
        <v>2288</v>
      </c>
      <c r="V734" s="1497"/>
      <c r="W734" s="1497"/>
      <c r="X734" s="1497"/>
      <c r="Y734" s="1498"/>
      <c r="Z734" s="1498"/>
      <c r="AA734" s="1498"/>
      <c r="AB734" s="1498"/>
      <c r="AC734" s="1497"/>
      <c r="AD734" s="1497"/>
      <c r="AE734" s="1497"/>
      <c r="AF734" s="1497"/>
      <c r="AG734" s="2174">
        <v>0</v>
      </c>
      <c r="AH734" s="2174"/>
      <c r="AI734" s="2174"/>
      <c r="AJ734" s="2174"/>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1500" t="s">
        <v>2285</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6" t="s">
        <v>119</v>
      </c>
      <c r="AA736" s="1816"/>
      <c r="AB736" s="1816"/>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B737" s="2172" t="s">
        <v>2284</v>
      </c>
      <c r="C737" s="2172"/>
      <c r="D737" s="2172"/>
      <c r="E737" s="2172"/>
      <c r="F737" s="2172"/>
      <c r="G737" s="2172"/>
      <c r="H737" s="2172"/>
      <c r="I737" s="2172"/>
      <c r="J737" s="2172"/>
      <c r="K737" s="2172"/>
      <c r="L737" s="2172"/>
      <c r="M737" s="2172"/>
      <c r="N737" s="2172"/>
      <c r="O737" s="2172"/>
      <c r="P737" s="2172"/>
      <c r="Q737" s="2172"/>
      <c r="R737" s="2172"/>
      <c r="S737" s="2172"/>
      <c r="T737" s="2172"/>
      <c r="U737" s="2172"/>
      <c r="V737" s="2172"/>
      <c r="W737" s="2172"/>
      <c r="X737" s="2172"/>
      <c r="Y737" s="2172"/>
      <c r="Z737" s="2172"/>
      <c r="AA737" s="2172"/>
      <c r="AB737" s="2172"/>
      <c r="AC737" s="2172"/>
      <c r="AD737" s="2172"/>
      <c r="AE737" s="2172"/>
      <c r="AF737" s="2172"/>
      <c r="AG737" s="2172"/>
      <c r="AH737" s="2172"/>
      <c r="AI737" s="2172"/>
      <c r="AJ737" s="2172"/>
      <c r="AK737" s="2172"/>
      <c r="AL737" s="2172"/>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72"/>
      <c r="C738" s="2172"/>
      <c r="D738" s="2172"/>
      <c r="E738" s="2172"/>
      <c r="F738" s="2172"/>
      <c r="G738" s="2172"/>
      <c r="H738" s="2172"/>
      <c r="I738" s="2172"/>
      <c r="J738" s="2172"/>
      <c r="K738" s="2172"/>
      <c r="L738" s="2172"/>
      <c r="M738" s="2172"/>
      <c r="N738" s="2172"/>
      <c r="O738" s="2172"/>
      <c r="P738" s="2172"/>
      <c r="Q738" s="2172"/>
      <c r="R738" s="2172"/>
      <c r="S738" s="2172"/>
      <c r="T738" s="2172"/>
      <c r="U738" s="2172"/>
      <c r="V738" s="2172"/>
      <c r="W738" s="2172"/>
      <c r="X738" s="2172"/>
      <c r="Y738" s="2172"/>
      <c r="Z738" s="2172"/>
      <c r="AA738" s="2172"/>
      <c r="AB738" s="2172"/>
      <c r="AC738" s="2172"/>
      <c r="AD738" s="2172"/>
      <c r="AE738" s="2172"/>
      <c r="AF738" s="2172"/>
      <c r="AG738" s="2172"/>
      <c r="AH738" s="2172"/>
      <c r="AI738" s="2172"/>
      <c r="AJ738" s="2172"/>
      <c r="AK738" s="2172"/>
      <c r="AL738" s="2172"/>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2171" t="s">
        <v>1656</v>
      </c>
      <c r="D740" s="2171"/>
      <c r="E740" s="2171"/>
      <c r="F740" s="2171"/>
      <c r="G740" s="2171"/>
      <c r="H740" s="2171"/>
      <c r="I740" s="2171"/>
      <c r="J740" s="2171"/>
      <c r="K740" s="2171"/>
      <c r="L740" s="2171"/>
      <c r="M740" s="2171"/>
      <c r="N740" s="2171"/>
      <c r="O740" s="2171"/>
      <c r="P740" s="2171"/>
      <c r="Q740" s="2171"/>
      <c r="R740" s="2171"/>
      <c r="S740" s="2171"/>
      <c r="T740" s="2171"/>
      <c r="U740" s="2171"/>
      <c r="V740" s="2171"/>
      <c r="W740" s="2171"/>
      <c r="X740" s="2171"/>
      <c r="Y740" s="2171"/>
      <c r="Z740" s="2171"/>
      <c r="AA740" s="2171"/>
      <c r="AB740" s="2171"/>
      <c r="AC740" s="2171"/>
      <c r="AD740" s="2171"/>
      <c r="AE740" s="2171"/>
      <c r="AF740" s="2171"/>
      <c r="AG740" s="2171"/>
      <c r="AH740" s="2171"/>
      <c r="AI740" s="2171"/>
      <c r="AJ740" s="2171"/>
      <c r="AK740" s="2171"/>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171"/>
      <c r="D741" s="2171"/>
      <c r="E741" s="2171"/>
      <c r="F741" s="2171"/>
      <c r="G741" s="2171"/>
      <c r="H741" s="2171"/>
      <c r="I741" s="2171"/>
      <c r="J741" s="2171"/>
      <c r="K741" s="2171"/>
      <c r="L741" s="2171"/>
      <c r="M741" s="2171"/>
      <c r="N741" s="2171"/>
      <c r="O741" s="2171"/>
      <c r="P741" s="2171"/>
      <c r="Q741" s="2171"/>
      <c r="R741" s="2171"/>
      <c r="S741" s="2171"/>
      <c r="T741" s="2171"/>
      <c r="U741" s="2171"/>
      <c r="V741" s="2171"/>
      <c r="W741" s="2171"/>
      <c r="X741" s="2171"/>
      <c r="Y741" s="2171"/>
      <c r="Z741" s="2171"/>
      <c r="AA741" s="2171"/>
      <c r="AB741" s="2171"/>
      <c r="AC741" s="2171"/>
      <c r="AD741" s="2171"/>
      <c r="AE741" s="2171"/>
      <c r="AF741" s="2171"/>
      <c r="AG741" s="2171"/>
      <c r="AH741" s="2171"/>
      <c r="AI741" s="2171"/>
      <c r="AJ741" s="2171"/>
      <c r="AK741" s="2171"/>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171"/>
      <c r="D742" s="2171"/>
      <c r="E742" s="2171"/>
      <c r="F742" s="2171"/>
      <c r="G742" s="2171"/>
      <c r="H742" s="2171"/>
      <c r="I742" s="2171"/>
      <c r="J742" s="2171"/>
      <c r="K742" s="2171"/>
      <c r="L742" s="2171"/>
      <c r="M742" s="2171"/>
      <c r="N742" s="2171"/>
      <c r="O742" s="2171"/>
      <c r="P742" s="2171"/>
      <c r="Q742" s="2171"/>
      <c r="R742" s="2171"/>
      <c r="S742" s="2171"/>
      <c r="T742" s="2171"/>
      <c r="U742" s="2171"/>
      <c r="V742" s="2171"/>
      <c r="W742" s="2171"/>
      <c r="X742" s="2171"/>
      <c r="Y742" s="2171"/>
      <c r="Z742" s="2171"/>
      <c r="AA742" s="2171"/>
      <c r="AB742" s="2171"/>
      <c r="AC742" s="2171"/>
      <c r="AD742" s="2171"/>
      <c r="AE742" s="2171"/>
      <c r="AF742" s="2171"/>
      <c r="AG742" s="2171"/>
      <c r="AH742" s="2171"/>
      <c r="AI742" s="2171"/>
      <c r="AJ742" s="2171"/>
      <c r="AK742" s="2171"/>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171"/>
      <c r="D743" s="2171"/>
      <c r="E743" s="2171"/>
      <c r="F743" s="2171"/>
      <c r="G743" s="2171"/>
      <c r="H743" s="2171"/>
      <c r="I743" s="2171"/>
      <c r="J743" s="2171"/>
      <c r="K743" s="2171"/>
      <c r="L743" s="2171"/>
      <c r="M743" s="2171"/>
      <c r="N743" s="2171"/>
      <c r="O743" s="2171"/>
      <c r="P743" s="2171"/>
      <c r="Q743" s="2171"/>
      <c r="R743" s="2171"/>
      <c r="S743" s="2171"/>
      <c r="T743" s="2171"/>
      <c r="U743" s="2171"/>
      <c r="V743" s="2171"/>
      <c r="W743" s="2171"/>
      <c r="X743" s="2171"/>
      <c r="Y743" s="2171"/>
      <c r="Z743" s="2171"/>
      <c r="AA743" s="2171"/>
      <c r="AB743" s="2171"/>
      <c r="AC743" s="2171"/>
      <c r="AD743" s="2171"/>
      <c r="AE743" s="2171"/>
      <c r="AF743" s="2171"/>
      <c r="AG743" s="2171"/>
      <c r="AH743" s="2171"/>
      <c r="AI743" s="2171"/>
      <c r="AJ743" s="2171"/>
      <c r="AK743" s="2171"/>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171"/>
      <c r="D744" s="2171"/>
      <c r="E744" s="2171"/>
      <c r="F744" s="2171"/>
      <c r="G744" s="2171"/>
      <c r="H744" s="2171"/>
      <c r="I744" s="2171"/>
      <c r="J744" s="2171"/>
      <c r="K744" s="2171"/>
      <c r="L744" s="2171"/>
      <c r="M744" s="2171"/>
      <c r="N744" s="2171"/>
      <c r="O744" s="2171"/>
      <c r="P744" s="2171"/>
      <c r="Q744" s="2171"/>
      <c r="R744" s="2171"/>
      <c r="S744" s="2171"/>
      <c r="T744" s="2171"/>
      <c r="U744" s="2171"/>
      <c r="V744" s="2171"/>
      <c r="W744" s="2171"/>
      <c r="X744" s="2171"/>
      <c r="Y744" s="2171"/>
      <c r="Z744" s="2171"/>
      <c r="AA744" s="2171"/>
      <c r="AB744" s="2171"/>
      <c r="AC744" s="2171"/>
      <c r="AD744" s="2171"/>
      <c r="AE744" s="2171"/>
      <c r="AF744" s="2171"/>
      <c r="AG744" s="2171"/>
      <c r="AH744" s="2171"/>
      <c r="AI744" s="2171"/>
      <c r="AJ744" s="2171"/>
      <c r="AK744" s="2171"/>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171"/>
      <c r="D745" s="2171"/>
      <c r="E745" s="2171"/>
      <c r="F745" s="2171"/>
      <c r="G745" s="2171"/>
      <c r="H745" s="2171"/>
      <c r="I745" s="2171"/>
      <c r="J745" s="2171"/>
      <c r="K745" s="2171"/>
      <c r="L745" s="2171"/>
      <c r="M745" s="2171"/>
      <c r="N745" s="2171"/>
      <c r="O745" s="2171"/>
      <c r="P745" s="2171"/>
      <c r="Q745" s="2171"/>
      <c r="R745" s="2171"/>
      <c r="S745" s="2171"/>
      <c r="T745" s="2171"/>
      <c r="U745" s="2171"/>
      <c r="V745" s="2171"/>
      <c r="W745" s="2171"/>
      <c r="X745" s="2171"/>
      <c r="Y745" s="2171"/>
      <c r="Z745" s="2171"/>
      <c r="AA745" s="2171"/>
      <c r="AB745" s="2171"/>
      <c r="AC745" s="2171"/>
      <c r="AD745" s="2171"/>
      <c r="AE745" s="2171"/>
      <c r="AF745" s="2171"/>
      <c r="AG745" s="2171"/>
      <c r="AH745" s="2171"/>
      <c r="AI745" s="2171"/>
      <c r="AJ745" s="2171"/>
      <c r="AK745" s="2171"/>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171"/>
      <c r="D746" s="2171"/>
      <c r="E746" s="2171"/>
      <c r="F746" s="2171"/>
      <c r="G746" s="2171"/>
      <c r="H746" s="2171"/>
      <c r="I746" s="2171"/>
      <c r="J746" s="2171"/>
      <c r="K746" s="2171"/>
      <c r="L746" s="2171"/>
      <c r="M746" s="2171"/>
      <c r="N746" s="2171"/>
      <c r="O746" s="2171"/>
      <c r="P746" s="2171"/>
      <c r="Q746" s="2171"/>
      <c r="R746" s="2171"/>
      <c r="S746" s="2171"/>
      <c r="T746" s="2171"/>
      <c r="U746" s="2171"/>
      <c r="V746" s="2171"/>
      <c r="W746" s="2171"/>
      <c r="X746" s="2171"/>
      <c r="Y746" s="2171"/>
      <c r="Z746" s="2171"/>
      <c r="AA746" s="2171"/>
      <c r="AB746" s="2171"/>
      <c r="AC746" s="2171"/>
      <c r="AD746" s="2171"/>
      <c r="AE746" s="2171"/>
      <c r="AF746" s="2171"/>
      <c r="AG746" s="2171"/>
      <c r="AH746" s="2171"/>
      <c r="AI746" s="2171"/>
      <c r="AJ746" s="2171"/>
      <c r="AK746" s="2171"/>
      <c r="AM746" s="72"/>
      <c r="BA746" s="72"/>
      <c r="BB746" s="72"/>
      <c r="BC746" s="72"/>
      <c r="BD746" s="72"/>
      <c r="BE746" s="72"/>
      <c r="BF746" s="72"/>
      <c r="BG746" s="1407">
        <f>SUM(BG721:BG745)</f>
        <v>94</v>
      </c>
      <c r="BH746" s="1408">
        <f>SUM(BH721:BH745)</f>
        <v>0.99999999999999978</v>
      </c>
      <c r="BI746" s="1408">
        <f>SUM(BI721:BI745)</f>
        <v>0.57982828625649607</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2171"/>
      <c r="D747" s="2171"/>
      <c r="E747" s="2171"/>
      <c r="F747" s="2171"/>
      <c r="G747" s="2171"/>
      <c r="H747" s="2171"/>
      <c r="I747" s="2171"/>
      <c r="J747" s="2171"/>
      <c r="K747" s="2171"/>
      <c r="L747" s="2171"/>
      <c r="M747" s="2171"/>
      <c r="N747" s="2171"/>
      <c r="O747" s="2171"/>
      <c r="P747" s="2171"/>
      <c r="Q747" s="2171"/>
      <c r="R747" s="2171"/>
      <c r="S747" s="2171"/>
      <c r="T747" s="2171"/>
      <c r="U747" s="2171"/>
      <c r="V747" s="2171"/>
      <c r="W747" s="2171"/>
      <c r="X747" s="2171"/>
      <c r="Y747" s="2171"/>
      <c r="Z747" s="2171"/>
      <c r="AA747" s="2171"/>
      <c r="AB747" s="2171"/>
      <c r="AC747" s="2171"/>
      <c r="AD747" s="2171"/>
      <c r="AE747" s="2171"/>
      <c r="AF747" s="2171"/>
      <c r="AG747" s="2171"/>
      <c r="AH747" s="2171"/>
      <c r="AI747" s="2171"/>
      <c r="AJ747" s="2171"/>
      <c r="AK747" s="2171"/>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01" t="s">
        <v>59</v>
      </c>
      <c r="K748" s="1802"/>
      <c r="L748" s="1802"/>
      <c r="M748" s="1802"/>
      <c r="N748" s="1803"/>
      <c r="O748" s="2071" t="s">
        <v>283</v>
      </c>
      <c r="P748" s="2071"/>
      <c r="Q748" s="2071"/>
      <c r="R748" s="2071"/>
      <c r="S748" s="2071"/>
      <c r="T748" s="1792" t="s">
        <v>2210</v>
      </c>
      <c r="U748" s="1793"/>
      <c r="V748" s="1793"/>
      <c r="W748" s="1794"/>
      <c r="X748" s="1801" t="s">
        <v>651</v>
      </c>
      <c r="Y748" s="1802"/>
      <c r="Z748" s="1802"/>
      <c r="AA748" s="1802"/>
      <c r="AB748" s="1803"/>
      <c r="AC748" s="1801" t="s">
        <v>284</v>
      </c>
      <c r="AD748" s="1802"/>
      <c r="AE748" s="1802"/>
      <c r="AF748" s="1802"/>
      <c r="AG748" s="1803"/>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04"/>
      <c r="K749" s="1805"/>
      <c r="L749" s="1805"/>
      <c r="M749" s="1805"/>
      <c r="N749" s="1806"/>
      <c r="O749" s="2071"/>
      <c r="P749" s="2071"/>
      <c r="Q749" s="2071"/>
      <c r="R749" s="2071"/>
      <c r="S749" s="2071"/>
      <c r="T749" s="1795"/>
      <c r="U749" s="1796"/>
      <c r="V749" s="1796"/>
      <c r="W749" s="1797"/>
      <c r="X749" s="1804"/>
      <c r="Y749" s="1805"/>
      <c r="Z749" s="1805"/>
      <c r="AA749" s="1805"/>
      <c r="AB749" s="1806"/>
      <c r="AC749" s="1804"/>
      <c r="AD749" s="1805"/>
      <c r="AE749" s="1805"/>
      <c r="AF749" s="1805"/>
      <c r="AG749" s="180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804"/>
      <c r="K750" s="1805"/>
      <c r="L750" s="1805"/>
      <c r="M750" s="1805"/>
      <c r="N750" s="1806"/>
      <c r="O750" s="2071"/>
      <c r="P750" s="2071"/>
      <c r="Q750" s="2071"/>
      <c r="R750" s="2071"/>
      <c r="S750" s="2071"/>
      <c r="T750" s="1795"/>
      <c r="U750" s="1796"/>
      <c r="V750" s="1796"/>
      <c r="W750" s="1797"/>
      <c r="X750" s="1804"/>
      <c r="Y750" s="1805"/>
      <c r="Z750" s="1805"/>
      <c r="AA750" s="1805"/>
      <c r="AB750" s="1806"/>
      <c r="AC750" s="1804"/>
      <c r="AD750" s="1805"/>
      <c r="AE750" s="1805"/>
      <c r="AF750" s="1805"/>
      <c r="AG750" s="1806"/>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3.2">
      <c r="J751" s="1807"/>
      <c r="K751" s="1808"/>
      <c r="L751" s="1808"/>
      <c r="M751" s="1808"/>
      <c r="N751" s="1809"/>
      <c r="O751" s="2071"/>
      <c r="P751" s="2071"/>
      <c r="Q751" s="2071"/>
      <c r="R751" s="2071"/>
      <c r="S751" s="2071"/>
      <c r="T751" s="1798"/>
      <c r="U751" s="1799"/>
      <c r="V751" s="1799"/>
      <c r="W751" s="1800"/>
      <c r="X751" s="1807"/>
      <c r="Y751" s="1808"/>
      <c r="Z751" s="1808"/>
      <c r="AA751" s="1808"/>
      <c r="AB751" s="1809"/>
      <c r="AC751" s="1807"/>
      <c r="AD751" s="1808"/>
      <c r="AE751" s="1808"/>
      <c r="AF751" s="1808"/>
      <c r="AG751" s="1809"/>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3.2">
      <c r="J752" s="1952" t="s">
        <v>846</v>
      </c>
      <c r="K752" s="1953"/>
      <c r="L752" s="1953"/>
      <c r="M752" s="1953"/>
      <c r="N752" s="1954"/>
      <c r="O752" s="1976">
        <v>2</v>
      </c>
      <c r="P752" s="1976"/>
      <c r="Q752" s="1976"/>
      <c r="R752" s="1976"/>
      <c r="S752" s="1976"/>
      <c r="T752" s="1810">
        <v>1036</v>
      </c>
      <c r="U752" s="1811"/>
      <c r="V752" s="1811"/>
      <c r="W752" s="1812"/>
      <c r="X752" s="1813"/>
      <c r="Y752" s="1814"/>
      <c r="Z752" s="1814"/>
      <c r="AA752" s="1814"/>
      <c r="AB752" s="1815"/>
      <c r="AC752" s="1786">
        <f>X752*O752</f>
        <v>0</v>
      </c>
      <c r="AD752" s="1787"/>
      <c r="AE752" s="1787"/>
      <c r="AF752" s="1787"/>
      <c r="AG752" s="178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952"/>
      <c r="K753" s="1953"/>
      <c r="L753" s="1953"/>
      <c r="M753" s="1953"/>
      <c r="N753" s="1954"/>
      <c r="O753" s="1976"/>
      <c r="P753" s="1976"/>
      <c r="Q753" s="1976"/>
      <c r="R753" s="1976"/>
      <c r="S753" s="1976"/>
      <c r="T753" s="1810"/>
      <c r="U753" s="1811"/>
      <c r="V753" s="1811"/>
      <c r="W753" s="1812"/>
      <c r="X753" s="1813"/>
      <c r="Y753" s="1814"/>
      <c r="Z753" s="1814"/>
      <c r="AA753" s="1814"/>
      <c r="AB753" s="1815"/>
      <c r="AC753" s="1786">
        <f>X753*O753</f>
        <v>0</v>
      </c>
      <c r="AD753" s="1787"/>
      <c r="AE753" s="1787"/>
      <c r="AF753" s="1787"/>
      <c r="AG753" s="178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952"/>
      <c r="K754" s="1953"/>
      <c r="L754" s="1953"/>
      <c r="M754" s="1953"/>
      <c r="N754" s="1954"/>
      <c r="O754" s="1976"/>
      <c r="P754" s="1976"/>
      <c r="Q754" s="1976"/>
      <c r="R754" s="1976"/>
      <c r="S754" s="1976"/>
      <c r="T754" s="1810"/>
      <c r="U754" s="1811"/>
      <c r="V754" s="1811"/>
      <c r="W754" s="1812"/>
      <c r="X754" s="1813"/>
      <c r="Y754" s="1814"/>
      <c r="Z754" s="1814"/>
      <c r="AA754" s="1814"/>
      <c r="AB754" s="1815"/>
      <c r="AC754" s="1786">
        <f>X754*O754</f>
        <v>0</v>
      </c>
      <c r="AD754" s="1787"/>
      <c r="AE754" s="1787"/>
      <c r="AF754" s="1787"/>
      <c r="AG754" s="1788"/>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952"/>
      <c r="K755" s="1953"/>
      <c r="L755" s="1953"/>
      <c r="M755" s="1953"/>
      <c r="N755" s="1954"/>
      <c r="O755" s="1976"/>
      <c r="P755" s="1976"/>
      <c r="Q755" s="1976"/>
      <c r="R755" s="1976"/>
      <c r="S755" s="1976"/>
      <c r="T755" s="1810"/>
      <c r="U755" s="1811"/>
      <c r="V755" s="1811"/>
      <c r="W755" s="1812"/>
      <c r="X755" s="1813"/>
      <c r="Y755" s="1814"/>
      <c r="Z755" s="1814"/>
      <c r="AA755" s="1814"/>
      <c r="AB755" s="1815"/>
      <c r="AC755" s="1786">
        <f>X755*O755</f>
        <v>0</v>
      </c>
      <c r="AD755" s="1787"/>
      <c r="AE755" s="1787"/>
      <c r="AF755" s="1787"/>
      <c r="AG755" s="1788"/>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40" t="s">
        <v>955</v>
      </c>
      <c r="K756" s="1741"/>
      <c r="L756" s="1741"/>
      <c r="M756" s="1741"/>
      <c r="N756" s="1742"/>
      <c r="O756" s="2125">
        <f>SUM(O752:S755)</f>
        <v>2</v>
      </c>
      <c r="P756" s="2126"/>
      <c r="Q756" s="2126"/>
      <c r="R756" s="2126"/>
      <c r="S756" s="2127"/>
      <c r="X756" s="1820" t="s">
        <v>954</v>
      </c>
      <c r="Y756" s="1821"/>
      <c r="Z756" s="1821"/>
      <c r="AA756" s="1821"/>
      <c r="AB756" s="1822"/>
      <c r="AC756" s="1786">
        <f>SUM(AC752:AG755)</f>
        <v>0</v>
      </c>
      <c r="AD756" s="1787"/>
      <c r="AE756" s="1787"/>
      <c r="AF756" s="1787"/>
      <c r="AG756" s="1788"/>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912" t="s">
        <v>528</v>
      </c>
      <c r="K758" s="1912"/>
      <c r="L758" s="105"/>
      <c r="M758" s="782"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782"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01" t="s">
        <v>59</v>
      </c>
      <c r="K762" s="1802"/>
      <c r="L762" s="1802"/>
      <c r="M762" s="1802"/>
      <c r="N762" s="1803"/>
      <c r="O762" s="2071" t="s">
        <v>283</v>
      </c>
      <c r="P762" s="2071"/>
      <c r="Q762" s="2071"/>
      <c r="R762" s="2071"/>
      <c r="S762" s="2071"/>
      <c r="T762" s="1792" t="s">
        <v>2210</v>
      </c>
      <c r="U762" s="1793"/>
      <c r="V762" s="1793"/>
      <c r="W762" s="1794"/>
      <c r="X762" s="1801" t="s">
        <v>651</v>
      </c>
      <c r="Y762" s="1802"/>
      <c r="Z762" s="1802"/>
      <c r="AA762" s="1802"/>
      <c r="AB762" s="1803"/>
      <c r="AC762" s="1801" t="s">
        <v>284</v>
      </c>
      <c r="AD762" s="1802"/>
      <c r="AE762" s="1802"/>
      <c r="AF762" s="1802"/>
      <c r="AG762" s="180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04"/>
      <c r="K763" s="1805"/>
      <c r="L763" s="1805"/>
      <c r="M763" s="1805"/>
      <c r="N763" s="1806"/>
      <c r="O763" s="2071"/>
      <c r="P763" s="2071"/>
      <c r="Q763" s="2071"/>
      <c r="R763" s="2071"/>
      <c r="S763" s="2071"/>
      <c r="T763" s="1795"/>
      <c r="U763" s="1796"/>
      <c r="V763" s="1796"/>
      <c r="W763" s="1797"/>
      <c r="X763" s="1804"/>
      <c r="Y763" s="1805"/>
      <c r="Z763" s="1805"/>
      <c r="AA763" s="1805"/>
      <c r="AB763" s="1806"/>
      <c r="AC763" s="1804"/>
      <c r="AD763" s="1805"/>
      <c r="AE763" s="1805"/>
      <c r="AF763" s="1805"/>
      <c r="AG763" s="180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804"/>
      <c r="K764" s="1805"/>
      <c r="L764" s="1805"/>
      <c r="M764" s="1805"/>
      <c r="N764" s="1806"/>
      <c r="O764" s="2071"/>
      <c r="P764" s="2071"/>
      <c r="Q764" s="2071"/>
      <c r="R764" s="2071"/>
      <c r="S764" s="2071"/>
      <c r="T764" s="1795"/>
      <c r="U764" s="1796"/>
      <c r="V764" s="1796"/>
      <c r="W764" s="1797"/>
      <c r="X764" s="1804"/>
      <c r="Y764" s="1805"/>
      <c r="Z764" s="1805"/>
      <c r="AA764" s="1805"/>
      <c r="AB764" s="1806"/>
      <c r="AC764" s="1804"/>
      <c r="AD764" s="1805"/>
      <c r="AE764" s="1805"/>
      <c r="AF764" s="1805"/>
      <c r="AG764" s="180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807"/>
      <c r="K765" s="1808"/>
      <c r="L765" s="1808"/>
      <c r="M765" s="1808"/>
      <c r="N765" s="1809"/>
      <c r="O765" s="2071"/>
      <c r="P765" s="2071"/>
      <c r="Q765" s="2071"/>
      <c r="R765" s="2071"/>
      <c r="S765" s="2071"/>
      <c r="T765" s="1798"/>
      <c r="U765" s="1799"/>
      <c r="V765" s="1799"/>
      <c r="W765" s="1800"/>
      <c r="X765" s="1807"/>
      <c r="Y765" s="1808"/>
      <c r="Z765" s="1808"/>
      <c r="AA765" s="1808"/>
      <c r="AB765" s="1809"/>
      <c r="AC765" s="1807"/>
      <c r="AD765" s="1808"/>
      <c r="AE765" s="1808"/>
      <c r="AF765" s="1808"/>
      <c r="AG765" s="180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952"/>
      <c r="K766" s="1953"/>
      <c r="L766" s="1953"/>
      <c r="M766" s="1953"/>
      <c r="N766" s="1954"/>
      <c r="O766" s="1976"/>
      <c r="P766" s="1976"/>
      <c r="Q766" s="1976"/>
      <c r="R766" s="1976"/>
      <c r="S766" s="1976"/>
      <c r="T766" s="1810"/>
      <c r="U766" s="1811"/>
      <c r="V766" s="1811"/>
      <c r="W766" s="1812"/>
      <c r="X766" s="1813"/>
      <c r="Y766" s="1814"/>
      <c r="Z766" s="1814"/>
      <c r="AA766" s="1814"/>
      <c r="AB766" s="1815"/>
      <c r="AC766" s="1786">
        <f t="shared" ref="AC766:AC775" si="32">X766*O766</f>
        <v>0</v>
      </c>
      <c r="AD766" s="1787"/>
      <c r="AE766" s="1787"/>
      <c r="AF766" s="1787"/>
      <c r="AG766" s="1788"/>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952"/>
      <c r="K767" s="1953"/>
      <c r="L767" s="1953"/>
      <c r="M767" s="1953"/>
      <c r="N767" s="1954"/>
      <c r="O767" s="1976"/>
      <c r="P767" s="1976"/>
      <c r="Q767" s="1976"/>
      <c r="R767" s="1976"/>
      <c r="S767" s="1976"/>
      <c r="T767" s="1810"/>
      <c r="U767" s="1811"/>
      <c r="V767" s="1811"/>
      <c r="W767" s="1812"/>
      <c r="X767" s="1813"/>
      <c r="Y767" s="1814"/>
      <c r="Z767" s="1814"/>
      <c r="AA767" s="1814"/>
      <c r="AB767" s="1815"/>
      <c r="AC767" s="1786">
        <f t="shared" si="32"/>
        <v>0</v>
      </c>
      <c r="AD767" s="1787"/>
      <c r="AE767" s="1787"/>
      <c r="AF767" s="1787"/>
      <c r="AG767" s="1788"/>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952"/>
      <c r="K768" s="1953"/>
      <c r="L768" s="1953"/>
      <c r="M768" s="1953"/>
      <c r="N768" s="1954"/>
      <c r="O768" s="1976"/>
      <c r="P768" s="1976"/>
      <c r="Q768" s="1976"/>
      <c r="R768" s="1976"/>
      <c r="S768" s="1976"/>
      <c r="T768" s="1810"/>
      <c r="U768" s="1811"/>
      <c r="V768" s="1811"/>
      <c r="W768" s="1812"/>
      <c r="X768" s="1813"/>
      <c r="Y768" s="1814"/>
      <c r="Z768" s="1814"/>
      <c r="AA768" s="1814"/>
      <c r="AB768" s="1815"/>
      <c r="AC768" s="1786">
        <f t="shared" si="32"/>
        <v>0</v>
      </c>
      <c r="AD768" s="1787"/>
      <c r="AE768" s="1787"/>
      <c r="AF768" s="1787"/>
      <c r="AG768" s="1788"/>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952"/>
      <c r="K769" s="1953"/>
      <c r="L769" s="1953"/>
      <c r="M769" s="1953"/>
      <c r="N769" s="1954"/>
      <c r="O769" s="1976"/>
      <c r="P769" s="1976"/>
      <c r="Q769" s="1976"/>
      <c r="R769" s="1976"/>
      <c r="S769" s="1976"/>
      <c r="T769" s="1810"/>
      <c r="U769" s="1811"/>
      <c r="V769" s="1811"/>
      <c r="W769" s="1812"/>
      <c r="X769" s="1813"/>
      <c r="Y769" s="1814"/>
      <c r="Z769" s="1814"/>
      <c r="AA769" s="1814"/>
      <c r="AB769" s="1815"/>
      <c r="AC769" s="1786">
        <f t="shared" si="32"/>
        <v>0</v>
      </c>
      <c r="AD769" s="1787"/>
      <c r="AE769" s="1787"/>
      <c r="AF769" s="1787"/>
      <c r="AG769" s="1788"/>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952"/>
      <c r="K770" s="1953"/>
      <c r="L770" s="1953"/>
      <c r="M770" s="1953"/>
      <c r="N770" s="1954"/>
      <c r="O770" s="1976"/>
      <c r="P770" s="1976"/>
      <c r="Q770" s="1976"/>
      <c r="R770" s="1976"/>
      <c r="S770" s="1976"/>
      <c r="T770" s="1810"/>
      <c r="U770" s="1811"/>
      <c r="V770" s="1811"/>
      <c r="W770" s="1812"/>
      <c r="X770" s="1813"/>
      <c r="Y770" s="1814"/>
      <c r="Z770" s="1814"/>
      <c r="AA770" s="1814"/>
      <c r="AB770" s="1815"/>
      <c r="AC770" s="1786">
        <f t="shared" si="32"/>
        <v>0</v>
      </c>
      <c r="AD770" s="1787"/>
      <c r="AE770" s="1787"/>
      <c r="AF770" s="1787"/>
      <c r="AG770" s="1788"/>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952"/>
      <c r="K771" s="1953"/>
      <c r="L771" s="1953"/>
      <c r="M771" s="1953"/>
      <c r="N771" s="1954"/>
      <c r="O771" s="1976"/>
      <c r="P771" s="1976"/>
      <c r="Q771" s="1976"/>
      <c r="R771" s="1976"/>
      <c r="S771" s="1976"/>
      <c r="T771" s="1810"/>
      <c r="U771" s="1811"/>
      <c r="V771" s="1811"/>
      <c r="W771" s="1812"/>
      <c r="X771" s="1813"/>
      <c r="Y771" s="1814"/>
      <c r="Z771" s="1814"/>
      <c r="AA771" s="1814"/>
      <c r="AB771" s="1815"/>
      <c r="AC771" s="1786">
        <f t="shared" si="32"/>
        <v>0</v>
      </c>
      <c r="AD771" s="1787"/>
      <c r="AE771" s="1787"/>
      <c r="AF771" s="1787"/>
      <c r="AG771" s="1788"/>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952"/>
      <c r="K772" s="1953"/>
      <c r="L772" s="1953"/>
      <c r="M772" s="1953"/>
      <c r="N772" s="1954"/>
      <c r="O772" s="1976"/>
      <c r="P772" s="1976"/>
      <c r="Q772" s="1976"/>
      <c r="R772" s="1976"/>
      <c r="S772" s="1976"/>
      <c r="T772" s="1810"/>
      <c r="U772" s="1811"/>
      <c r="V772" s="1811"/>
      <c r="W772" s="1812"/>
      <c r="X772" s="1813"/>
      <c r="Y772" s="1814"/>
      <c r="Z772" s="1814"/>
      <c r="AA772" s="1814"/>
      <c r="AB772" s="1815"/>
      <c r="AC772" s="1786">
        <f t="shared" si="32"/>
        <v>0</v>
      </c>
      <c r="AD772" s="1787"/>
      <c r="AE772" s="1787"/>
      <c r="AF772" s="1787"/>
      <c r="AG772" s="1788"/>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952"/>
      <c r="K773" s="1953"/>
      <c r="L773" s="1953"/>
      <c r="M773" s="1953"/>
      <c r="N773" s="1954"/>
      <c r="O773" s="1976"/>
      <c r="P773" s="1976"/>
      <c r="Q773" s="1976"/>
      <c r="R773" s="1976"/>
      <c r="S773" s="1976"/>
      <c r="T773" s="1810"/>
      <c r="U773" s="1811"/>
      <c r="V773" s="1811"/>
      <c r="W773" s="1812"/>
      <c r="X773" s="1813"/>
      <c r="Y773" s="1814"/>
      <c r="Z773" s="1814"/>
      <c r="AA773" s="1814"/>
      <c r="AB773" s="1815"/>
      <c r="AC773" s="1786">
        <f t="shared" si="32"/>
        <v>0</v>
      </c>
      <c r="AD773" s="1787"/>
      <c r="AE773" s="1787"/>
      <c r="AF773" s="1787"/>
      <c r="AG773" s="1788"/>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952"/>
      <c r="K774" s="1953"/>
      <c r="L774" s="1953"/>
      <c r="M774" s="1953"/>
      <c r="N774" s="1954"/>
      <c r="O774" s="1976"/>
      <c r="P774" s="1976"/>
      <c r="Q774" s="1976"/>
      <c r="R774" s="1976"/>
      <c r="S774" s="1976"/>
      <c r="T774" s="1810"/>
      <c r="U774" s="1811"/>
      <c r="V774" s="1811"/>
      <c r="W774" s="1812"/>
      <c r="X774" s="1813"/>
      <c r="Y774" s="1814"/>
      <c r="Z774" s="1814"/>
      <c r="AA774" s="1814"/>
      <c r="AB774" s="1815"/>
      <c r="AC774" s="1786">
        <f t="shared" si="32"/>
        <v>0</v>
      </c>
      <c r="AD774" s="1787"/>
      <c r="AE774" s="1787"/>
      <c r="AF774" s="1787"/>
      <c r="AG774" s="1788"/>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52"/>
      <c r="K775" s="1953"/>
      <c r="L775" s="1953"/>
      <c r="M775" s="1953"/>
      <c r="N775" s="1954"/>
      <c r="O775" s="1976"/>
      <c r="P775" s="1976"/>
      <c r="Q775" s="1976"/>
      <c r="R775" s="1976"/>
      <c r="S775" s="1976"/>
      <c r="T775" s="1810"/>
      <c r="U775" s="1811"/>
      <c r="V775" s="1811"/>
      <c r="W775" s="1812"/>
      <c r="X775" s="1813"/>
      <c r="Y775" s="1814"/>
      <c r="Z775" s="1814"/>
      <c r="AA775" s="1814"/>
      <c r="AB775" s="1815"/>
      <c r="AC775" s="1786">
        <f t="shared" si="32"/>
        <v>0</v>
      </c>
      <c r="AD775" s="1787"/>
      <c r="AE775" s="1787"/>
      <c r="AF775" s="1787"/>
      <c r="AG775" s="1788"/>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40" t="s">
        <v>955</v>
      </c>
      <c r="K776" s="1741"/>
      <c r="L776" s="1741"/>
      <c r="M776" s="1741"/>
      <c r="N776" s="1742"/>
      <c r="O776" s="2134">
        <f>SUM(O766:S775)</f>
        <v>0</v>
      </c>
      <c r="P776" s="2134"/>
      <c r="Q776" s="2134"/>
      <c r="R776" s="2134"/>
      <c r="S776" s="2134"/>
      <c r="X776" s="1412" t="s">
        <v>954</v>
      </c>
      <c r="Y776" s="255"/>
      <c r="Z776" s="255"/>
      <c r="AA776" s="255"/>
      <c r="AB776" s="1413"/>
      <c r="AC776" s="1786">
        <f>SUM(AC766:AG775)</f>
        <v>0</v>
      </c>
      <c r="AD776" s="1787"/>
      <c r="AE776" s="1787"/>
      <c r="AF776" s="1787"/>
      <c r="AG776" s="1788"/>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68">
        <f>T731+AC756+AC776</f>
        <v>150664</v>
      </c>
      <c r="Z778" s="1768"/>
      <c r="AA778" s="1768"/>
      <c r="AB778" s="1768"/>
      <c r="AC778" s="176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68">
        <f>(T731+AC756+AC776)*12</f>
        <v>1807968</v>
      </c>
      <c r="Z779" s="1768"/>
      <c r="AA779" s="1768"/>
      <c r="AB779" s="1768"/>
      <c r="AC779" s="176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77">
        <v>24</v>
      </c>
      <c r="AA784" s="1978"/>
      <c r="AB784" s="1978"/>
      <c r="AC784" s="1978"/>
      <c r="AD784" s="1978"/>
      <c r="AE784" s="197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83">
        <v>20</v>
      </c>
      <c r="AA785" s="1978"/>
      <c r="AB785" s="1978"/>
      <c r="AC785" s="1978"/>
      <c r="AD785" s="1978"/>
      <c r="AE785" s="1979"/>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1980">
        <v>52291</v>
      </c>
      <c r="AA786" s="1981"/>
      <c r="AB786" s="1981"/>
      <c r="AC786" s="1981"/>
      <c r="AD786" s="1981"/>
      <c r="AE786" s="198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2195">
        <f>'Subsidy Contract Calculation'!I30</f>
        <v>427176</v>
      </c>
      <c r="AA787" s="2196"/>
      <c r="AB787" s="2196"/>
      <c r="AC787" s="2196"/>
      <c r="AD787" s="2196"/>
      <c r="AE787" s="219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769">
        <v>13536</v>
      </c>
      <c r="AA791" s="1770"/>
      <c r="AB791" s="1770"/>
      <c r="AC791" s="1770"/>
      <c r="AD791" s="1770"/>
      <c r="AE791" s="177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769">
        <v>0</v>
      </c>
      <c r="AA792" s="1770"/>
      <c r="AB792" s="1770"/>
      <c r="AC792" s="1770"/>
      <c r="AD792" s="1770"/>
      <c r="AE792" s="177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769">
        <v>0</v>
      </c>
      <c r="AA793" s="1770"/>
      <c r="AB793" s="1770"/>
      <c r="AC793" s="1770"/>
      <c r="AD793" s="1770"/>
      <c r="AE793" s="177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2164" t="s">
        <v>2457</v>
      </c>
      <c r="Q794" s="2162"/>
      <c r="R794" s="2162"/>
      <c r="S794" s="2162"/>
      <c r="T794" s="2162"/>
      <c r="U794" s="2162"/>
      <c r="V794" s="2162"/>
      <c r="W794" s="2162"/>
      <c r="X794" s="2162"/>
      <c r="Y794" s="2163"/>
      <c r="Z794" s="1769">
        <v>13000</v>
      </c>
      <c r="AA794" s="1770"/>
      <c r="AB794" s="1770"/>
      <c r="AC794" s="1770"/>
      <c r="AD794" s="1770"/>
      <c r="AE794" s="177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756">
        <f>SUM(Z791:AE794)</f>
        <v>26536</v>
      </c>
      <c r="AA795" s="1757"/>
      <c r="AB795" s="1757"/>
      <c r="AC795" s="1757"/>
      <c r="AD795" s="1757"/>
      <c r="AE795" s="175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756">
        <f>Z795+Y779+Z787</f>
        <v>2261680</v>
      </c>
      <c r="AA796" s="1757"/>
      <c r="AB796" s="1757"/>
      <c r="AC796" s="1757"/>
      <c r="AD796" s="1757"/>
      <c r="AE796" s="1758"/>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84" t="s">
        <v>956</v>
      </c>
      <c r="N801" s="1984"/>
      <c r="O801" s="1984"/>
      <c r="P801" s="1985"/>
      <c r="Q801" s="1988" t="s">
        <v>290</v>
      </c>
      <c r="R801" s="1988"/>
      <c r="S801" s="1988"/>
      <c r="T801" s="1988"/>
      <c r="U801" s="1988" t="s">
        <v>291</v>
      </c>
      <c r="V801" s="1988"/>
      <c r="W801" s="1988"/>
      <c r="X801" s="1988"/>
      <c r="Y801" s="1988" t="s">
        <v>292</v>
      </c>
      <c r="Z801" s="1988"/>
      <c r="AA801" s="1988"/>
      <c r="AB801" s="1988"/>
      <c r="AC801" s="1988" t="s">
        <v>36</v>
      </c>
      <c r="AD801" s="1988"/>
      <c r="AE801" s="1988"/>
      <c r="AF801" s="1988"/>
      <c r="AG801" s="1782" t="s">
        <v>620</v>
      </c>
      <c r="AH801" s="1782"/>
      <c r="AI801" s="1782"/>
      <c r="AJ801" s="178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86"/>
      <c r="N802" s="1986"/>
      <c r="O802" s="1986"/>
      <c r="P802" s="1987"/>
      <c r="Q802" s="1988"/>
      <c r="R802" s="1988"/>
      <c r="S802" s="1988"/>
      <c r="T802" s="1988"/>
      <c r="U802" s="1988"/>
      <c r="V802" s="1988"/>
      <c r="W802" s="1988"/>
      <c r="X802" s="1988"/>
      <c r="Y802" s="1988"/>
      <c r="Z802" s="1988"/>
      <c r="AA802" s="1988"/>
      <c r="AB802" s="1988"/>
      <c r="AC802" s="1988"/>
      <c r="AD802" s="1988"/>
      <c r="AE802" s="1988"/>
      <c r="AF802" s="1988"/>
      <c r="AG802" s="1782"/>
      <c r="AH802" s="1782"/>
      <c r="AI802" s="1782"/>
      <c r="AJ802" s="178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8" t="s">
        <v>756</v>
      </c>
      <c r="D803" s="1779"/>
      <c r="E803" s="1779"/>
      <c r="F803" s="1779"/>
      <c r="G803" s="1779"/>
      <c r="H803" s="1779"/>
      <c r="I803" s="94"/>
      <c r="J803" s="94"/>
      <c r="K803" s="94"/>
      <c r="L803" s="95"/>
      <c r="M803" s="1655"/>
      <c r="N803" s="1655"/>
      <c r="O803" s="1655"/>
      <c r="P803" s="1655"/>
      <c r="Q803" s="1655">
        <v>1.57</v>
      </c>
      <c r="R803" s="1655"/>
      <c r="S803" s="1655"/>
      <c r="T803" s="1655"/>
      <c r="U803" s="1655">
        <v>1.78</v>
      </c>
      <c r="V803" s="1655"/>
      <c r="W803" s="1655"/>
      <c r="X803" s="1655"/>
      <c r="Y803" s="1655">
        <v>2.29</v>
      </c>
      <c r="Z803" s="1655"/>
      <c r="AA803" s="1655"/>
      <c r="AB803" s="1655"/>
      <c r="AC803" s="1719"/>
      <c r="AD803" s="1720"/>
      <c r="AE803" s="1720"/>
      <c r="AF803" s="1721"/>
      <c r="AG803" s="1719"/>
      <c r="AH803" s="1720"/>
      <c r="AI803" s="1720"/>
      <c r="AJ803" s="1721"/>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80" t="s">
        <v>757</v>
      </c>
      <c r="D804" s="1781"/>
      <c r="E804" s="1781"/>
      <c r="F804" s="1781"/>
      <c r="G804" s="1781"/>
      <c r="H804" s="1781"/>
      <c r="I804" s="91"/>
      <c r="J804" s="91"/>
      <c r="K804" s="91"/>
      <c r="L804" s="92"/>
      <c r="M804" s="1655"/>
      <c r="N804" s="1655"/>
      <c r="O804" s="1655"/>
      <c r="P804" s="1655"/>
      <c r="Q804" s="1655"/>
      <c r="R804" s="1655"/>
      <c r="S804" s="1655"/>
      <c r="T804" s="1655"/>
      <c r="U804" s="1655"/>
      <c r="V804" s="1655"/>
      <c r="W804" s="1655"/>
      <c r="X804" s="1655"/>
      <c r="Y804" s="1655"/>
      <c r="Z804" s="1655"/>
      <c r="AA804" s="1655"/>
      <c r="AB804" s="1655"/>
      <c r="AC804" s="1719"/>
      <c r="AD804" s="1720"/>
      <c r="AE804" s="1720"/>
      <c r="AF804" s="1721"/>
      <c r="AG804" s="1719"/>
      <c r="AH804" s="1720"/>
      <c r="AI804" s="1720"/>
      <c r="AJ804" s="1721"/>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80" t="s">
        <v>78</v>
      </c>
      <c r="D805" s="1781"/>
      <c r="E805" s="1781"/>
      <c r="F805" s="1781"/>
      <c r="G805" s="1781"/>
      <c r="H805" s="1781"/>
      <c r="I805" s="110"/>
      <c r="J805" s="110"/>
      <c r="K805" s="110"/>
      <c r="L805" s="111"/>
      <c r="M805" s="1655"/>
      <c r="N805" s="1655"/>
      <c r="O805" s="1655"/>
      <c r="P805" s="1655"/>
      <c r="Q805" s="1655">
        <v>5.35</v>
      </c>
      <c r="R805" s="1655"/>
      <c r="S805" s="1655"/>
      <c r="T805" s="1655"/>
      <c r="U805" s="1655">
        <v>5.92</v>
      </c>
      <c r="V805" s="1655"/>
      <c r="W805" s="1655"/>
      <c r="X805" s="1655"/>
      <c r="Y805" s="1655">
        <v>6.74</v>
      </c>
      <c r="Z805" s="1655"/>
      <c r="AA805" s="1655"/>
      <c r="AB805" s="1655"/>
      <c r="AC805" s="1719"/>
      <c r="AD805" s="1720"/>
      <c r="AE805" s="1720"/>
      <c r="AF805" s="1721"/>
      <c r="AG805" s="1719"/>
      <c r="AH805" s="1720"/>
      <c r="AI805" s="1720"/>
      <c r="AJ805" s="1721"/>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80" t="s">
        <v>194</v>
      </c>
      <c r="D806" s="1781"/>
      <c r="E806" s="1781"/>
      <c r="F806" s="1781"/>
      <c r="G806" s="1781"/>
      <c r="H806" s="1781"/>
      <c r="I806" s="110"/>
      <c r="J806" s="110"/>
      <c r="K806" s="110"/>
      <c r="L806" s="111"/>
      <c r="M806" s="1655"/>
      <c r="N806" s="1655"/>
      <c r="O806" s="1655"/>
      <c r="P806" s="1655"/>
      <c r="Q806" s="1655">
        <v>3.67</v>
      </c>
      <c r="R806" s="1655"/>
      <c r="S806" s="1655"/>
      <c r="T806" s="1655"/>
      <c r="U806" s="1655">
        <v>3.9</v>
      </c>
      <c r="V806" s="1655"/>
      <c r="W806" s="1655"/>
      <c r="X806" s="1655"/>
      <c r="Y806" s="1655">
        <v>4.8499999999999996</v>
      </c>
      <c r="Z806" s="1655"/>
      <c r="AA806" s="1655"/>
      <c r="AB806" s="1655"/>
      <c r="AC806" s="1719"/>
      <c r="AD806" s="1720"/>
      <c r="AE806" s="1720"/>
      <c r="AF806" s="1721"/>
      <c r="AG806" s="1719"/>
      <c r="AH806" s="1720"/>
      <c r="AI806" s="1720"/>
      <c r="AJ806" s="1721"/>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780" t="s">
        <v>858</v>
      </c>
      <c r="D807" s="1781"/>
      <c r="E807" s="1781"/>
      <c r="F807" s="1781"/>
      <c r="G807" s="1781"/>
      <c r="H807" s="1781"/>
      <c r="I807" s="110"/>
      <c r="J807" s="110"/>
      <c r="K807" s="110"/>
      <c r="L807" s="111"/>
      <c r="M807" s="1655"/>
      <c r="N807" s="1655"/>
      <c r="O807" s="1655"/>
      <c r="P807" s="1655"/>
      <c r="Q807" s="1655">
        <v>13.68</v>
      </c>
      <c r="R807" s="1655"/>
      <c r="S807" s="1655"/>
      <c r="T807" s="1655"/>
      <c r="U807" s="1655">
        <v>15.19</v>
      </c>
      <c r="V807" s="1655"/>
      <c r="W807" s="1655"/>
      <c r="X807" s="1655"/>
      <c r="Y807" s="1655">
        <v>17.670000000000002</v>
      </c>
      <c r="Z807" s="1655"/>
      <c r="AA807" s="1655"/>
      <c r="AB807" s="1655"/>
      <c r="AC807" s="1719"/>
      <c r="AD807" s="1720"/>
      <c r="AE807" s="1720"/>
      <c r="AF807" s="1721"/>
      <c r="AG807" s="1719"/>
      <c r="AH807" s="1720"/>
      <c r="AI807" s="1720"/>
      <c r="AJ807" s="1721"/>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910" t="s">
        <v>1026</v>
      </c>
      <c r="D808" s="1781"/>
      <c r="E808" s="1781"/>
      <c r="F808" s="1781"/>
      <c r="G808" s="1781"/>
      <c r="H808" s="1781"/>
      <c r="I808" s="110"/>
      <c r="J808" s="110"/>
      <c r="K808" s="110"/>
      <c r="L808" s="111"/>
      <c r="M808" s="1655"/>
      <c r="N808" s="1655"/>
      <c r="O808" s="1655"/>
      <c r="P808" s="1655"/>
      <c r="Q808" s="1655"/>
      <c r="R808" s="1655"/>
      <c r="S808" s="1655"/>
      <c r="T808" s="1655"/>
      <c r="U808" s="1655"/>
      <c r="V808" s="1655"/>
      <c r="W808" s="1655"/>
      <c r="X808" s="1655"/>
      <c r="Y808" s="1655"/>
      <c r="Z808" s="1655"/>
      <c r="AA808" s="1655"/>
      <c r="AB808" s="1655"/>
      <c r="AC808" s="1719"/>
      <c r="AD808" s="1720"/>
      <c r="AE808" s="1720"/>
      <c r="AF808" s="1721"/>
      <c r="AG808" s="1719"/>
      <c r="AH808" s="1720"/>
      <c r="AI808" s="1720"/>
      <c r="AJ808" s="1721"/>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293</v>
      </c>
      <c r="D809" s="110"/>
      <c r="E809" s="110"/>
      <c r="F809" s="1726" t="s">
        <v>2467</v>
      </c>
      <c r="G809" s="1727"/>
      <c r="H809" s="1727"/>
      <c r="I809" s="1727"/>
      <c r="J809" s="1727"/>
      <c r="K809" s="1727"/>
      <c r="L809" s="1728"/>
      <c r="M809" s="1655"/>
      <c r="N809" s="1655"/>
      <c r="O809" s="1655"/>
      <c r="P809" s="1655"/>
      <c r="Q809" s="1655">
        <v>3.44</v>
      </c>
      <c r="R809" s="1655"/>
      <c r="S809" s="1655"/>
      <c r="T809" s="1655"/>
      <c r="U809" s="1655">
        <v>3.71</v>
      </c>
      <c r="V809" s="1655"/>
      <c r="W809" s="1655"/>
      <c r="X809" s="1655"/>
      <c r="Y809" s="1655">
        <v>4.26</v>
      </c>
      <c r="Z809" s="1655"/>
      <c r="AA809" s="1655"/>
      <c r="AB809" s="1655"/>
      <c r="AC809" s="1719"/>
      <c r="AD809" s="1720"/>
      <c r="AE809" s="1720"/>
      <c r="AF809" s="1721"/>
      <c r="AG809" s="1719"/>
      <c r="AH809" s="1720"/>
      <c r="AI809" s="1720"/>
      <c r="AJ809" s="1721"/>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40" t="s">
        <v>954</v>
      </c>
      <c r="D810" s="1741"/>
      <c r="E810" s="1741"/>
      <c r="F810" s="1741"/>
      <c r="G810" s="1741"/>
      <c r="H810" s="1741"/>
      <c r="I810" s="1741"/>
      <c r="J810" s="1741"/>
      <c r="K810" s="1741"/>
      <c r="L810" s="1742"/>
      <c r="M810" s="1722">
        <f>SUM(M803:P809)</f>
        <v>0</v>
      </c>
      <c r="N810" s="1722"/>
      <c r="O810" s="1722"/>
      <c r="P810" s="1722"/>
      <c r="Q810" s="1722">
        <f>SUM(Q803:T809)</f>
        <v>27.71</v>
      </c>
      <c r="R810" s="1722"/>
      <c r="S810" s="1722"/>
      <c r="T810" s="1722"/>
      <c r="U810" s="1722">
        <f>SUM(U803:X809)</f>
        <v>30.5</v>
      </c>
      <c r="V810" s="1722"/>
      <c r="W810" s="1722"/>
      <c r="X810" s="1722"/>
      <c r="Y810" s="1722">
        <f>SUM(Y803:AB809)</f>
        <v>35.81</v>
      </c>
      <c r="Z810" s="1722"/>
      <c r="AA810" s="1722"/>
      <c r="AB810" s="1722"/>
      <c r="AC810" s="1722">
        <f>SUM(AC803:AF809)</f>
        <v>0</v>
      </c>
      <c r="AD810" s="1722"/>
      <c r="AE810" s="1722"/>
      <c r="AF810" s="1722"/>
      <c r="AG810" s="1722">
        <f>SUM(AG803:AJ809)</f>
        <v>0</v>
      </c>
      <c r="AH810" s="1722"/>
      <c r="AI810" s="1722"/>
      <c r="AJ810" s="172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23" t="s">
        <v>2411</v>
      </c>
      <c r="D815" s="1724"/>
      <c r="E815" s="1724"/>
      <c r="F815" s="1724"/>
      <c r="G815" s="1724"/>
      <c r="H815" s="1724"/>
      <c r="I815" s="1724"/>
      <c r="J815" s="1724"/>
      <c r="K815" s="1724"/>
      <c r="L815" s="1724"/>
      <c r="M815" s="1724"/>
      <c r="N815" s="1724"/>
      <c r="O815" s="1724"/>
      <c r="P815" s="1724"/>
      <c r="Q815" s="1724"/>
      <c r="R815" s="1724"/>
      <c r="S815" s="1724"/>
      <c r="T815" s="1724"/>
      <c r="U815" s="1724"/>
      <c r="V815" s="1724"/>
      <c r="W815" s="1724"/>
      <c r="X815" s="1724"/>
      <c r="Y815" s="1724"/>
      <c r="Z815" s="1724"/>
      <c r="AA815" s="1724"/>
      <c r="AB815" s="1724"/>
      <c r="AC815" s="1724"/>
      <c r="AD815" s="1724"/>
      <c r="AE815" s="1724"/>
      <c r="AF815" s="1724"/>
      <c r="AG815" s="1724"/>
      <c r="AH815" s="1724"/>
      <c r="AI815" s="1724"/>
      <c r="AJ815" s="172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2178" t="s">
        <v>409</v>
      </c>
      <c r="BB819" s="2179"/>
      <c r="BC819" s="72"/>
      <c r="BD819" s="72"/>
      <c r="BE819" s="72"/>
      <c r="BF819" s="65" t="s">
        <v>466</v>
      </c>
      <c r="BG819" s="65"/>
      <c r="BH819" s="65"/>
      <c r="BI819" s="65"/>
      <c r="BJ819" s="65"/>
      <c r="BK819" s="65"/>
      <c r="BL819" s="65"/>
      <c r="BM819" s="65"/>
      <c r="BN819" s="65"/>
      <c r="BO819" s="2175" t="str">
        <f>T189</f>
        <v>San Diego</v>
      </c>
      <c r="BP819" s="2176"/>
      <c r="BQ819" s="2176"/>
      <c r="BR819" s="2176"/>
      <c r="BS819" s="2176"/>
      <c r="BT819" s="2176"/>
      <c r="BU819" s="2177"/>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513</v>
      </c>
      <c r="J820" s="90" t="s">
        <v>361</v>
      </c>
      <c r="K820" s="91"/>
      <c r="L820" s="91"/>
      <c r="M820" s="91"/>
      <c r="N820" s="91"/>
      <c r="O820" s="91"/>
      <c r="P820" s="91"/>
      <c r="Q820" s="91"/>
      <c r="R820" s="91"/>
      <c r="S820" s="91"/>
      <c r="T820" s="91"/>
      <c r="U820" s="91"/>
      <c r="V820" s="92"/>
      <c r="W820" s="1729">
        <v>2000</v>
      </c>
      <c r="X820" s="1729"/>
      <c r="Y820" s="1729"/>
      <c r="Z820" s="1729"/>
      <c r="AA820" s="1729"/>
      <c r="AB820" s="1729"/>
      <c r="AC820" s="1729"/>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29">
        <v>3000</v>
      </c>
      <c r="X821" s="1729"/>
      <c r="Y821" s="1729"/>
      <c r="Z821" s="1729"/>
      <c r="AA821" s="1729"/>
      <c r="AB821" s="1729"/>
      <c r="AC821" s="1729"/>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29">
        <v>10000</v>
      </c>
      <c r="X822" s="1729"/>
      <c r="Y822" s="1729"/>
      <c r="Z822" s="1729"/>
      <c r="AA822" s="1729"/>
      <c r="AB822" s="1729"/>
      <c r="AC822" s="1729"/>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29">
        <v>30000</v>
      </c>
      <c r="X823" s="1729"/>
      <c r="Y823" s="1729"/>
      <c r="Z823" s="1729"/>
      <c r="AA823" s="1729"/>
      <c r="AB823" s="1729"/>
      <c r="AC823" s="1729"/>
      <c r="AD823" s="16"/>
      <c r="AE823" s="16"/>
      <c r="AF823" s="16"/>
      <c r="AG823" s="16"/>
      <c r="AH823" s="16"/>
      <c r="AI823" s="16"/>
      <c r="AJ823" s="16"/>
      <c r="AK823" s="16"/>
      <c r="AL823" s="16"/>
      <c r="AM823" s="66"/>
      <c r="AN823" s="66"/>
      <c r="AO823" s="30"/>
      <c r="AP823" s="30"/>
      <c r="AQ823" s="30"/>
      <c r="AR823" s="30"/>
      <c r="AS823" s="30"/>
      <c r="BA823" s="120" t="s">
        <v>409</v>
      </c>
      <c r="BB823" s="67" t="s">
        <v>2294</v>
      </c>
      <c r="BC823" s="68"/>
      <c r="BD823" s="68"/>
      <c r="BE823" s="68"/>
      <c r="BF823" s="68"/>
      <c r="BG823" s="68"/>
      <c r="BI823" s="67" t="s">
        <v>2295</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26" t="s">
        <v>2468</v>
      </c>
      <c r="N824" s="1727"/>
      <c r="O824" s="1727"/>
      <c r="P824" s="1727"/>
      <c r="Q824" s="1727"/>
      <c r="R824" s="1727"/>
      <c r="S824" s="1727"/>
      <c r="T824" s="1727"/>
      <c r="U824" s="1727"/>
      <c r="V824" s="1728"/>
      <c r="W824" s="1729">
        <v>23000</v>
      </c>
      <c r="X824" s="1729"/>
      <c r="Y824" s="1729"/>
      <c r="Z824" s="1729"/>
      <c r="AA824" s="1729"/>
      <c r="AB824" s="1729"/>
      <c r="AC824" s="1729"/>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56">
        <f>SUM(W820:AC824)</f>
        <v>68000</v>
      </c>
      <c r="X825" s="1757"/>
      <c r="Y825" s="1757"/>
      <c r="Z825" s="1757"/>
      <c r="AA825" s="1757"/>
      <c r="AB825" s="1757"/>
      <c r="AC825" s="1758"/>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40" t="s">
        <v>515</v>
      </c>
      <c r="K827" s="1741"/>
      <c r="L827" s="1741"/>
      <c r="M827" s="1741"/>
      <c r="N827" s="1741"/>
      <c r="O827" s="1741"/>
      <c r="P827" s="1741"/>
      <c r="Q827" s="1741"/>
      <c r="R827" s="1741"/>
      <c r="S827" s="1741"/>
      <c r="T827" s="1741"/>
      <c r="U827" s="1741"/>
      <c r="V827" s="1742"/>
      <c r="W827" s="1769">
        <v>107509</v>
      </c>
      <c r="X827" s="1770"/>
      <c r="Y827" s="1770"/>
      <c r="Z827" s="1770"/>
      <c r="AA827" s="1770"/>
      <c r="AB827" s="1770"/>
      <c r="AC827" s="1771"/>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55">
        <v>0</v>
      </c>
      <c r="X829" s="1755"/>
      <c r="Y829" s="1755"/>
      <c r="Z829" s="1755"/>
      <c r="AA829" s="1755"/>
      <c r="AB829" s="1755"/>
      <c r="AC829" s="175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55">
        <v>17000</v>
      </c>
      <c r="X830" s="1755"/>
      <c r="Y830" s="1755"/>
      <c r="Z830" s="1755"/>
      <c r="AA830" s="1755"/>
      <c r="AB830" s="1755"/>
      <c r="AC830" s="175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55">
        <v>49660</v>
      </c>
      <c r="X831" s="1755"/>
      <c r="Y831" s="1755"/>
      <c r="Z831" s="1755"/>
      <c r="AA831" s="1755"/>
      <c r="AB831" s="1755"/>
      <c r="AC831" s="175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55">
        <v>75000</v>
      </c>
      <c r="X832" s="1755"/>
      <c r="Y832" s="1755"/>
      <c r="Z832" s="1755"/>
      <c r="AA832" s="1755"/>
      <c r="AB832" s="1755"/>
      <c r="AC832" s="1755"/>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70">
        <f>SUM(W829:AC832)</f>
        <v>141660</v>
      </c>
      <c r="X833" s="2170"/>
      <c r="Y833" s="2170"/>
      <c r="Z833" s="2170"/>
      <c r="AA833" s="2170"/>
      <c r="AB833" s="2170"/>
      <c r="AC833" s="2170"/>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730">
        <v>90169</v>
      </c>
      <c r="X835" s="1731"/>
      <c r="Y835" s="1731"/>
      <c r="Z835" s="1731"/>
      <c r="AA835" s="1731"/>
      <c r="AB835" s="1731"/>
      <c r="AC835" s="1732"/>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2137</v>
      </c>
      <c r="K836" s="91"/>
      <c r="L836" s="91"/>
      <c r="M836" s="91"/>
      <c r="N836" s="91"/>
      <c r="O836" s="91"/>
      <c r="P836" s="91"/>
      <c r="Q836" s="91"/>
      <c r="R836" s="91"/>
      <c r="S836" s="91"/>
      <c r="T836" s="1772">
        <v>2</v>
      </c>
      <c r="U836" s="1773"/>
      <c r="V836" s="1774"/>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1730">
        <v>46937</v>
      </c>
      <c r="X837" s="1731"/>
      <c r="Y837" s="1731"/>
      <c r="Z837" s="1731"/>
      <c r="AA837" s="1731"/>
      <c r="AB837" s="1731"/>
      <c r="AC837" s="1732"/>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2138</v>
      </c>
      <c r="K838" s="91"/>
      <c r="L838" s="91"/>
      <c r="M838" s="91"/>
      <c r="N838" s="91"/>
      <c r="O838" s="91"/>
      <c r="P838" s="91"/>
      <c r="Q838" s="91"/>
      <c r="R838" s="91"/>
      <c r="S838" s="91"/>
      <c r="T838" s="1772">
        <v>2</v>
      </c>
      <c r="U838" s="1773"/>
      <c r="V838" s="1774"/>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26" t="s">
        <v>2412</v>
      </c>
      <c r="N839" s="1727"/>
      <c r="O839" s="1727"/>
      <c r="P839" s="1727"/>
      <c r="Q839" s="1727"/>
      <c r="R839" s="1727"/>
      <c r="S839" s="1727"/>
      <c r="T839" s="1727"/>
      <c r="U839" s="1727"/>
      <c r="V839" s="1728"/>
      <c r="W839" s="1730">
        <v>34277</v>
      </c>
      <c r="X839" s="1731"/>
      <c r="Y839" s="1731"/>
      <c r="Z839" s="1731"/>
      <c r="AA839" s="1731"/>
      <c r="AB839" s="1731"/>
      <c r="AC839" s="1732"/>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89">
        <f>SUM(W835:AC839)</f>
        <v>171383</v>
      </c>
      <c r="X840" s="2190"/>
      <c r="Y840" s="2190"/>
      <c r="Z840" s="2190"/>
      <c r="AA840" s="2190"/>
      <c r="AB840" s="2190"/>
      <c r="AC840" s="219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30">
        <v>26000</v>
      </c>
      <c r="X841" s="1731"/>
      <c r="Y841" s="1731"/>
      <c r="Z841" s="1731"/>
      <c r="AA841" s="1731"/>
      <c r="AB841" s="1731"/>
      <c r="AC841" s="1732"/>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29">
        <v>10000</v>
      </c>
      <c r="X843" s="1729"/>
      <c r="Y843" s="1729"/>
      <c r="Z843" s="1729"/>
      <c r="AA843" s="1729"/>
      <c r="AB843" s="1729"/>
      <c r="AC843" s="1729"/>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29">
        <v>10000</v>
      </c>
      <c r="X844" s="1729"/>
      <c r="Y844" s="1729"/>
      <c r="Z844" s="1729"/>
      <c r="AA844" s="1729"/>
      <c r="AB844" s="1729"/>
      <c r="AC844" s="172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29">
        <v>28000</v>
      </c>
      <c r="X845" s="1729"/>
      <c r="Y845" s="1729"/>
      <c r="Z845" s="1729"/>
      <c r="AA845" s="1729"/>
      <c r="AB845" s="1729"/>
      <c r="AC845" s="172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29">
        <v>8000</v>
      </c>
      <c r="X846" s="1729"/>
      <c r="Y846" s="1729"/>
      <c r="Z846" s="1729"/>
      <c r="AA846" s="1729"/>
      <c r="AB846" s="1729"/>
      <c r="AC846" s="1729"/>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29">
        <v>18000</v>
      </c>
      <c r="X847" s="1729"/>
      <c r="Y847" s="1729"/>
      <c r="Z847" s="1729"/>
      <c r="AA847" s="1729"/>
      <c r="AB847" s="1729"/>
      <c r="AC847" s="1729"/>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680</v>
      </c>
      <c r="K848" s="91"/>
      <c r="L848" s="91"/>
      <c r="M848" s="91"/>
      <c r="N848" s="91"/>
      <c r="O848" s="91"/>
      <c r="P848" s="91"/>
      <c r="Q848" s="91"/>
      <c r="R848" s="91"/>
      <c r="S848" s="91"/>
      <c r="T848" s="91"/>
      <c r="U848" s="91"/>
      <c r="V848" s="92"/>
      <c r="W848" s="1729">
        <v>0</v>
      </c>
      <c r="X848" s="1729"/>
      <c r="Y848" s="1729"/>
      <c r="Z848" s="1729"/>
      <c r="AA848" s="1729"/>
      <c r="AB848" s="1729"/>
      <c r="AC848" s="1729"/>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310</v>
      </c>
      <c r="K849" s="91"/>
      <c r="L849" s="91"/>
      <c r="M849" s="1726" t="s">
        <v>2413</v>
      </c>
      <c r="N849" s="1727"/>
      <c r="O849" s="1727"/>
      <c r="P849" s="1727"/>
      <c r="Q849" s="1727"/>
      <c r="R849" s="1727"/>
      <c r="S849" s="1727"/>
      <c r="T849" s="1727"/>
      <c r="U849" s="1727"/>
      <c r="V849" s="1728"/>
      <c r="W849" s="1729">
        <v>28000</v>
      </c>
      <c r="X849" s="1729"/>
      <c r="Y849" s="1729"/>
      <c r="Z849" s="1729"/>
      <c r="AA849" s="1729"/>
      <c r="AB849" s="1729"/>
      <c r="AC849" s="1729"/>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768">
        <f>SUM(W843:AC849)</f>
        <v>102000</v>
      </c>
      <c r="X850" s="1768"/>
      <c r="Y850" s="1768"/>
      <c r="Z850" s="1768"/>
      <c r="AA850" s="1768"/>
      <c r="AB850" s="1768"/>
      <c r="AC850" s="1768"/>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2057</v>
      </c>
      <c r="J852" s="90" t="s">
        <v>310</v>
      </c>
      <c r="K852" s="91"/>
      <c r="L852" s="91"/>
      <c r="M852" s="1733" t="s">
        <v>619</v>
      </c>
      <c r="N852" s="1727"/>
      <c r="O852" s="1727"/>
      <c r="P852" s="1727"/>
      <c r="Q852" s="1727"/>
      <c r="R852" s="1727"/>
      <c r="S852" s="1727"/>
      <c r="T852" s="1727"/>
      <c r="U852" s="1727"/>
      <c r="V852" s="1728"/>
      <c r="W852" s="1769"/>
      <c r="X852" s="1770"/>
      <c r="Y852" s="1770"/>
      <c r="Z852" s="1770"/>
      <c r="AA852" s="1770"/>
      <c r="AB852" s="1770"/>
      <c r="AC852" s="1771"/>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2058</v>
      </c>
      <c r="J853" s="90" t="s">
        <v>310</v>
      </c>
      <c r="K853" s="91"/>
      <c r="L853" s="91"/>
      <c r="M853" s="1733" t="s">
        <v>619</v>
      </c>
      <c r="N853" s="1727"/>
      <c r="O853" s="1727"/>
      <c r="P853" s="1727"/>
      <c r="Q853" s="1727"/>
      <c r="R853" s="1727"/>
      <c r="S853" s="1727"/>
      <c r="T853" s="1727"/>
      <c r="U853" s="1727"/>
      <c r="V853" s="1728"/>
      <c r="W853" s="1769"/>
      <c r="X853" s="1770"/>
      <c r="Y853" s="1770"/>
      <c r="Z853" s="1770"/>
      <c r="AA853" s="1770"/>
      <c r="AB853" s="1770"/>
      <c r="AC853" s="1771"/>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33" t="s">
        <v>619</v>
      </c>
      <c r="N854" s="1727"/>
      <c r="O854" s="1727"/>
      <c r="P854" s="1727"/>
      <c r="Q854" s="1727"/>
      <c r="R854" s="1727"/>
      <c r="S854" s="1727"/>
      <c r="T854" s="1727"/>
      <c r="U854" s="1727"/>
      <c r="V854" s="1728"/>
      <c r="W854" s="1769"/>
      <c r="X854" s="1770"/>
      <c r="Y854" s="1770"/>
      <c r="Z854" s="1770"/>
      <c r="AA854" s="1770"/>
      <c r="AB854" s="1770"/>
      <c r="AC854" s="1771"/>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33" t="s">
        <v>619</v>
      </c>
      <c r="N855" s="1727"/>
      <c r="O855" s="1727"/>
      <c r="P855" s="1727"/>
      <c r="Q855" s="1727"/>
      <c r="R855" s="1727"/>
      <c r="S855" s="1727"/>
      <c r="T855" s="1727"/>
      <c r="U855" s="1727"/>
      <c r="V855" s="1728"/>
      <c r="W855" s="1769"/>
      <c r="X855" s="1770"/>
      <c r="Y855" s="1770"/>
      <c r="Z855" s="1770"/>
      <c r="AA855" s="1770"/>
      <c r="AB855" s="1770"/>
      <c r="AC855" s="177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33" t="s">
        <v>619</v>
      </c>
      <c r="N856" s="1727"/>
      <c r="O856" s="1727"/>
      <c r="P856" s="1727"/>
      <c r="Q856" s="1727"/>
      <c r="R856" s="1727"/>
      <c r="S856" s="1727"/>
      <c r="T856" s="1727"/>
      <c r="U856" s="1727"/>
      <c r="V856" s="1728"/>
      <c r="W856" s="1769"/>
      <c r="X856" s="1770"/>
      <c r="Y856" s="1770"/>
      <c r="Z856" s="1770"/>
      <c r="AA856" s="1770"/>
      <c r="AB856" s="1770"/>
      <c r="AC856" s="1771"/>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6">
        <f>SUM(W852:AC856)</f>
        <v>0</v>
      </c>
      <c r="X857" s="1757"/>
      <c r="Y857" s="1757"/>
      <c r="Z857" s="1757"/>
      <c r="AA857" s="1757"/>
      <c r="AB857" s="1757"/>
      <c r="AC857" s="1758"/>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6">
        <f>W825+W833+W840+W841+W850+W857+W827</f>
        <v>616552</v>
      </c>
      <c r="AD861" s="1757"/>
      <c r="AE861" s="1757"/>
      <c r="AF861" s="1757"/>
      <c r="AG861" s="1757"/>
      <c r="AH861" s="1758"/>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1751">
        <f>O776+O756+G731</f>
        <v>96</v>
      </c>
      <c r="AD862" s="1752"/>
      <c r="AE862" s="1752"/>
      <c r="AF862" s="1752"/>
      <c r="AG862" s="1752"/>
      <c r="AH862" s="1753"/>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58" t="s">
        <v>384</v>
      </c>
      <c r="F863" s="2159"/>
      <c r="G863" s="2159"/>
      <c r="H863" s="2159"/>
      <c r="I863" s="2159"/>
      <c r="J863" s="2159"/>
      <c r="K863" s="2159"/>
      <c r="L863" s="2159"/>
      <c r="M863" s="2159"/>
      <c r="N863" s="2159"/>
      <c r="O863" s="2159"/>
      <c r="P863" s="2159"/>
      <c r="Q863" s="2159"/>
      <c r="R863" s="2159"/>
      <c r="S863" s="2159"/>
      <c r="T863" s="2159"/>
      <c r="U863" s="2159"/>
      <c r="V863" s="2159"/>
      <c r="W863" s="2159"/>
      <c r="X863" s="2159"/>
      <c r="Y863" s="2159"/>
      <c r="Z863" s="2159"/>
      <c r="AA863" s="2159"/>
      <c r="AB863" s="2160"/>
      <c r="AC863" s="1766">
        <f>IF(ISERROR((ROUNDDOWN(AC861/AC862,0))),0,(ROUNDDOWN(AC861/AC862,0)))</f>
        <v>6422</v>
      </c>
      <c r="AD863" s="1767"/>
      <c r="AE863" s="1767"/>
      <c r="AF863" s="1767"/>
      <c r="AG863" s="1767"/>
      <c r="AH863" s="1767"/>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35">
        <v>488000</v>
      </c>
      <c r="AD864" s="1736"/>
      <c r="AE864" s="1736"/>
      <c r="AF864" s="1736"/>
      <c r="AG864" s="1736"/>
      <c r="AH864" s="1736"/>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771"/>
      <c r="AD865" s="1729"/>
      <c r="AE865" s="1729"/>
      <c r="AF865" s="1729"/>
      <c r="AG865" s="1729"/>
      <c r="AH865" s="1729"/>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69">
        <v>45000</v>
      </c>
      <c r="AD866" s="1770"/>
      <c r="AE866" s="1770"/>
      <c r="AF866" s="1770"/>
      <c r="AG866" s="1770"/>
      <c r="AH866" s="1771"/>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769">
        <v>24000</v>
      </c>
      <c r="AD867" s="1770"/>
      <c r="AE867" s="1770"/>
      <c r="AF867" s="1770"/>
      <c r="AG867" s="1770"/>
      <c r="AH867" s="1771"/>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2140</v>
      </c>
      <c r="AC868" s="1769"/>
      <c r="AD868" s="1770"/>
      <c r="AE868" s="1770"/>
      <c r="AF868" s="1770"/>
      <c r="AG868" s="1770"/>
      <c r="AH868" s="1771"/>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769">
        <v>7000</v>
      </c>
      <c r="AD869" s="1770"/>
      <c r="AE869" s="1770"/>
      <c r="AF869" s="1770"/>
      <c r="AG869" s="1770"/>
      <c r="AH869" s="1771"/>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2139</v>
      </c>
      <c r="AC870" s="1765">
        <v>105004</v>
      </c>
      <c r="AD870" s="1729"/>
      <c r="AE870" s="1729"/>
      <c r="AF870" s="1729"/>
      <c r="AG870" s="1729"/>
      <c r="AH870" s="1729"/>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1759" t="s">
        <v>2461</v>
      </c>
      <c r="F871" s="1760"/>
      <c r="G871" s="1760"/>
      <c r="H871" s="1760"/>
      <c r="I871" s="1760"/>
      <c r="J871" s="1760"/>
      <c r="K871" s="1760"/>
      <c r="L871" s="1760"/>
      <c r="M871" s="1760"/>
      <c r="N871" s="1760"/>
      <c r="O871" s="1760"/>
      <c r="P871" s="1760"/>
      <c r="Q871" s="1760"/>
      <c r="R871" s="1760"/>
      <c r="S871" s="1760"/>
      <c r="T871" s="1760"/>
      <c r="U871" s="1760"/>
      <c r="V871" s="1760"/>
      <c r="W871" s="1760"/>
      <c r="X871" s="1760"/>
      <c r="Y871" s="1760"/>
      <c r="Z871" s="1760"/>
      <c r="AA871" s="1760"/>
      <c r="AB871" s="1761"/>
      <c r="AC871" s="1729">
        <v>4000</v>
      </c>
      <c r="AD871" s="1729"/>
      <c r="AE871" s="1729"/>
      <c r="AF871" s="1729"/>
      <c r="AG871" s="1729"/>
      <c r="AH871" s="1729"/>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59" t="s">
        <v>1308</v>
      </c>
      <c r="F872" s="1760"/>
      <c r="G872" s="1760"/>
      <c r="H872" s="1760"/>
      <c r="I872" s="1760"/>
      <c r="J872" s="1760"/>
      <c r="K872" s="1760"/>
      <c r="L872" s="1760"/>
      <c r="M872" s="1760"/>
      <c r="N872" s="1760"/>
      <c r="O872" s="1760"/>
      <c r="P872" s="1760"/>
      <c r="Q872" s="1760"/>
      <c r="R872" s="1760"/>
      <c r="S872" s="1760"/>
      <c r="T872" s="1760"/>
      <c r="U872" s="1760"/>
      <c r="V872" s="1760"/>
      <c r="W872" s="1760"/>
      <c r="X872" s="1760"/>
      <c r="Y872" s="1760"/>
      <c r="Z872" s="1760"/>
      <c r="AA872" s="1760"/>
      <c r="AB872" s="1761"/>
      <c r="AC872" s="1729"/>
      <c r="AD872" s="1729"/>
      <c r="AE872" s="1729"/>
      <c r="AF872" s="1729"/>
      <c r="AG872" s="1729"/>
      <c r="AH872" s="1729"/>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4"/>
      <c r="AD873" s="1734"/>
      <c r="AE873" s="1734"/>
      <c r="AF873" s="1734"/>
      <c r="AG873" s="1734"/>
      <c r="AH873" s="1734"/>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62"/>
      <c r="AO874" s="1762"/>
      <c r="AP874" s="2155"/>
      <c r="AQ874" s="2155"/>
      <c r="AR874" s="2155"/>
      <c r="AS874" s="2155"/>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55"/>
      <c r="AQ875" s="2155"/>
      <c r="AR875" s="2155"/>
      <c r="AS875" s="2155"/>
      <c r="AV875" s="2155"/>
      <c r="AW875" s="2155"/>
      <c r="AX875" s="2155"/>
      <c r="AY875" s="2155"/>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69"/>
      <c r="AA876" s="1770"/>
      <c r="AB876" s="1770"/>
      <c r="AC876" s="1770"/>
      <c r="AD876" s="1770"/>
      <c r="AE876" s="1771"/>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69"/>
      <c r="AA877" s="1770"/>
      <c r="AB877" s="1770"/>
      <c r="AC877" s="1770"/>
      <c r="AD877" s="1770"/>
      <c r="AE877" s="177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769"/>
      <c r="AA878" s="1770"/>
      <c r="AB878" s="1770"/>
      <c r="AC878" s="1770"/>
      <c r="AD878" s="1770"/>
      <c r="AE878" s="1771"/>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756">
        <f>Z876-(Z877+Z878)</f>
        <v>0</v>
      </c>
      <c r="AA879" s="1757"/>
      <c r="AB879" s="1757"/>
      <c r="AC879" s="1757"/>
      <c r="AD879" s="1757"/>
      <c r="AE879" s="1758"/>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75"/>
      <c r="AU882" s="2075"/>
      <c r="AV882" s="2075"/>
      <c r="AW882" s="2075"/>
      <c r="AX882" s="2075"/>
      <c r="AY882" s="2075"/>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829" t="s">
        <v>139</v>
      </c>
      <c r="B886" s="1829"/>
      <c r="C886" s="1829"/>
      <c r="D886" s="1829"/>
      <c r="E886" s="1829"/>
      <c r="F886" s="1829"/>
      <c r="G886" s="1829"/>
      <c r="H886" s="1829"/>
      <c r="I886" s="1829"/>
      <c r="J886" s="1829"/>
      <c r="K886" s="1829"/>
      <c r="L886" s="1829"/>
      <c r="M886" s="1829"/>
      <c r="N886" s="1829"/>
      <c r="O886" s="1829"/>
      <c r="P886" s="1829"/>
      <c r="Q886" s="1829"/>
      <c r="R886" s="1829"/>
      <c r="S886" s="1829"/>
      <c r="T886" s="1829"/>
      <c r="U886" s="1829"/>
      <c r="V886" s="1829"/>
      <c r="W886" s="1829"/>
      <c r="X886" s="1829"/>
      <c r="Y886" s="1829"/>
      <c r="Z886" s="1829"/>
      <c r="AA886" s="1829"/>
      <c r="AB886" s="1829"/>
      <c r="AC886" s="1829"/>
      <c r="AD886" s="1829"/>
      <c r="AE886" s="1829"/>
      <c r="AF886" s="1829"/>
      <c r="AG886" s="1829"/>
      <c r="AH886" s="1829"/>
      <c r="AI886" s="1829"/>
      <c r="AJ886" s="1829"/>
      <c r="AK886" s="1829"/>
      <c r="AL886" s="1829"/>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29"/>
      <c r="B887" s="1829"/>
      <c r="C887" s="1829"/>
      <c r="D887" s="1829"/>
      <c r="E887" s="1829"/>
      <c r="F887" s="1829"/>
      <c r="G887" s="1829"/>
      <c r="H887" s="1829"/>
      <c r="I887" s="1829"/>
      <c r="J887" s="1829"/>
      <c r="K887" s="1829"/>
      <c r="L887" s="1829"/>
      <c r="M887" s="1829"/>
      <c r="N887" s="1829"/>
      <c r="O887" s="1829"/>
      <c r="P887" s="1829"/>
      <c r="Q887" s="1829"/>
      <c r="R887" s="1829"/>
      <c r="S887" s="1829"/>
      <c r="T887" s="1829"/>
      <c r="U887" s="1829"/>
      <c r="V887" s="1829"/>
      <c r="W887" s="1829"/>
      <c r="X887" s="1829"/>
      <c r="Y887" s="1829"/>
      <c r="Z887" s="1829"/>
      <c r="AA887" s="1829"/>
      <c r="AB887" s="1829"/>
      <c r="AC887" s="1829"/>
      <c r="AD887" s="1829"/>
      <c r="AE887" s="1829"/>
      <c r="AF887" s="1829"/>
      <c r="AG887" s="1829"/>
      <c r="AH887" s="1829"/>
      <c r="AI887" s="1829"/>
      <c r="AJ887" s="1829"/>
      <c r="AK887" s="1829"/>
      <c r="AL887" s="1829"/>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37" t="s">
        <v>1044</v>
      </c>
      <c r="G891" s="1738"/>
      <c r="H891" s="1738"/>
      <c r="I891" s="1738"/>
      <c r="J891" s="1738"/>
      <c r="K891" s="1738"/>
      <c r="L891" s="1738"/>
      <c r="M891" s="1738"/>
      <c r="N891" s="1738"/>
      <c r="O891" s="1738"/>
      <c r="P891" s="1738"/>
      <c r="Q891" s="1738"/>
      <c r="R891" s="1738"/>
      <c r="S891" s="1738"/>
      <c r="T891" s="1739"/>
      <c r="U891" s="2156" t="s">
        <v>383</v>
      </c>
      <c r="V891" s="2157"/>
      <c r="W891" s="2157"/>
      <c r="X891" s="2157"/>
      <c r="Y891" s="2157"/>
      <c r="Z891" s="2157"/>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28" t="s">
        <v>1126</v>
      </c>
      <c r="G892" s="2129"/>
      <c r="H892" s="2129"/>
      <c r="I892" s="2129"/>
      <c r="J892" s="2129"/>
      <c r="K892" s="2129"/>
      <c r="L892" s="2129"/>
      <c r="M892" s="2129"/>
      <c r="N892" s="2129"/>
      <c r="O892" s="2129"/>
      <c r="P892" s="2129"/>
      <c r="Q892" s="2129"/>
      <c r="R892" s="2129"/>
      <c r="S892" s="2129"/>
      <c r="T892" s="2130"/>
      <c r="U892" s="2128"/>
      <c r="V892" s="2129"/>
      <c r="W892" s="2129"/>
      <c r="X892" s="2129"/>
      <c r="Y892" s="2129"/>
      <c r="Z892" s="212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31"/>
      <c r="G893" s="2132"/>
      <c r="H893" s="2132"/>
      <c r="I893" s="2132"/>
      <c r="J893" s="2132"/>
      <c r="K893" s="2132"/>
      <c r="L893" s="2132"/>
      <c r="M893" s="2132"/>
      <c r="N893" s="2132"/>
      <c r="O893" s="2132"/>
      <c r="P893" s="2132"/>
      <c r="Q893" s="2132"/>
      <c r="R893" s="2132"/>
      <c r="S893" s="2132"/>
      <c r="T893" s="2133"/>
      <c r="U893" s="2131"/>
      <c r="V893" s="2132"/>
      <c r="W893" s="2132"/>
      <c r="X893" s="2132"/>
      <c r="Y893" s="2132"/>
      <c r="Z893" s="2132"/>
      <c r="AA893" s="310"/>
      <c r="AB893" s="1754" t="s">
        <v>61</v>
      </c>
      <c r="AC893" s="1754"/>
      <c r="AD893" s="1754"/>
      <c r="AE893" s="175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45" t="s">
        <v>119</v>
      </c>
      <c r="V894" s="1746"/>
      <c r="W894" s="1746"/>
      <c r="X894" s="1746"/>
      <c r="Y894" s="1746"/>
      <c r="Z894" s="1747"/>
      <c r="AA894" s="1743">
        <v>2643026</v>
      </c>
      <c r="AB894" s="1744"/>
      <c r="AC894" s="1744"/>
      <c r="AD894" s="1744"/>
      <c r="AE894" s="1744"/>
      <c r="AF894" s="173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45" t="s">
        <v>135</v>
      </c>
      <c r="V895" s="1746"/>
      <c r="W895" s="1746"/>
      <c r="X895" s="1746"/>
      <c r="Y895" s="1746"/>
      <c r="Z895" s="1747"/>
      <c r="AA895" s="1743"/>
      <c r="AB895" s="1744"/>
      <c r="AC895" s="1744"/>
      <c r="AD895" s="1744"/>
      <c r="AE895" s="1744"/>
      <c r="AF895" s="173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45" t="s">
        <v>135</v>
      </c>
      <c r="V896" s="1746"/>
      <c r="W896" s="1746"/>
      <c r="X896" s="1746"/>
      <c r="Y896" s="1746"/>
      <c r="Z896" s="1747"/>
      <c r="AA896" s="1743"/>
      <c r="AB896" s="1744"/>
      <c r="AC896" s="1744"/>
      <c r="AD896" s="1744"/>
      <c r="AE896" s="1744"/>
      <c r="AF896" s="173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45" t="s">
        <v>135</v>
      </c>
      <c r="V897" s="1746"/>
      <c r="W897" s="1746"/>
      <c r="X897" s="1746"/>
      <c r="Y897" s="1746"/>
      <c r="Z897" s="1747"/>
      <c r="AA897" s="1743"/>
      <c r="AB897" s="1744"/>
      <c r="AC897" s="1744"/>
      <c r="AD897" s="1744"/>
      <c r="AE897" s="1744"/>
      <c r="AF897" s="1735"/>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45" t="s">
        <v>135</v>
      </c>
      <c r="V898" s="1746"/>
      <c r="W898" s="1746"/>
      <c r="X898" s="1746"/>
      <c r="Y898" s="1746"/>
      <c r="Z898" s="1747"/>
      <c r="AA898" s="1743"/>
      <c r="AB898" s="1744"/>
      <c r="AC898" s="1744"/>
      <c r="AD898" s="1744"/>
      <c r="AE898" s="1744"/>
      <c r="AF898" s="1735"/>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45" t="s">
        <v>135</v>
      </c>
      <c r="V899" s="1746"/>
      <c r="W899" s="1746"/>
      <c r="X899" s="1746"/>
      <c r="Y899" s="1746"/>
      <c r="Z899" s="1747"/>
      <c r="AA899" s="1743"/>
      <c r="AB899" s="1744"/>
      <c r="AC899" s="1744"/>
      <c r="AD899" s="1744"/>
      <c r="AE899" s="1744"/>
      <c r="AF899" s="1735"/>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45" t="s">
        <v>135</v>
      </c>
      <c r="V900" s="1746"/>
      <c r="W900" s="1746"/>
      <c r="X900" s="1746"/>
      <c r="Y900" s="1746"/>
      <c r="Z900" s="1747"/>
      <c r="AA900" s="1743"/>
      <c r="AB900" s="1744"/>
      <c r="AC900" s="1744"/>
      <c r="AD900" s="1744"/>
      <c r="AE900" s="1744"/>
      <c r="AF900" s="1735"/>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45" t="s">
        <v>135</v>
      </c>
      <c r="V901" s="1746"/>
      <c r="W901" s="1746"/>
      <c r="X901" s="1746"/>
      <c r="Y901" s="1746"/>
      <c r="Z901" s="1747"/>
      <c r="AA901" s="1743"/>
      <c r="AB901" s="1744"/>
      <c r="AC901" s="1744"/>
      <c r="AD901" s="1744"/>
      <c r="AE901" s="1744"/>
      <c r="AF901" s="1735"/>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2102</v>
      </c>
      <c r="G902" s="91"/>
      <c r="H902" s="91"/>
      <c r="I902" s="91"/>
      <c r="J902" s="91"/>
      <c r="K902" s="91"/>
      <c r="L902" s="91"/>
      <c r="M902" s="91"/>
      <c r="N902" s="91"/>
      <c r="O902" s="91"/>
      <c r="P902" s="91"/>
      <c r="Q902" s="91"/>
      <c r="R902" s="91"/>
      <c r="S902" s="91"/>
      <c r="T902" s="92"/>
      <c r="U902" s="1745" t="s">
        <v>135</v>
      </c>
      <c r="V902" s="1746"/>
      <c r="W902" s="1746"/>
      <c r="X902" s="1746"/>
      <c r="Y902" s="1746"/>
      <c r="Z902" s="1747"/>
      <c r="AA902" s="1743"/>
      <c r="AB902" s="1744"/>
      <c r="AC902" s="1744"/>
      <c r="AD902" s="1744"/>
      <c r="AE902" s="1744"/>
      <c r="AF902" s="1735"/>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45" t="s">
        <v>135</v>
      </c>
      <c r="V903" s="1746"/>
      <c r="W903" s="1746"/>
      <c r="X903" s="1746"/>
      <c r="Y903" s="1746"/>
      <c r="Z903" s="1747"/>
      <c r="AA903" s="1743"/>
      <c r="AB903" s="1744"/>
      <c r="AC903" s="1744"/>
      <c r="AD903" s="1744"/>
      <c r="AE903" s="1744"/>
      <c r="AF903" s="173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914" t="s">
        <v>135</v>
      </c>
      <c r="V904" s="1915"/>
      <c r="W904" s="1915"/>
      <c r="X904" s="1915"/>
      <c r="Y904" s="1915"/>
      <c r="Z904" s="2165"/>
      <c r="AA904" s="2186"/>
      <c r="AB904" s="2187"/>
      <c r="AC904" s="2187"/>
      <c r="AD904" s="2187"/>
      <c r="AE904" s="2187"/>
      <c r="AF904" s="218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2100</v>
      </c>
      <c r="G905" s="91"/>
      <c r="H905" s="91"/>
      <c r="I905" s="91"/>
      <c r="J905" s="91"/>
      <c r="K905" s="91"/>
      <c r="L905" s="91"/>
      <c r="M905" s="91"/>
      <c r="N905" s="91"/>
      <c r="O905" s="91"/>
      <c r="P905" s="91"/>
      <c r="Q905" s="91"/>
      <c r="R905" s="91"/>
      <c r="S905" s="91"/>
      <c r="T905" s="92"/>
      <c r="U905" s="1745" t="s">
        <v>135</v>
      </c>
      <c r="V905" s="1746"/>
      <c r="W905" s="1746"/>
      <c r="X905" s="1746"/>
      <c r="Y905" s="1746"/>
      <c r="Z905" s="1747"/>
      <c r="AA905" s="1743"/>
      <c r="AB905" s="1744"/>
      <c r="AC905" s="1744"/>
      <c r="AD905" s="1744"/>
      <c r="AE905" s="1744"/>
      <c r="AF905" s="173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2101</v>
      </c>
      <c r="G906" s="91"/>
      <c r="H906" s="91"/>
      <c r="I906" s="91"/>
      <c r="J906" s="91"/>
      <c r="K906" s="91"/>
      <c r="L906" s="91"/>
      <c r="M906" s="91"/>
      <c r="N906" s="91"/>
      <c r="O906" s="91"/>
      <c r="P906" s="91"/>
      <c r="Q906" s="91"/>
      <c r="R906" s="91"/>
      <c r="S906" s="91"/>
      <c r="T906" s="92"/>
      <c r="U906" s="1745" t="s">
        <v>135</v>
      </c>
      <c r="V906" s="1746"/>
      <c r="W906" s="1746"/>
      <c r="X906" s="1746"/>
      <c r="Y906" s="1746"/>
      <c r="Z906" s="1747"/>
      <c r="AA906" s="1743"/>
      <c r="AB906" s="1744"/>
      <c r="AC906" s="1744"/>
      <c r="AD906" s="1744"/>
      <c r="AE906" s="1744"/>
      <c r="AF906" s="173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45" t="s">
        <v>135</v>
      </c>
      <c r="V907" s="1746"/>
      <c r="W907" s="1746"/>
      <c r="X907" s="1746"/>
      <c r="Y907" s="1746"/>
      <c r="Z907" s="1747"/>
      <c r="AA907" s="1743"/>
      <c r="AB907" s="1744"/>
      <c r="AC907" s="1744"/>
      <c r="AD907" s="1744"/>
      <c r="AE907" s="1744"/>
      <c r="AF907" s="173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952" t="s">
        <v>528</v>
      </c>
      <c r="Q908" s="1746"/>
      <c r="R908" s="1746"/>
      <c r="S908" s="1746"/>
      <c r="T908" s="1747"/>
      <c r="U908" s="1745" t="s">
        <v>135</v>
      </c>
      <c r="V908" s="1746"/>
      <c r="W908" s="1746"/>
      <c r="X908" s="1746"/>
      <c r="Y908" s="1746"/>
      <c r="Z908" s="1747"/>
      <c r="AA908" s="1743"/>
      <c r="AB908" s="1744"/>
      <c r="AC908" s="1744"/>
      <c r="AD908" s="1744"/>
      <c r="AE908" s="1744"/>
      <c r="AF908" s="173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61" t="s">
        <v>619</v>
      </c>
      <c r="J909" s="2162"/>
      <c r="K909" s="2162"/>
      <c r="L909" s="2162"/>
      <c r="M909" s="2162"/>
      <c r="N909" s="2162"/>
      <c r="O909" s="2162"/>
      <c r="P909" s="2162"/>
      <c r="Q909" s="2162"/>
      <c r="R909" s="2162"/>
      <c r="S909" s="2162"/>
      <c r="T909" s="2163"/>
      <c r="U909" s="1745" t="s">
        <v>135</v>
      </c>
      <c r="V909" s="1746"/>
      <c r="W909" s="1746"/>
      <c r="X909" s="1746"/>
      <c r="Y909" s="1746"/>
      <c r="Z909" s="1747"/>
      <c r="AA909" s="1743"/>
      <c r="AB909" s="1744"/>
      <c r="AC909" s="1744"/>
      <c r="AD909" s="1744"/>
      <c r="AE909" s="1744"/>
      <c r="AF909" s="173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2164" t="s">
        <v>2341</v>
      </c>
      <c r="J910" s="2162"/>
      <c r="K910" s="2162"/>
      <c r="L910" s="2162"/>
      <c r="M910" s="2162"/>
      <c r="N910" s="2162"/>
      <c r="O910" s="2162"/>
      <c r="P910" s="2162"/>
      <c r="Q910" s="2162"/>
      <c r="R910" s="2162"/>
      <c r="S910" s="2162"/>
      <c r="T910" s="2163"/>
      <c r="U910" s="1745" t="s">
        <v>119</v>
      </c>
      <c r="V910" s="1746"/>
      <c r="W910" s="1746"/>
      <c r="X910" s="1746"/>
      <c r="Y910" s="1746"/>
      <c r="Z910" s="1747"/>
      <c r="AA910" s="1743">
        <f>2580000+2746572+550000+7000000</f>
        <v>12876572</v>
      </c>
      <c r="AB910" s="1744"/>
      <c r="AC910" s="1744"/>
      <c r="AD910" s="1744"/>
      <c r="AE910" s="1744"/>
      <c r="AF910" s="173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61" t="s">
        <v>619</v>
      </c>
      <c r="J911" s="2162"/>
      <c r="K911" s="2162"/>
      <c r="L911" s="2162"/>
      <c r="M911" s="2162"/>
      <c r="N911" s="2162"/>
      <c r="O911" s="2162"/>
      <c r="P911" s="2162"/>
      <c r="Q911" s="2162"/>
      <c r="R911" s="2162"/>
      <c r="S911" s="2162"/>
      <c r="T911" s="2163"/>
      <c r="U911" s="1745" t="s">
        <v>135</v>
      </c>
      <c r="V911" s="1746"/>
      <c r="W911" s="1746"/>
      <c r="X911" s="1746"/>
      <c r="Y911" s="1746"/>
      <c r="Z911" s="1747"/>
      <c r="AA911" s="1743"/>
      <c r="AB911" s="1744"/>
      <c r="AC911" s="1744"/>
      <c r="AD911" s="1744"/>
      <c r="AE911" s="1744"/>
      <c r="AF911" s="1735"/>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61" t="s">
        <v>619</v>
      </c>
      <c r="J912" s="2162"/>
      <c r="K912" s="2162"/>
      <c r="L912" s="2162"/>
      <c r="M912" s="2162"/>
      <c r="N912" s="2162"/>
      <c r="O912" s="2162"/>
      <c r="P912" s="2162"/>
      <c r="Q912" s="2162"/>
      <c r="R912" s="2162"/>
      <c r="S912" s="2162"/>
      <c r="T912" s="2163"/>
      <c r="U912" s="1745" t="s">
        <v>135</v>
      </c>
      <c r="V912" s="1746"/>
      <c r="W912" s="1746"/>
      <c r="X912" s="1746"/>
      <c r="Y912" s="1746"/>
      <c r="Z912" s="1747"/>
      <c r="AA912" s="1743"/>
      <c r="AB912" s="1744"/>
      <c r="AC912" s="1744"/>
      <c r="AD912" s="1744"/>
      <c r="AE912" s="1744"/>
      <c r="AF912" s="1735"/>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48">
        <v>44662</v>
      </c>
      <c r="M917" s="1749"/>
      <c r="N917" s="1749"/>
      <c r="O917" s="1749"/>
      <c r="P917" s="1749"/>
      <c r="Q917" s="1749"/>
      <c r="R917" s="1749"/>
      <c r="S917" s="1750"/>
      <c r="U917" s="117" t="s">
        <v>901</v>
      </c>
      <c r="V917" s="91"/>
      <c r="W917" s="91"/>
      <c r="X917" s="91"/>
      <c r="Y917" s="91"/>
      <c r="Z917" s="91"/>
      <c r="AA917" s="91"/>
      <c r="AB917" s="91"/>
      <c r="AC917" s="91"/>
      <c r="AD917" s="92"/>
      <c r="AE917" s="1748"/>
      <c r="AF917" s="1981"/>
      <c r="AG917" s="1981"/>
      <c r="AH917" s="1981"/>
      <c r="AI917" s="1981"/>
      <c r="AJ917" s="1981"/>
      <c r="AK917" s="198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2087" t="s">
        <v>2424</v>
      </c>
      <c r="M918" s="1749"/>
      <c r="N918" s="1749"/>
      <c r="O918" s="1749"/>
      <c r="P918" s="1749"/>
      <c r="Q918" s="1749"/>
      <c r="R918" s="1749"/>
      <c r="S918" s="1750"/>
      <c r="U918" s="117" t="s">
        <v>902</v>
      </c>
      <c r="V918" s="91"/>
      <c r="W918" s="91"/>
      <c r="X918" s="91"/>
      <c r="Y918" s="91"/>
      <c r="Z918" s="91"/>
      <c r="AA918" s="91"/>
      <c r="AB918" s="91"/>
      <c r="AC918" s="91"/>
      <c r="AD918" s="92"/>
      <c r="AE918" s="2183"/>
      <c r="AF918" s="2184"/>
      <c r="AG918" s="2184"/>
      <c r="AH918" s="2184"/>
      <c r="AI918" s="2184"/>
      <c r="AJ918" s="2184"/>
      <c r="AK918" s="218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2084" t="s">
        <v>2458</v>
      </c>
      <c r="M919" s="2085"/>
      <c r="N919" s="2085"/>
      <c r="O919" s="2085"/>
      <c r="P919" s="2085"/>
      <c r="Q919" s="2085"/>
      <c r="R919" s="2085"/>
      <c r="S919" s="2086"/>
      <c r="U919" s="117" t="s">
        <v>1196</v>
      </c>
      <c r="V919" s="91"/>
      <c r="W919" s="91"/>
      <c r="AE919" s="2096" t="s">
        <v>86</v>
      </c>
      <c r="AF919" s="2097"/>
      <c r="AG919" s="2097"/>
      <c r="AH919" s="2097"/>
      <c r="AI919" s="2097"/>
      <c r="AJ919" s="2097"/>
      <c r="AK919" s="2098"/>
      <c r="AL919" s="119"/>
      <c r="AM919" s="75"/>
      <c r="AN919" s="75"/>
      <c r="AO919" s="75"/>
      <c r="AP919" s="75"/>
      <c r="AQ919" s="75"/>
      <c r="AR919" s="75"/>
      <c r="AS919" s="75"/>
      <c r="AT919" s="75"/>
      <c r="AU919" s="75"/>
      <c r="AV919" s="75"/>
      <c r="AW919" s="66" t="s">
        <v>646</v>
      </c>
      <c r="AX919" s="319">
        <v>20</v>
      </c>
      <c r="AY919" s="2080">
        <f>IF(AD955&gt;0,0.2,0)</f>
        <v>0</v>
      </c>
      <c r="AZ919" s="2080"/>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2119">
        <f>24/96</f>
        <v>0.25</v>
      </c>
      <c r="M920" s="2120"/>
      <c r="N920" s="2120"/>
      <c r="O920" s="2120"/>
      <c r="P920" s="2120"/>
      <c r="Q920" s="2120"/>
      <c r="R920" s="2120"/>
      <c r="S920" s="2121"/>
      <c r="U920" s="117" t="s">
        <v>903</v>
      </c>
      <c r="V920" s="91"/>
      <c r="W920" s="91"/>
      <c r="X920" s="91"/>
      <c r="Y920" s="91"/>
      <c r="Z920" s="91"/>
      <c r="AA920" s="91"/>
      <c r="AB920" s="91"/>
      <c r="AC920" s="91"/>
      <c r="AD920" s="92"/>
      <c r="AE920" s="2119"/>
      <c r="AF920" s="2120"/>
      <c r="AG920" s="2120"/>
      <c r="AH920" s="2120"/>
      <c r="AI920" s="2120"/>
      <c r="AJ920" s="2120"/>
      <c r="AK920" s="2121"/>
      <c r="AL920" s="119"/>
      <c r="AM920" s="75"/>
      <c r="AN920" s="75"/>
      <c r="AO920" s="75"/>
      <c r="AP920" s="75"/>
      <c r="AQ920" s="75"/>
      <c r="AR920" s="75"/>
      <c r="AS920" s="75"/>
      <c r="AT920" s="75"/>
      <c r="AU920" s="75"/>
      <c r="AV920" s="75"/>
      <c r="AX920" s="16">
        <v>5</v>
      </c>
      <c r="AY920" s="2080">
        <f>IF(AD958&gt;0,0.05,0)</f>
        <v>0</v>
      </c>
      <c r="AZ920" s="2080"/>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2122">
        <v>24</v>
      </c>
      <c r="M921" s="2123"/>
      <c r="N921" s="2123"/>
      <c r="O921" s="2123"/>
      <c r="P921" s="2123"/>
      <c r="Q921" s="2123"/>
      <c r="R921" s="2123"/>
      <c r="S921" s="2124"/>
      <c r="U921" s="117" t="s">
        <v>904</v>
      </c>
      <c r="V921" s="91"/>
      <c r="W921" s="91"/>
      <c r="X921" s="91"/>
      <c r="Y921" s="91"/>
      <c r="Z921" s="91"/>
      <c r="AA921" s="91"/>
      <c r="AB921" s="91"/>
      <c r="AC921" s="91"/>
      <c r="AD921" s="92"/>
      <c r="AE921" s="1977"/>
      <c r="AF921" s="1978"/>
      <c r="AG921" s="1978"/>
      <c r="AH921" s="1978"/>
      <c r="AI921" s="1978"/>
      <c r="AJ921" s="1978"/>
      <c r="AK921" s="1979"/>
      <c r="AL921" s="119"/>
      <c r="AM921" s="75"/>
      <c r="AN921" s="75"/>
      <c r="AO921" s="75"/>
      <c r="AP921" s="75"/>
      <c r="AQ921" s="75"/>
      <c r="AR921" s="75"/>
      <c r="AS921" s="75"/>
      <c r="AT921" s="75"/>
      <c r="AU921" s="75"/>
      <c r="AV921" s="75"/>
      <c r="AW921" s="66" t="s">
        <v>647</v>
      </c>
      <c r="AX921" s="319">
        <v>7</v>
      </c>
      <c r="AY921" s="2104">
        <f>IF(AD962&gt;0,0.07,0)</f>
        <v>0</v>
      </c>
      <c r="AZ921" s="210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769">
        <v>763500</v>
      </c>
      <c r="M922" s="1770"/>
      <c r="N922" s="1770"/>
      <c r="O922" s="1770"/>
      <c r="P922" s="1770"/>
      <c r="Q922" s="1770"/>
      <c r="R922" s="1770"/>
      <c r="S922" s="1771"/>
      <c r="U922" s="117" t="s">
        <v>905</v>
      </c>
      <c r="V922" s="91"/>
      <c r="W922" s="91"/>
      <c r="X922" s="91"/>
      <c r="Y922" s="91"/>
      <c r="Z922" s="91"/>
      <c r="AA922" s="91"/>
      <c r="AB922" s="91"/>
      <c r="AC922" s="91"/>
      <c r="AD922" s="92"/>
      <c r="AE922" s="1743"/>
      <c r="AF922" s="1744"/>
      <c r="AG922" s="1744"/>
      <c r="AH922" s="1744"/>
      <c r="AI922" s="1744"/>
      <c r="AJ922" s="1744"/>
      <c r="AK922" s="1735"/>
      <c r="AL922" s="119"/>
      <c r="AM922" s="75"/>
      <c r="AN922" s="75"/>
      <c r="AO922" s="75"/>
      <c r="AP922" s="75"/>
      <c r="AQ922" s="75"/>
      <c r="AR922" s="75"/>
      <c r="AS922" s="75"/>
      <c r="AT922" s="75"/>
      <c r="AU922" s="75"/>
      <c r="AV922" s="75"/>
      <c r="AW922" s="66" t="s">
        <v>163</v>
      </c>
      <c r="AX922" s="319">
        <v>2</v>
      </c>
      <c r="AY922" s="2081">
        <f>IF(AD966&gt;0,0.02,0)</f>
        <v>0</v>
      </c>
      <c r="AZ922" s="208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769">
        <v>15270000</v>
      </c>
      <c r="M923" s="1770"/>
      <c r="N923" s="1770"/>
      <c r="O923" s="1770"/>
      <c r="P923" s="1770"/>
      <c r="Q923" s="1770"/>
      <c r="R923" s="1770"/>
      <c r="S923" s="1771"/>
      <c r="U923" s="117" t="s">
        <v>906</v>
      </c>
      <c r="V923" s="91"/>
      <c r="W923" s="91"/>
      <c r="X923" s="91"/>
      <c r="Y923" s="91"/>
      <c r="Z923" s="91"/>
      <c r="AA923" s="91"/>
      <c r="AB923" s="91"/>
      <c r="AC923" s="91"/>
      <c r="AD923" s="92"/>
      <c r="AE923" s="1743"/>
      <c r="AF923" s="1744"/>
      <c r="AG923" s="1744"/>
      <c r="AH923" s="1744"/>
      <c r="AI923" s="1744"/>
      <c r="AJ923" s="1744"/>
      <c r="AK923" s="1735"/>
      <c r="AL923" s="119"/>
      <c r="AM923" s="75"/>
      <c r="AN923" s="75"/>
      <c r="AO923" s="75"/>
      <c r="AP923" s="75"/>
      <c r="AQ923" s="75"/>
      <c r="AR923" s="75"/>
      <c r="AS923" s="75"/>
      <c r="AT923" s="75"/>
      <c r="AU923" s="75"/>
      <c r="AV923" s="75"/>
      <c r="AW923" s="66" t="s">
        <v>648</v>
      </c>
      <c r="AX923" s="319">
        <v>2</v>
      </c>
      <c r="AY923" s="2081">
        <f>IF(AD968&gt;0,0.02,0)</f>
        <v>0</v>
      </c>
      <c r="AZ923" s="208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2116" t="s">
        <v>2459</v>
      </c>
      <c r="M924" s="2117"/>
      <c r="N924" s="2117"/>
      <c r="O924" s="2117"/>
      <c r="P924" s="2117"/>
      <c r="Q924" s="2117"/>
      <c r="R924" s="2117"/>
      <c r="S924" s="2118"/>
      <c r="U924" s="117" t="s">
        <v>851</v>
      </c>
      <c r="V924" s="91"/>
      <c r="W924" s="91"/>
      <c r="X924" s="91"/>
      <c r="Y924" s="91"/>
      <c r="Z924" s="91"/>
      <c r="AA924" s="91"/>
      <c r="AB924" s="91"/>
      <c r="AC924" s="91"/>
      <c r="AD924" s="92"/>
      <c r="AE924" s="2116"/>
      <c r="AF924" s="2117"/>
      <c r="AG924" s="2117"/>
      <c r="AH924" s="2117"/>
      <c r="AI924" s="2117"/>
      <c r="AJ924" s="2117"/>
      <c r="AK924" s="2118"/>
      <c r="AL924" s="119"/>
      <c r="AM924" s="75"/>
      <c r="AN924" s="75"/>
      <c r="AO924" s="75"/>
      <c r="AP924" s="75"/>
      <c r="AQ924" s="75"/>
      <c r="AR924" s="75"/>
      <c r="AS924" s="75"/>
      <c r="AT924" s="75"/>
      <c r="AU924" s="75"/>
      <c r="AV924" s="75"/>
      <c r="AW924" s="66" t="s">
        <v>649</v>
      </c>
      <c r="AX924" s="319">
        <v>10</v>
      </c>
      <c r="AY924" s="2108">
        <f>AY932</f>
        <v>0</v>
      </c>
      <c r="AZ924" s="210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2081"/>
      <c r="AZ925" s="208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2099"/>
      <c r="AZ926" s="2100"/>
      <c r="BA926" s="210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2081">
        <f>IF(AD985&gt;0,0.1,0)</f>
        <v>0</v>
      </c>
      <c r="AZ927" s="2082"/>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08">
        <f>SUM(AY919:AY927)</f>
        <v>0</v>
      </c>
      <c r="AZ928" s="2109"/>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763"/>
      <c r="N929" s="1764"/>
      <c r="O929" s="1764"/>
      <c r="P929" s="1764"/>
      <c r="Q929" s="1764"/>
      <c r="R929" s="1764"/>
      <c r="S929" s="1765"/>
      <c r="T929" s="117" t="s">
        <v>1033</v>
      </c>
      <c r="U929" s="91"/>
      <c r="V929" s="91"/>
      <c r="W929" s="91"/>
      <c r="X929" s="91"/>
      <c r="Y929" s="91"/>
      <c r="Z929" s="92"/>
      <c r="AA929" s="1763"/>
      <c r="AB929" s="1764"/>
      <c r="AC929" s="1764"/>
      <c r="AD929" s="1764"/>
      <c r="AE929" s="1764"/>
      <c r="AF929" s="1764"/>
      <c r="AG929" s="1765"/>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763"/>
      <c r="N930" s="1764"/>
      <c r="O930" s="1764"/>
      <c r="P930" s="1764"/>
      <c r="Q930" s="1764"/>
      <c r="R930" s="1764"/>
      <c r="S930" s="1765"/>
      <c r="T930" s="117" t="s">
        <v>1032</v>
      </c>
      <c r="U930" s="91"/>
      <c r="V930" s="91"/>
      <c r="W930" s="91"/>
      <c r="X930" s="91"/>
      <c r="Y930" s="91"/>
      <c r="Z930" s="92"/>
      <c r="AA930" s="1763"/>
      <c r="AB930" s="1764"/>
      <c r="AC930" s="1764"/>
      <c r="AD930" s="1764"/>
      <c r="AE930" s="1764"/>
      <c r="AF930" s="1764"/>
      <c r="AG930" s="1765"/>
      <c r="AL930" s="119"/>
      <c r="AM930" s="75"/>
      <c r="AN930" s="75"/>
      <c r="AO930" s="75"/>
      <c r="AP930" s="75"/>
      <c r="AQ930" s="75"/>
      <c r="AR930" s="75"/>
      <c r="AS930" s="75"/>
      <c r="AT930" s="75"/>
      <c r="AU930" s="75"/>
      <c r="AV930" s="75"/>
      <c r="AW930" s="66"/>
      <c r="AX930" s="66"/>
      <c r="AY930" s="2108">
        <f>SUM(AY919:AZ923)+AY927</f>
        <v>0</v>
      </c>
      <c r="AZ930" s="2109"/>
      <c r="BA930" s="2102">
        <v>0.39</v>
      </c>
      <c r="BB930" s="210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906" t="s">
        <v>135</v>
      </c>
      <c r="N931" s="1825"/>
      <c r="O931" s="1825"/>
      <c r="P931" s="1825"/>
      <c r="Q931" s="1825"/>
      <c r="R931" s="1825"/>
      <c r="S931" s="1907"/>
      <c r="T931" s="90" t="s">
        <v>623</v>
      </c>
      <c r="U931" s="91"/>
      <c r="V931" s="91"/>
      <c r="W931" s="91"/>
      <c r="X931" s="91"/>
      <c r="Y931" s="91"/>
      <c r="Z931" s="92"/>
      <c r="AA931" s="1763"/>
      <c r="AB931" s="1764"/>
      <c r="AC931" s="1764"/>
      <c r="AD931" s="1764"/>
      <c r="AE931" s="1764"/>
      <c r="AF931" s="1764"/>
      <c r="AG931" s="176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763"/>
      <c r="N932" s="1764"/>
      <c r="O932" s="1764"/>
      <c r="P932" s="1764"/>
      <c r="Q932" s="1764"/>
      <c r="R932" s="1764"/>
      <c r="S932" s="1765"/>
      <c r="T932" s="90" t="s">
        <v>624</v>
      </c>
      <c r="U932" s="91"/>
      <c r="V932" s="91"/>
      <c r="W932" s="91"/>
      <c r="X932" s="91"/>
      <c r="Y932" s="91"/>
      <c r="Z932" s="92"/>
      <c r="AA932" s="1763"/>
      <c r="AB932" s="1764"/>
      <c r="AC932" s="1764"/>
      <c r="AD932" s="1764"/>
      <c r="AE932" s="1764"/>
      <c r="AF932" s="1764"/>
      <c r="AG932" s="1765"/>
      <c r="AL932" s="119"/>
      <c r="AM932" s="75"/>
      <c r="AN932" s="75"/>
      <c r="AO932" s="75"/>
      <c r="AP932" s="75"/>
      <c r="AQ932" s="75"/>
      <c r="AR932" s="75"/>
      <c r="AS932" s="75"/>
      <c r="AT932" s="75"/>
      <c r="AU932" s="75"/>
      <c r="AV932" s="75"/>
      <c r="AW932" s="75"/>
      <c r="AX932" s="75"/>
      <c r="AY932" s="545">
        <f>IF(SUM(BA945:BA953)&lt;=0.1,SUM(BA945:BA953),0.1)</f>
        <v>0</v>
      </c>
      <c r="AZ932" s="75"/>
      <c r="BA932" s="72" t="s">
        <v>2230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63"/>
      <c r="N933" s="1764"/>
      <c r="O933" s="1764"/>
      <c r="P933" s="1764"/>
      <c r="Q933" s="1764"/>
      <c r="R933" s="1764"/>
      <c r="S933" s="1765"/>
      <c r="T933" s="90" t="s">
        <v>539</v>
      </c>
      <c r="U933" s="91"/>
      <c r="V933" s="91"/>
      <c r="W933" s="91"/>
      <c r="X933" s="91"/>
      <c r="Y933" s="91"/>
      <c r="Z933" s="92"/>
      <c r="AA933" s="1763"/>
      <c r="AB933" s="1764"/>
      <c r="AC933" s="1764"/>
      <c r="AD933" s="1764"/>
      <c r="AE933" s="1764"/>
      <c r="AF933" s="1764"/>
      <c r="AG933" s="176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2096" t="s">
        <v>86</v>
      </c>
      <c r="N934" s="2097"/>
      <c r="O934" s="2097"/>
      <c r="P934" s="2097"/>
      <c r="Q934" s="2097"/>
      <c r="R934" s="2097"/>
      <c r="S934" s="2098"/>
      <c r="T934" s="2113"/>
      <c r="U934" s="2114"/>
      <c r="V934" s="2114"/>
      <c r="W934" s="2114"/>
      <c r="X934" s="2114"/>
      <c r="Y934" s="2114"/>
      <c r="Z934" s="2115"/>
      <c r="AA934" s="1763"/>
      <c r="AB934" s="1764"/>
      <c r="AC934" s="1764"/>
      <c r="AD934" s="1764"/>
      <c r="AE934" s="1764"/>
      <c r="AF934" s="1764"/>
      <c r="AG934" s="176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63"/>
      <c r="N935" s="1764"/>
      <c r="O935" s="1764"/>
      <c r="P935" s="1764"/>
      <c r="Q935" s="1764"/>
      <c r="R935" s="1764"/>
      <c r="S935" s="1765"/>
      <c r="T935" s="2113"/>
      <c r="U935" s="2114"/>
      <c r="V935" s="2114"/>
      <c r="W935" s="2114"/>
      <c r="X935" s="2114"/>
      <c r="Y935" s="2114"/>
      <c r="Z935" s="2115"/>
      <c r="AA935" s="1763"/>
      <c r="AB935" s="1764"/>
      <c r="AC935" s="1764"/>
      <c r="AD935" s="1764"/>
      <c r="AE935" s="1764"/>
      <c r="AF935" s="1764"/>
      <c r="AG935" s="176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906" t="s">
        <v>528</v>
      </c>
      <c r="P936" s="1907"/>
      <c r="Q936" s="228"/>
      <c r="R936" s="228"/>
      <c r="S936" s="229"/>
      <c r="T936" s="85" t="s">
        <v>310</v>
      </c>
      <c r="U936" s="86"/>
      <c r="V936" s="86"/>
      <c r="W936" s="1733" t="s">
        <v>619</v>
      </c>
      <c r="X936" s="1727"/>
      <c r="Y936" s="1727"/>
      <c r="Z936" s="1727"/>
      <c r="AA936" s="1727"/>
      <c r="AB936" s="1727"/>
      <c r="AC936" s="1727"/>
      <c r="AD936" s="1727"/>
      <c r="AE936" s="1727"/>
      <c r="AF936" s="1727"/>
      <c r="AG936" s="1728"/>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8" t="s">
        <v>251</v>
      </c>
      <c r="G937" s="1779"/>
      <c r="H937" s="1779"/>
      <c r="I937" s="1779"/>
      <c r="J937" s="1779"/>
      <c r="K937" s="1779"/>
      <c r="L937" s="1779"/>
      <c r="M937" s="1763"/>
      <c r="N937" s="1764"/>
      <c r="O937" s="1764"/>
      <c r="P937" s="1764"/>
      <c r="Q937" s="1764"/>
      <c r="R937" s="1764"/>
      <c r="S937" s="1765"/>
      <c r="T937" s="93"/>
      <c r="U937" s="94"/>
      <c r="V937" s="94"/>
      <c r="W937" s="94"/>
      <c r="X937" s="94"/>
      <c r="Y937" s="94"/>
      <c r="Z937" s="351" t="s">
        <v>252</v>
      </c>
      <c r="AA937" s="2110"/>
      <c r="AB937" s="2111"/>
      <c r="AC937" s="2111"/>
      <c r="AD937" s="2111"/>
      <c r="AE937" s="2111"/>
      <c r="AF937" s="2111"/>
      <c r="AG937" s="211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29" t="s">
        <v>140</v>
      </c>
      <c r="B941" s="1829"/>
      <c r="C941" s="1829"/>
      <c r="D941" s="1829"/>
      <c r="E941" s="1829"/>
      <c r="F941" s="1829"/>
      <c r="G941" s="1829"/>
      <c r="H941" s="1829"/>
      <c r="I941" s="1829"/>
      <c r="J941" s="1829"/>
      <c r="K941" s="1829"/>
      <c r="L941" s="1829"/>
      <c r="M941" s="1829"/>
      <c r="N941" s="1829"/>
      <c r="O941" s="1829"/>
      <c r="P941" s="1829"/>
      <c r="Q941" s="1829"/>
      <c r="R941" s="1829"/>
      <c r="S941" s="1829"/>
      <c r="T941" s="1829"/>
      <c r="U941" s="1829"/>
      <c r="V941" s="1829"/>
      <c r="W941" s="1829"/>
      <c r="X941" s="1829"/>
      <c r="Y941" s="1829"/>
      <c r="Z941" s="1829"/>
      <c r="AA941" s="1829"/>
      <c r="AB941" s="1829"/>
      <c r="AC941" s="1829"/>
      <c r="AD941" s="1829"/>
      <c r="AE941" s="1829"/>
      <c r="AF941" s="1829"/>
      <c r="AG941" s="1829"/>
      <c r="AH941" s="1829"/>
      <c r="AI941" s="1829"/>
      <c r="AJ941" s="1829"/>
      <c r="AK941" s="1829"/>
      <c r="AL941" s="182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29"/>
      <c r="B942" s="1829"/>
      <c r="C942" s="1829"/>
      <c r="D942" s="1829"/>
      <c r="E942" s="1829"/>
      <c r="F942" s="1829"/>
      <c r="G942" s="1829"/>
      <c r="H942" s="1829"/>
      <c r="I942" s="1829"/>
      <c r="J942" s="1829"/>
      <c r="K942" s="1829"/>
      <c r="L942" s="1829"/>
      <c r="M942" s="1829"/>
      <c r="N942" s="1829"/>
      <c r="O942" s="1829"/>
      <c r="P942" s="1829"/>
      <c r="Q942" s="1829"/>
      <c r="R942" s="1829"/>
      <c r="S942" s="1829"/>
      <c r="T942" s="1829"/>
      <c r="U942" s="1829"/>
      <c r="V942" s="1829"/>
      <c r="W942" s="1829"/>
      <c r="X942" s="1829"/>
      <c r="Y942" s="1829"/>
      <c r="Z942" s="1829"/>
      <c r="AA942" s="1829"/>
      <c r="AB942" s="1829"/>
      <c r="AC942" s="1829"/>
      <c r="AD942" s="1829"/>
      <c r="AE942" s="1829"/>
      <c r="AF942" s="1829"/>
      <c r="AG942" s="1829"/>
      <c r="AH942" s="1829"/>
      <c r="AI942" s="1829"/>
      <c r="AJ942" s="1829"/>
      <c r="AK942" s="1829"/>
      <c r="AL942" s="182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75" t="s">
        <v>470</v>
      </c>
      <c r="E946" s="1776"/>
      <c r="F946" s="1776"/>
      <c r="G946" s="1776"/>
      <c r="H946" s="1776"/>
      <c r="I946" s="1776"/>
      <c r="J946" s="1776"/>
      <c r="K946" s="1776"/>
      <c r="L946" s="1776"/>
      <c r="M946" s="1776"/>
      <c r="N946" s="1776"/>
      <c r="O946" s="1776"/>
      <c r="P946" s="1776"/>
      <c r="Q946" s="1777"/>
      <c r="R946" s="1775" t="s">
        <v>471</v>
      </c>
      <c r="S946" s="1776"/>
      <c r="T946" s="1776"/>
      <c r="U946" s="1776"/>
      <c r="V946" s="1776"/>
      <c r="W946" s="1776"/>
      <c r="X946" s="1776"/>
      <c r="Y946" s="1776"/>
      <c r="Z946" s="1776"/>
      <c r="AA946" s="1777"/>
      <c r="AB946" s="1775" t="s">
        <v>472</v>
      </c>
      <c r="AC946" s="1776"/>
      <c r="AD946" s="1776"/>
      <c r="AE946" s="1776"/>
      <c r="AF946" s="1776"/>
      <c r="AG946" s="1776"/>
      <c r="AH946" s="1776"/>
      <c r="AI946" s="1777"/>
      <c r="AJ946" s="1775" t="s">
        <v>473</v>
      </c>
      <c r="AK946" s="1776"/>
      <c r="AL946" s="1776"/>
      <c r="AM946" s="1776"/>
      <c r="AN946" s="1776"/>
      <c r="AO946" s="1776"/>
      <c r="AP946" s="1776"/>
      <c r="AQ946" s="1777"/>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665" t="s">
        <v>465</v>
      </c>
      <c r="E947" s="1666"/>
      <c r="F947" s="1666"/>
      <c r="G947" s="1666"/>
      <c r="H947" s="1666"/>
      <c r="I947" s="1666"/>
      <c r="J947" s="1666"/>
      <c r="K947" s="1666"/>
      <c r="L947" s="1666"/>
      <c r="M947" s="1666"/>
      <c r="N947" s="1666"/>
      <c r="O947" s="1666"/>
      <c r="P947" s="1666"/>
      <c r="Q947" s="1667"/>
      <c r="R947" s="1668">
        <f>IF(ISNA(IF($BA$819="4%",(INDEX($BC$833:$BG$890,MATCH($BO$819,$BB$833:$BB$890,0),MATCH(D947,$BC$831:$BG$831,0))),(INDEX($BJ$833:$BN$890,MATCH($BO$819,$BI$833:$BI$890,0),MATCH(D947,$BJ$831:$BN$831,0))))),0,IF($BA$819="4%",(INDEX($BC$833:$BG$890,MATCH($BO$819,$BB$833:$BB$890,0),MATCH(D947,$BC$831:$BG$831,0))),(INDEX($BJ$833:$BN$890,MATCH($BO$819,$BI$833:$BI$890,0),MATCH(D947,$BJ$831:$BN$831,0)))))</f>
        <v>268043</v>
      </c>
      <c r="S947" s="1668"/>
      <c r="T947" s="1668"/>
      <c r="U947" s="1668"/>
      <c r="V947" s="1668"/>
      <c r="W947" s="1668"/>
      <c r="X947" s="1668"/>
      <c r="Y947" s="1668"/>
      <c r="Z947" s="1668"/>
      <c r="AA947" s="1668"/>
      <c r="AB947" s="1669">
        <f>BN652</f>
        <v>0</v>
      </c>
      <c r="AC947" s="1670"/>
      <c r="AD947" s="1670"/>
      <c r="AE947" s="1670"/>
      <c r="AF947" s="1670"/>
      <c r="AG947" s="1670"/>
      <c r="AH947" s="1670"/>
      <c r="AI947" s="1671"/>
      <c r="AJ947" s="1672">
        <f>IF(ISERROR((R947*AB947)),0,(R947*AB947))</f>
        <v>0</v>
      </c>
      <c r="AK947" s="1673"/>
      <c r="AL947" s="1673"/>
      <c r="AM947" s="1673"/>
      <c r="AN947" s="1673"/>
      <c r="AO947" s="1673"/>
      <c r="AP947" s="1673"/>
      <c r="AQ947" s="1674"/>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665" t="s">
        <v>488</v>
      </c>
      <c r="E948" s="1666"/>
      <c r="F948" s="1666"/>
      <c r="G948" s="1666"/>
      <c r="H948" s="1666"/>
      <c r="I948" s="1666"/>
      <c r="J948" s="1666"/>
      <c r="K948" s="1666"/>
      <c r="L948" s="1666"/>
      <c r="M948" s="1666"/>
      <c r="N948" s="1666"/>
      <c r="O948" s="1666"/>
      <c r="P948" s="1666"/>
      <c r="Q948" s="1667"/>
      <c r="R948" s="1668">
        <f>IF(ISNA(IF($BA$819="4%",(INDEX($BC$833:$BG$890,MATCH($BO$819,$BB$833:$BB$890,0),MATCH(D948,$BC$831:$BG$831,0))),(INDEX($BJ$833:$BN$890,MATCH($BO$819,$BI$833:$BI$890,0),MATCH(D948,$BJ$831:$BN$831,0))))),0,IF($BA$819="4%",(INDEX($BC$833:$BG$890,MATCH($BO$819,$BB$833:$BB$890,0),MATCH(D948,$BC$831:$BG$831,0))),(INDEX($BJ$833:$BN$890,MATCH($BO$819,$BI$833:$BI$890,0),MATCH(D948,$BJ$831:$BN$831,0)))))</f>
        <v>309051</v>
      </c>
      <c r="S948" s="1668"/>
      <c r="T948" s="1668"/>
      <c r="U948" s="1668"/>
      <c r="V948" s="1668"/>
      <c r="W948" s="1668"/>
      <c r="X948" s="1668"/>
      <c r="Y948" s="1668"/>
      <c r="Z948" s="1668"/>
      <c r="AA948" s="1668"/>
      <c r="AB948" s="1669">
        <f>BS652</f>
        <v>46</v>
      </c>
      <c r="AC948" s="1670"/>
      <c r="AD948" s="1670"/>
      <c r="AE948" s="1670"/>
      <c r="AF948" s="1670"/>
      <c r="AG948" s="1670"/>
      <c r="AH948" s="1670"/>
      <c r="AI948" s="1671"/>
      <c r="AJ948" s="1672">
        <f>IF(ISERROR((R948*AB948)),0,(R948*AB948))</f>
        <v>14216346</v>
      </c>
      <c r="AK948" s="1673"/>
      <c r="AL948" s="1673"/>
      <c r="AM948" s="1673"/>
      <c r="AN948" s="1673"/>
      <c r="AO948" s="1673"/>
      <c r="AP948" s="1673"/>
      <c r="AQ948" s="1674"/>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665" t="s">
        <v>845</v>
      </c>
      <c r="E949" s="1666"/>
      <c r="F949" s="1666"/>
      <c r="G949" s="1666"/>
      <c r="H949" s="1666"/>
      <c r="I949" s="1666"/>
      <c r="J949" s="1666"/>
      <c r="K949" s="1666"/>
      <c r="L949" s="1666"/>
      <c r="M949" s="1666"/>
      <c r="N949" s="1666"/>
      <c r="O949" s="1666"/>
      <c r="P949" s="1666"/>
      <c r="Q949" s="1667"/>
      <c r="R949" s="1668">
        <f>IF(ISNA(IF($BA$819="4%",(INDEX($BC$833:$BG$890,MATCH($BO$819,$BB$833:$BB$890,0),MATCH(D949,$BC$831:$BG$831,0))),(INDEX($BJ$833:$BN$890,MATCH($BO$819,$BI$833:$BI$890,0),MATCH(D949,$BJ$831:$BN$831,0))))),0,IF($BA$819="4%",(INDEX($BC$833:$BG$890,MATCH($BO$819,$BB$833:$BB$890,0),MATCH(D949,$BC$831:$BG$831,0))),(INDEX($BJ$833:$BN$890,MATCH($BO$819,$BI$833:$BI$890,0),MATCH(D949,$BJ$831:$BN$831,0)))))</f>
        <v>372800</v>
      </c>
      <c r="S949" s="1668"/>
      <c r="T949" s="1668"/>
      <c r="U949" s="1668"/>
      <c r="V949" s="1668"/>
      <c r="W949" s="1668"/>
      <c r="X949" s="1668"/>
      <c r="Y949" s="1668"/>
      <c r="Z949" s="1668"/>
      <c r="AA949" s="1668"/>
      <c r="AB949" s="1669">
        <f>BX652</f>
        <v>24</v>
      </c>
      <c r="AC949" s="1670"/>
      <c r="AD949" s="1670"/>
      <c r="AE949" s="1670"/>
      <c r="AF949" s="1670"/>
      <c r="AG949" s="1670"/>
      <c r="AH949" s="1670"/>
      <c r="AI949" s="1671"/>
      <c r="AJ949" s="1672">
        <f>IF(ISERROR((R949*AB949)),0,(R949*AB949))</f>
        <v>8947200</v>
      </c>
      <c r="AK949" s="1673"/>
      <c r="AL949" s="1673"/>
      <c r="AM949" s="1673"/>
      <c r="AN949" s="1673"/>
      <c r="AO949" s="1673"/>
      <c r="AP949" s="1673"/>
      <c r="AQ949" s="1674"/>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665" t="s">
        <v>846</v>
      </c>
      <c r="E950" s="1666"/>
      <c r="F950" s="1666"/>
      <c r="G950" s="1666"/>
      <c r="H950" s="1666"/>
      <c r="I950" s="1666"/>
      <c r="J950" s="1666"/>
      <c r="K950" s="1666"/>
      <c r="L950" s="1666"/>
      <c r="M950" s="1666"/>
      <c r="N950" s="1666"/>
      <c r="O950" s="1666"/>
      <c r="P950" s="1666"/>
      <c r="Q950" s="1667"/>
      <c r="R950" s="1668">
        <f>IF(ISNA(IF($BA$819="4%",(INDEX($BC$833:$BG$890,MATCH($BO$819,$BB$833:$BB$890,0),MATCH(D950,$BC$831:$BG$831,0))),(INDEX($BJ$833:$BN$890,MATCH($BO$819,$BI$833:$BI$890,0),MATCH(D950,$BJ$831:$BN$831,0))))),0,IF($BA$819="4%",(INDEX($BC$833:$BG$890,MATCH($BO$819,$BB$833:$BB$890,0),MATCH(D950,$BC$831:$BG$831,0))),(INDEX($BJ$833:$BN$890,MATCH($BO$819,$BI$833:$BI$890,0),MATCH(D950,$BJ$831:$BN$831,0)))))</f>
        <v>477184</v>
      </c>
      <c r="S950" s="1668"/>
      <c r="T950" s="1668"/>
      <c r="U950" s="1668"/>
      <c r="V950" s="1668"/>
      <c r="W950" s="1668"/>
      <c r="X950" s="1668"/>
      <c r="Y950" s="1668"/>
      <c r="Z950" s="1668"/>
      <c r="AA950" s="1668"/>
      <c r="AB950" s="1669">
        <f>CC652</f>
        <v>26</v>
      </c>
      <c r="AC950" s="1670"/>
      <c r="AD950" s="1670"/>
      <c r="AE950" s="1670"/>
      <c r="AF950" s="1670"/>
      <c r="AG950" s="1670"/>
      <c r="AH950" s="1670"/>
      <c r="AI950" s="1671"/>
      <c r="AJ950" s="1672">
        <f>IF(ISERROR((R950*AB950)),0,(R950*AB950))</f>
        <v>12406784</v>
      </c>
      <c r="AK950" s="1673"/>
      <c r="AL950" s="1673"/>
      <c r="AM950" s="1673"/>
      <c r="AN950" s="1673"/>
      <c r="AO950" s="1673"/>
      <c r="AP950" s="1673"/>
      <c r="AQ950" s="1674"/>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665" t="s">
        <v>859</v>
      </c>
      <c r="E951" s="1666"/>
      <c r="F951" s="1666"/>
      <c r="G951" s="1666"/>
      <c r="H951" s="1666"/>
      <c r="I951" s="1666"/>
      <c r="J951" s="1666"/>
      <c r="K951" s="1666"/>
      <c r="L951" s="1666"/>
      <c r="M951" s="1666"/>
      <c r="N951" s="1666"/>
      <c r="O951" s="1666"/>
      <c r="P951" s="1666"/>
      <c r="Q951" s="1667"/>
      <c r="R951" s="1668">
        <f>IF(ISNA(IF($BA$819="4%",(INDEX($BC$833:$BG$890,MATCH($BO$819,$BB$833:$BB$890,0),MATCH(D951,$BC$831:$BG$831,0))),(INDEX($BJ$833:$BN$890,MATCH($BO$819,$BI$833:$BI$890,0),MATCH(D951,$BJ$831:$BN$831,0))))),0,IF($BA$819="4%",(INDEX($BC$833:$BG$890,MATCH($BO$819,$BB$833:$BB$890,0),MATCH(D951,$BC$831:$BG$831,0))),(INDEX($BJ$833:$BN$890,MATCH($BO$819,$BI$833:$BI$890,0),MATCH(D951,$BJ$831:$BN$831,0)))))</f>
        <v>531613</v>
      </c>
      <c r="S951" s="1668"/>
      <c r="T951" s="1668"/>
      <c r="U951" s="1668"/>
      <c r="V951" s="1668"/>
      <c r="W951" s="1668"/>
      <c r="X951" s="1668"/>
      <c r="Y951" s="1668"/>
      <c r="Z951" s="1668"/>
      <c r="AA951" s="1668"/>
      <c r="AB951" s="1669">
        <f>CM652+CH652</f>
        <v>0</v>
      </c>
      <c r="AC951" s="1670"/>
      <c r="AD951" s="1670"/>
      <c r="AE951" s="1670"/>
      <c r="AF951" s="1670"/>
      <c r="AG951" s="1670"/>
      <c r="AH951" s="1670"/>
      <c r="AI951" s="1671"/>
      <c r="AJ951" s="1672">
        <f>IF(ISERROR((R951*AB951)),0,(R951*AB951))</f>
        <v>0</v>
      </c>
      <c r="AK951" s="1673"/>
      <c r="AL951" s="1673"/>
      <c r="AM951" s="1673"/>
      <c r="AN951" s="1673"/>
      <c r="AO951" s="1673"/>
      <c r="AP951" s="1673"/>
      <c r="AQ951" s="1674"/>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82" t="s">
        <v>1043</v>
      </c>
      <c r="C952" s="1683"/>
      <c r="D952" s="1683"/>
      <c r="E952" s="1683"/>
      <c r="F952" s="1683"/>
      <c r="G952" s="1683"/>
      <c r="H952" s="1683"/>
      <c r="I952" s="1683"/>
      <c r="J952" s="1683"/>
      <c r="K952" s="1683"/>
      <c r="L952" s="1683"/>
      <c r="M952" s="1683"/>
      <c r="N952" s="1683"/>
      <c r="O952" s="1683"/>
      <c r="P952" s="1683"/>
      <c r="Q952" s="1683"/>
      <c r="R952" s="1683"/>
      <c r="S952" s="1683"/>
      <c r="T952" s="1683"/>
      <c r="U952" s="1683"/>
      <c r="V952" s="1683"/>
      <c r="W952" s="1683"/>
      <c r="X952" s="1683"/>
      <c r="Y952" s="1683"/>
      <c r="Z952" s="1683"/>
      <c r="AA952" s="1684"/>
      <c r="AB952" s="1669">
        <f>SUM(AB947:AI951)</f>
        <v>96</v>
      </c>
      <c r="AC952" s="1670"/>
      <c r="AD952" s="1670"/>
      <c r="AE952" s="1670"/>
      <c r="AF952" s="1670"/>
      <c r="AG952" s="1670"/>
      <c r="AH952" s="1670"/>
      <c r="AI952" s="1671"/>
      <c r="AJ952" s="1672"/>
      <c r="AK952" s="1673"/>
      <c r="AL952" s="1673"/>
      <c r="AM952" s="1673"/>
      <c r="AN952" s="1673"/>
      <c r="AO952" s="1673"/>
      <c r="AP952" s="1673"/>
      <c r="AQ952" s="1674"/>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5" t="s">
        <v>811</v>
      </c>
      <c r="C953" s="1686"/>
      <c r="D953" s="1686"/>
      <c r="E953" s="1686"/>
      <c r="F953" s="1686"/>
      <c r="G953" s="1686"/>
      <c r="H953" s="1686"/>
      <c r="I953" s="1686"/>
      <c r="J953" s="1686"/>
      <c r="K953" s="1686"/>
      <c r="L953" s="1686"/>
      <c r="M953" s="1686"/>
      <c r="N953" s="1686"/>
      <c r="O953" s="1686"/>
      <c r="P953" s="1686"/>
      <c r="Q953" s="1686"/>
      <c r="R953" s="1686"/>
      <c r="S953" s="1686"/>
      <c r="T953" s="1686"/>
      <c r="U953" s="1686"/>
      <c r="V953" s="1686"/>
      <c r="W953" s="1686"/>
      <c r="X953" s="1686"/>
      <c r="Y953" s="1686"/>
      <c r="Z953" s="1686"/>
      <c r="AA953" s="1686"/>
      <c r="AB953" s="1686"/>
      <c r="AC953" s="1686"/>
      <c r="AD953" s="1686"/>
      <c r="AE953" s="1686"/>
      <c r="AF953" s="1686"/>
      <c r="AG953" s="1686"/>
      <c r="AH953" s="1686"/>
      <c r="AI953" s="1687"/>
      <c r="AJ953" s="1672">
        <f>SUM(AJ947:AQ951)</f>
        <v>35570330</v>
      </c>
      <c r="AK953" s="1673"/>
      <c r="AL953" s="1673"/>
      <c r="AM953" s="1673"/>
      <c r="AN953" s="1673"/>
      <c r="AO953" s="1673"/>
      <c r="AP953" s="1673"/>
      <c r="AQ953" s="1674"/>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8"/>
      <c r="C954" s="1689"/>
      <c r="D954" s="1689"/>
      <c r="E954" s="1689"/>
      <c r="F954" s="1689"/>
      <c r="G954" s="1689"/>
      <c r="H954" s="1689"/>
      <c r="I954" s="1689"/>
      <c r="J954" s="1689"/>
      <c r="K954" s="1689"/>
      <c r="L954" s="1689"/>
      <c r="M954" s="1689"/>
      <c r="N954" s="1689"/>
      <c r="O954" s="1689"/>
      <c r="P954" s="1689"/>
      <c r="Q954" s="1689"/>
      <c r="R954" s="1689"/>
      <c r="S954" s="1689"/>
      <c r="T954" s="1689"/>
      <c r="U954" s="1689"/>
      <c r="V954" s="1689"/>
      <c r="W954" s="1689"/>
      <c r="X954" s="1689"/>
      <c r="Y954" s="1689"/>
      <c r="Z954" s="1689"/>
      <c r="AA954" s="1689"/>
      <c r="AB954" s="1689"/>
      <c r="AC954" s="1689"/>
      <c r="AD954" s="1689"/>
      <c r="AE954" s="1690"/>
      <c r="AF954" s="1691" t="s">
        <v>525</v>
      </c>
      <c r="AG954" s="1692"/>
      <c r="AH954" s="1692"/>
      <c r="AI954" s="1693"/>
      <c r="AJ954" s="1688"/>
      <c r="AK954" s="1689"/>
      <c r="AL954" s="1689"/>
      <c r="AM954" s="1689"/>
      <c r="AN954" s="1689"/>
      <c r="AO954" s="1689"/>
      <c r="AP954" s="1689"/>
      <c r="AQ954" s="169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675" t="s">
        <v>2087</v>
      </c>
      <c r="E955" s="1676"/>
      <c r="F955" s="1676"/>
      <c r="G955" s="1676"/>
      <c r="H955" s="1676"/>
      <c r="I955" s="1676"/>
      <c r="J955" s="1676"/>
      <c r="K955" s="1676"/>
      <c r="L955" s="1676"/>
      <c r="M955" s="1676"/>
      <c r="N955" s="1676"/>
      <c r="O955" s="1676"/>
      <c r="P955" s="1676"/>
      <c r="Q955" s="1676"/>
      <c r="R955" s="1676"/>
      <c r="S955" s="1676"/>
      <c r="T955" s="1676"/>
      <c r="U955" s="1676"/>
      <c r="V955" s="1676"/>
      <c r="W955" s="1676"/>
      <c r="X955" s="1676"/>
      <c r="Y955" s="1676"/>
      <c r="Z955" s="1676"/>
      <c r="AA955" s="1676"/>
      <c r="AB955" s="1676"/>
      <c r="AC955" s="1676"/>
      <c r="AD955" s="1676"/>
      <c r="AE955" s="1677"/>
      <c r="AF955" s="128"/>
      <c r="AG955" s="1680" t="s">
        <v>119</v>
      </c>
      <c r="AH955" s="1681"/>
      <c r="AI955" s="131"/>
      <c r="AJ955" s="1656">
        <f>ROUND(IF(AND(AG955="yes",D957&gt;0),AJ953*0.2,0),0)</f>
        <v>7114066</v>
      </c>
      <c r="AK955" s="1657"/>
      <c r="AL955" s="1657"/>
      <c r="AM955" s="1657"/>
      <c r="AN955" s="1657"/>
      <c r="AO955" s="1657"/>
      <c r="AP955" s="1657"/>
      <c r="AQ955" s="165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2105" t="s">
        <v>2214</v>
      </c>
      <c r="E956" s="2106"/>
      <c r="F956" s="2106"/>
      <c r="G956" s="2106"/>
      <c r="H956" s="2106"/>
      <c r="I956" s="2106"/>
      <c r="J956" s="2106"/>
      <c r="K956" s="2106"/>
      <c r="L956" s="2106"/>
      <c r="M956" s="2106"/>
      <c r="N956" s="2106"/>
      <c r="O956" s="2106"/>
      <c r="P956" s="2106"/>
      <c r="Q956" s="2106"/>
      <c r="R956" s="2106"/>
      <c r="S956" s="2106"/>
      <c r="T956" s="2106"/>
      <c r="U956" s="2106"/>
      <c r="V956" s="2106"/>
      <c r="W956" s="2106"/>
      <c r="X956" s="2106"/>
      <c r="Y956" s="2106"/>
      <c r="Z956" s="2106"/>
      <c r="AA956" s="2106"/>
      <c r="AB956" s="2106"/>
      <c r="AC956" s="2106"/>
      <c r="AD956" s="2106"/>
      <c r="AE956" s="2107"/>
      <c r="AF956" s="124"/>
      <c r="AG956" s="125"/>
      <c r="AH956" s="125"/>
      <c r="AI956" s="129"/>
      <c r="AJ956" s="1659"/>
      <c r="AK956" s="1660"/>
      <c r="AL956" s="1660"/>
      <c r="AM956" s="1660"/>
      <c r="AN956" s="1660"/>
      <c r="AO956" s="1660"/>
      <c r="AP956" s="1660"/>
      <c r="AQ956" s="1661"/>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2088" t="s">
        <v>2424</v>
      </c>
      <c r="E957" s="2089"/>
      <c r="F957" s="2089"/>
      <c r="G957" s="2089"/>
      <c r="H957" s="2089"/>
      <c r="I957" s="2089"/>
      <c r="J957" s="2089"/>
      <c r="K957" s="2089"/>
      <c r="L957" s="2089"/>
      <c r="M957" s="2089"/>
      <c r="N957" s="2089"/>
      <c r="O957" s="2089"/>
      <c r="P957" s="2089"/>
      <c r="Q957" s="2089"/>
      <c r="R957" s="2089"/>
      <c r="S957" s="2089"/>
      <c r="T957" s="2089"/>
      <c r="U957" s="2089"/>
      <c r="V957" s="2089"/>
      <c r="W957" s="2089"/>
      <c r="X957" s="2089"/>
      <c r="Y957" s="2089"/>
      <c r="Z957" s="2089"/>
      <c r="AA957" s="2089"/>
      <c r="AB957" s="2089"/>
      <c r="AC957" s="2089"/>
      <c r="AD957" s="2089"/>
      <c r="AE957" s="2090"/>
      <c r="AF957" s="126"/>
      <c r="AG957" s="15"/>
      <c r="AH957" s="15"/>
      <c r="AI957" s="127"/>
      <c r="AJ957" s="1662"/>
      <c r="AK957" s="1663"/>
      <c r="AL957" s="1663"/>
      <c r="AM957" s="1663"/>
      <c r="AN957" s="1663"/>
      <c r="AO957" s="1663"/>
      <c r="AP957" s="1663"/>
      <c r="AQ957" s="1664"/>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694" t="s">
        <v>2215</v>
      </c>
      <c r="E958" s="1695"/>
      <c r="F958" s="1695"/>
      <c r="G958" s="1695"/>
      <c r="H958" s="1695"/>
      <c r="I958" s="1695"/>
      <c r="J958" s="1695"/>
      <c r="K958" s="1695"/>
      <c r="L958" s="1695"/>
      <c r="M958" s="1695"/>
      <c r="N958" s="1695"/>
      <c r="O958" s="1695"/>
      <c r="P958" s="1695"/>
      <c r="Q958" s="1695"/>
      <c r="R958" s="1695"/>
      <c r="S958" s="1695"/>
      <c r="T958" s="1695"/>
      <c r="U958" s="1695"/>
      <c r="V958" s="1695"/>
      <c r="W958" s="1695"/>
      <c r="X958" s="1695"/>
      <c r="Y958" s="1695"/>
      <c r="Z958" s="1695"/>
      <c r="AA958" s="1695"/>
      <c r="AB958" s="1695"/>
      <c r="AC958" s="1695"/>
      <c r="AD958" s="1695"/>
      <c r="AE958" s="1696"/>
      <c r="AF958" s="128"/>
      <c r="AG958" s="1678" t="s">
        <v>528</v>
      </c>
      <c r="AH958" s="1679"/>
      <c r="AI958" s="131"/>
      <c r="AJ958" s="1656">
        <f>ROUND(IF(AG958="yes",AJ953*0.05,0),0)</f>
        <v>0</v>
      </c>
      <c r="AK958" s="1657"/>
      <c r="AL958" s="1657"/>
      <c r="AM958" s="1657"/>
      <c r="AN958" s="1657"/>
      <c r="AO958" s="1657"/>
      <c r="AP958" s="1657"/>
      <c r="AQ958" s="165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2105" t="s">
        <v>2088</v>
      </c>
      <c r="E959" s="2106"/>
      <c r="F959" s="2106"/>
      <c r="G959" s="2106"/>
      <c r="H959" s="2106"/>
      <c r="I959" s="2106"/>
      <c r="J959" s="2106"/>
      <c r="K959" s="2106"/>
      <c r="L959" s="2106"/>
      <c r="M959" s="2106"/>
      <c r="N959" s="2106"/>
      <c r="O959" s="2106"/>
      <c r="P959" s="2106"/>
      <c r="Q959" s="2106"/>
      <c r="R959" s="2106"/>
      <c r="S959" s="2106"/>
      <c r="T959" s="2106"/>
      <c r="U959" s="2106"/>
      <c r="V959" s="2106"/>
      <c r="W959" s="2106"/>
      <c r="X959" s="2106"/>
      <c r="Y959" s="2106"/>
      <c r="Z959" s="2106"/>
      <c r="AA959" s="2106"/>
      <c r="AB959" s="2106"/>
      <c r="AC959" s="2106"/>
      <c r="AD959" s="2106"/>
      <c r="AE959" s="2107"/>
      <c r="AF959" s="124"/>
      <c r="AG959" s="125"/>
      <c r="AH959" s="125"/>
      <c r="AI959" s="129"/>
      <c r="AJ959" s="1659"/>
      <c r="AK959" s="1660"/>
      <c r="AL959" s="1660"/>
      <c r="AM959" s="1660"/>
      <c r="AN959" s="1660"/>
      <c r="AO959" s="1660"/>
      <c r="AP959" s="1660"/>
      <c r="AQ959" s="1661"/>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2105"/>
      <c r="E960" s="2106"/>
      <c r="F960" s="2106"/>
      <c r="G960" s="2106"/>
      <c r="H960" s="2106"/>
      <c r="I960" s="2106"/>
      <c r="J960" s="2106"/>
      <c r="K960" s="2106"/>
      <c r="L960" s="2106"/>
      <c r="M960" s="2106"/>
      <c r="N960" s="2106"/>
      <c r="O960" s="2106"/>
      <c r="P960" s="2106"/>
      <c r="Q960" s="2106"/>
      <c r="R960" s="2106"/>
      <c r="S960" s="2106"/>
      <c r="T960" s="2106"/>
      <c r="U960" s="2106"/>
      <c r="V960" s="2106"/>
      <c r="W960" s="2106"/>
      <c r="X960" s="2106"/>
      <c r="Y960" s="2106"/>
      <c r="Z960" s="2106"/>
      <c r="AA960" s="2106"/>
      <c r="AB960" s="2106"/>
      <c r="AC960" s="2106"/>
      <c r="AD960" s="2106"/>
      <c r="AE960" s="2107"/>
      <c r="AF960" s="124"/>
      <c r="AG960" s="125"/>
      <c r="AH960" s="125"/>
      <c r="AI960" s="129"/>
      <c r="AJ960" s="1659"/>
      <c r="AK960" s="1660"/>
      <c r="AL960" s="1660"/>
      <c r="AM960" s="1660"/>
      <c r="AN960" s="1660"/>
      <c r="AO960" s="1660"/>
      <c r="AP960" s="1660"/>
      <c r="AQ960" s="166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2105"/>
      <c r="E961" s="2106"/>
      <c r="F961" s="2106"/>
      <c r="G961" s="2106"/>
      <c r="H961" s="2106"/>
      <c r="I961" s="2106"/>
      <c r="J961" s="2106"/>
      <c r="K961" s="2106"/>
      <c r="L961" s="2106"/>
      <c r="M961" s="2106"/>
      <c r="N961" s="2106"/>
      <c r="O961" s="2106"/>
      <c r="P961" s="2106"/>
      <c r="Q961" s="2106"/>
      <c r="R961" s="2106"/>
      <c r="S961" s="2106"/>
      <c r="T961" s="2106"/>
      <c r="U961" s="2106"/>
      <c r="V961" s="2106"/>
      <c r="W961" s="2106"/>
      <c r="X961" s="2106"/>
      <c r="Y961" s="2106"/>
      <c r="Z961" s="2106"/>
      <c r="AA961" s="2106"/>
      <c r="AB961" s="2106"/>
      <c r="AC961" s="2106"/>
      <c r="AD961" s="2106"/>
      <c r="AE961" s="2107"/>
      <c r="AF961" s="124"/>
      <c r="AG961" s="125"/>
      <c r="AH961" s="125"/>
      <c r="AI961" s="129"/>
      <c r="AJ961" s="1659"/>
      <c r="AK961" s="1660"/>
      <c r="AL961" s="1660"/>
      <c r="AM961" s="1660"/>
      <c r="AN961" s="1660"/>
      <c r="AO961" s="1660"/>
      <c r="AP961" s="1660"/>
      <c r="AQ961" s="166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2105"/>
      <c r="E962" s="2106"/>
      <c r="F962" s="2106"/>
      <c r="G962" s="2106"/>
      <c r="H962" s="2106"/>
      <c r="I962" s="2106"/>
      <c r="J962" s="2106"/>
      <c r="K962" s="2106"/>
      <c r="L962" s="2106"/>
      <c r="M962" s="2106"/>
      <c r="N962" s="2106"/>
      <c r="O962" s="2106"/>
      <c r="P962" s="2106"/>
      <c r="Q962" s="2106"/>
      <c r="R962" s="2106"/>
      <c r="S962" s="2106"/>
      <c r="T962" s="2106"/>
      <c r="U962" s="2106"/>
      <c r="V962" s="2106"/>
      <c r="W962" s="2106"/>
      <c r="X962" s="2106"/>
      <c r="Y962" s="2106"/>
      <c r="Z962" s="2106"/>
      <c r="AA962" s="2106"/>
      <c r="AB962" s="2106"/>
      <c r="AC962" s="2106"/>
      <c r="AD962" s="2106"/>
      <c r="AE962" s="2107"/>
      <c r="AF962" s="124"/>
      <c r="AG962" s="125"/>
      <c r="AH962" s="125"/>
      <c r="AI962" s="129"/>
      <c r="AJ962" s="1659"/>
      <c r="AK962" s="1660"/>
      <c r="AL962" s="1660"/>
      <c r="AM962" s="1660"/>
      <c r="AN962" s="1660"/>
      <c r="AO962" s="1660"/>
      <c r="AP962" s="1660"/>
      <c r="AQ962" s="1661"/>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2180"/>
      <c r="E963" s="2181"/>
      <c r="F963" s="2181"/>
      <c r="G963" s="2181"/>
      <c r="H963" s="2181"/>
      <c r="I963" s="2181"/>
      <c r="J963" s="2181"/>
      <c r="K963" s="2181"/>
      <c r="L963" s="2181"/>
      <c r="M963" s="2181"/>
      <c r="N963" s="2181"/>
      <c r="O963" s="2181"/>
      <c r="P963" s="2181"/>
      <c r="Q963" s="2181"/>
      <c r="R963" s="2181"/>
      <c r="S963" s="2181"/>
      <c r="T963" s="2181"/>
      <c r="U963" s="2181"/>
      <c r="V963" s="2181"/>
      <c r="W963" s="2181"/>
      <c r="X963" s="2181"/>
      <c r="Y963" s="2181"/>
      <c r="Z963" s="2181"/>
      <c r="AA963" s="2181"/>
      <c r="AB963" s="2181"/>
      <c r="AC963" s="2181"/>
      <c r="AD963" s="2181"/>
      <c r="AE963" s="2182"/>
      <c r="AF963" s="126"/>
      <c r="AG963" s="15"/>
      <c r="AH963" s="15"/>
      <c r="AI963" s="127"/>
      <c r="AJ963" s="1662"/>
      <c r="AK963" s="1663"/>
      <c r="AL963" s="1663"/>
      <c r="AM963" s="1663"/>
      <c r="AN963" s="1663"/>
      <c r="AO963" s="1663"/>
      <c r="AP963" s="1663"/>
      <c r="AQ963" s="1664"/>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694" t="s">
        <v>2216</v>
      </c>
      <c r="E964" s="1695"/>
      <c r="F964" s="1695"/>
      <c r="G964" s="1695"/>
      <c r="H964" s="1695"/>
      <c r="I964" s="1695"/>
      <c r="J964" s="1695"/>
      <c r="K964" s="1695"/>
      <c r="L964" s="1695"/>
      <c r="M964" s="1695"/>
      <c r="N964" s="1695"/>
      <c r="O964" s="1695"/>
      <c r="P964" s="1695"/>
      <c r="Q964" s="1695"/>
      <c r="R964" s="1695"/>
      <c r="S964" s="1695"/>
      <c r="T964" s="1695"/>
      <c r="U964" s="1695"/>
      <c r="V964" s="1695"/>
      <c r="W964" s="1695"/>
      <c r="X964" s="1695"/>
      <c r="Y964" s="1695"/>
      <c r="Z964" s="1695"/>
      <c r="AA964" s="1695"/>
      <c r="AB964" s="1695"/>
      <c r="AC964" s="1695"/>
      <c r="AD964" s="1695"/>
      <c r="AE964" s="1696"/>
      <c r="AF964" s="130"/>
      <c r="AG964" s="1678" t="s">
        <v>528</v>
      </c>
      <c r="AH964" s="1679"/>
      <c r="AI964" s="131"/>
      <c r="AJ964" s="1656">
        <f>ROUND(IF(AG964="yes",AJ953*0.1,0),0)</f>
        <v>0</v>
      </c>
      <c r="AK964" s="1657"/>
      <c r="AL964" s="1657"/>
      <c r="AM964" s="1657"/>
      <c r="AN964" s="1657"/>
      <c r="AO964" s="1657"/>
      <c r="AP964" s="1657"/>
      <c r="AQ964" s="165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7" t="s">
        <v>2217</v>
      </c>
      <c r="E965" s="1698"/>
      <c r="F965" s="1698"/>
      <c r="G965" s="1698"/>
      <c r="H965" s="1698"/>
      <c r="I965" s="1698"/>
      <c r="J965" s="1698"/>
      <c r="K965" s="1698"/>
      <c r="L965" s="1698"/>
      <c r="M965" s="1698"/>
      <c r="N965" s="1698"/>
      <c r="O965" s="1698"/>
      <c r="P965" s="1698"/>
      <c r="Q965" s="1698"/>
      <c r="R965" s="1698"/>
      <c r="S965" s="1698"/>
      <c r="T965" s="1698"/>
      <c r="U965" s="1698"/>
      <c r="V965" s="1698"/>
      <c r="W965" s="1698"/>
      <c r="X965" s="1698"/>
      <c r="Y965" s="1698"/>
      <c r="Z965" s="1698"/>
      <c r="AA965" s="1698"/>
      <c r="AB965" s="1698"/>
      <c r="AC965" s="1698"/>
      <c r="AD965" s="1698"/>
      <c r="AE965" s="1699"/>
      <c r="AF965" s="124"/>
      <c r="AG965" s="35"/>
      <c r="AH965" s="35"/>
      <c r="AI965" s="129"/>
      <c r="AJ965" s="1659"/>
      <c r="AK965" s="1660"/>
      <c r="AL965" s="1660"/>
      <c r="AM965" s="1660"/>
      <c r="AN965" s="1660"/>
      <c r="AO965" s="1660"/>
      <c r="AP965" s="1660"/>
      <c r="AQ965" s="166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7"/>
      <c r="E966" s="1698"/>
      <c r="F966" s="1698"/>
      <c r="G966" s="1698"/>
      <c r="H966" s="1698"/>
      <c r="I966" s="1698"/>
      <c r="J966" s="1698"/>
      <c r="K966" s="1698"/>
      <c r="L966" s="1698"/>
      <c r="M966" s="1698"/>
      <c r="N966" s="1698"/>
      <c r="O966" s="1698"/>
      <c r="P966" s="1698"/>
      <c r="Q966" s="1698"/>
      <c r="R966" s="1698"/>
      <c r="S966" s="1698"/>
      <c r="T966" s="1698"/>
      <c r="U966" s="1698"/>
      <c r="V966" s="1698"/>
      <c r="W966" s="1698"/>
      <c r="X966" s="1698"/>
      <c r="Y966" s="1698"/>
      <c r="Z966" s="1698"/>
      <c r="AA966" s="1698"/>
      <c r="AB966" s="1698"/>
      <c r="AC966" s="1698"/>
      <c r="AD966" s="1698"/>
      <c r="AE966" s="1699"/>
      <c r="AF966" s="124"/>
      <c r="AG966" s="125"/>
      <c r="AH966" s="125"/>
      <c r="AI966" s="129"/>
      <c r="AJ966" s="1659"/>
      <c r="AK966" s="1660"/>
      <c r="AL966" s="1660"/>
      <c r="AM966" s="1660"/>
      <c r="AN966" s="1660"/>
      <c r="AO966" s="1660"/>
      <c r="AP966" s="1660"/>
      <c r="AQ966" s="1661"/>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700"/>
      <c r="E967" s="1701"/>
      <c r="F967" s="1701"/>
      <c r="G967" s="1701"/>
      <c r="H967" s="1701"/>
      <c r="I967" s="1701"/>
      <c r="J967" s="1701"/>
      <c r="K967" s="1701"/>
      <c r="L967" s="1701"/>
      <c r="M967" s="1701"/>
      <c r="N967" s="1701"/>
      <c r="O967" s="1701"/>
      <c r="P967" s="1701"/>
      <c r="Q967" s="1701"/>
      <c r="R967" s="1701"/>
      <c r="S967" s="1701"/>
      <c r="T967" s="1701"/>
      <c r="U967" s="1701"/>
      <c r="V967" s="1701"/>
      <c r="W967" s="1701"/>
      <c r="X967" s="1701"/>
      <c r="Y967" s="1701"/>
      <c r="Z967" s="1701"/>
      <c r="AA967" s="1701"/>
      <c r="AB967" s="1701"/>
      <c r="AC967" s="1701"/>
      <c r="AD967" s="1701"/>
      <c r="AE967" s="1702"/>
      <c r="AF967" s="126"/>
      <c r="AG967" s="15"/>
      <c r="AH967" s="15"/>
      <c r="AI967" s="127"/>
      <c r="AJ967" s="1662"/>
      <c r="AK967" s="1663"/>
      <c r="AL967" s="1663"/>
      <c r="AM967" s="1663"/>
      <c r="AN967" s="1663"/>
      <c r="AO967" s="1663"/>
      <c r="AP967" s="1663"/>
      <c r="AQ967" s="166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694" t="s">
        <v>2089</v>
      </c>
      <c r="E968" s="1695"/>
      <c r="F968" s="1695"/>
      <c r="G968" s="1695"/>
      <c r="H968" s="1695"/>
      <c r="I968" s="1695"/>
      <c r="J968" s="1695"/>
      <c r="K968" s="1695"/>
      <c r="L968" s="1695"/>
      <c r="M968" s="1695"/>
      <c r="N968" s="1695"/>
      <c r="O968" s="1695"/>
      <c r="P968" s="1695"/>
      <c r="Q968" s="1695"/>
      <c r="R968" s="1695"/>
      <c r="S968" s="1695"/>
      <c r="T968" s="1695"/>
      <c r="U968" s="1695"/>
      <c r="V968" s="1695"/>
      <c r="W968" s="1695"/>
      <c r="X968" s="1695"/>
      <c r="Y968" s="1695"/>
      <c r="Z968" s="1695"/>
      <c r="AA968" s="1695"/>
      <c r="AB968" s="1695"/>
      <c r="AC968" s="1695"/>
      <c r="AD968" s="1695"/>
      <c r="AE968" s="1696"/>
      <c r="AF968" s="128"/>
      <c r="AG968" s="1678" t="s">
        <v>528</v>
      </c>
      <c r="AH968" s="1679"/>
      <c r="AI968" s="131"/>
      <c r="AJ968" s="1656">
        <f>ROUND(IF(AG968="yes",AJ953*0.02,0),0)</f>
        <v>0</v>
      </c>
      <c r="AK968" s="1657"/>
      <c r="AL968" s="1657"/>
      <c r="AM968" s="1657"/>
      <c r="AN968" s="1657"/>
      <c r="AO968" s="1657"/>
      <c r="AP968" s="1657"/>
      <c r="AQ968" s="165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700" t="s">
        <v>2090</v>
      </c>
      <c r="E969" s="1701"/>
      <c r="F969" s="1701"/>
      <c r="G969" s="1701"/>
      <c r="H969" s="1701"/>
      <c r="I969" s="1701"/>
      <c r="J969" s="1701"/>
      <c r="K969" s="1701"/>
      <c r="L969" s="1701"/>
      <c r="M969" s="1701"/>
      <c r="N969" s="1701"/>
      <c r="O969" s="1701"/>
      <c r="P969" s="1701"/>
      <c r="Q969" s="1701"/>
      <c r="R969" s="1701"/>
      <c r="S969" s="1701"/>
      <c r="T969" s="1701"/>
      <c r="U969" s="1701"/>
      <c r="V969" s="1701"/>
      <c r="W969" s="1701"/>
      <c r="X969" s="1701"/>
      <c r="Y969" s="1701"/>
      <c r="Z969" s="1701"/>
      <c r="AA969" s="1701"/>
      <c r="AB969" s="1701"/>
      <c r="AC969" s="1701"/>
      <c r="AD969" s="1701"/>
      <c r="AE969" s="1702"/>
      <c r="AF969" s="126"/>
      <c r="AG969" s="15"/>
      <c r="AH969" s="15"/>
      <c r="AI969" s="127"/>
      <c r="AJ969" s="1662"/>
      <c r="AK969" s="1663"/>
      <c r="AL969" s="1663"/>
      <c r="AM969" s="1663"/>
      <c r="AN969" s="1663"/>
      <c r="AO969" s="1663"/>
      <c r="AP969" s="1663"/>
      <c r="AQ969" s="1664"/>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694" t="s">
        <v>2091</v>
      </c>
      <c r="E970" s="1695"/>
      <c r="F970" s="1695"/>
      <c r="G970" s="1695"/>
      <c r="H970" s="1695"/>
      <c r="I970" s="1695"/>
      <c r="J970" s="1695"/>
      <c r="K970" s="1695"/>
      <c r="L970" s="1695"/>
      <c r="M970" s="1695"/>
      <c r="N970" s="1695"/>
      <c r="O970" s="1695"/>
      <c r="P970" s="1695"/>
      <c r="Q970" s="1695"/>
      <c r="R970" s="1695"/>
      <c r="S970" s="1695"/>
      <c r="T970" s="1695"/>
      <c r="U970" s="1695"/>
      <c r="V970" s="1695"/>
      <c r="W970" s="1695"/>
      <c r="X970" s="1695"/>
      <c r="Y970" s="1695"/>
      <c r="Z970" s="1695"/>
      <c r="AA970" s="1695"/>
      <c r="AB970" s="1695"/>
      <c r="AC970" s="1695"/>
      <c r="AD970" s="1695"/>
      <c r="AE970" s="1696"/>
      <c r="AF970" s="128"/>
      <c r="AG970" s="1678" t="s">
        <v>528</v>
      </c>
      <c r="AH970" s="1679"/>
      <c r="AI970" s="128"/>
      <c r="AJ970" s="1656">
        <f>ROUND(IF(AG970="yes",AJ953*0.02,0),0)</f>
        <v>0</v>
      </c>
      <c r="AK970" s="1657"/>
      <c r="AL970" s="1657"/>
      <c r="AM970" s="1657"/>
      <c r="AN970" s="1657"/>
      <c r="AO970" s="1657"/>
      <c r="AP970" s="1657"/>
      <c r="AQ970" s="165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7" t="s">
        <v>2092</v>
      </c>
      <c r="E971" s="1698"/>
      <c r="F971" s="1698"/>
      <c r="G971" s="1698"/>
      <c r="H971" s="1698"/>
      <c r="I971" s="1698"/>
      <c r="J971" s="1698"/>
      <c r="K971" s="1698"/>
      <c r="L971" s="1698"/>
      <c r="M971" s="1698"/>
      <c r="N971" s="1698"/>
      <c r="O971" s="1698"/>
      <c r="P971" s="1698"/>
      <c r="Q971" s="1698"/>
      <c r="R971" s="1698"/>
      <c r="S971" s="1698"/>
      <c r="T971" s="1698"/>
      <c r="U971" s="1698"/>
      <c r="V971" s="1698"/>
      <c r="W971" s="1698"/>
      <c r="X971" s="1698"/>
      <c r="Y971" s="1698"/>
      <c r="Z971" s="1698"/>
      <c r="AA971" s="1698"/>
      <c r="AB971" s="1698"/>
      <c r="AC971" s="1698"/>
      <c r="AD971" s="1698"/>
      <c r="AE971" s="1699"/>
      <c r="AF971" s="124"/>
      <c r="AG971" s="35"/>
      <c r="AH971" s="35"/>
      <c r="AI971" s="125"/>
      <c r="AJ971" s="1659"/>
      <c r="AK971" s="1660"/>
      <c r="AL971" s="1660"/>
      <c r="AM971" s="1660"/>
      <c r="AN971" s="1660"/>
      <c r="AO971" s="1660"/>
      <c r="AP971" s="1660"/>
      <c r="AQ971" s="1661"/>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700"/>
      <c r="E972" s="1701"/>
      <c r="F972" s="1701"/>
      <c r="G972" s="1701"/>
      <c r="H972" s="1701"/>
      <c r="I972" s="1701"/>
      <c r="J972" s="1701"/>
      <c r="K972" s="1701"/>
      <c r="L972" s="1701"/>
      <c r="M972" s="1701"/>
      <c r="N972" s="1701"/>
      <c r="O972" s="1701"/>
      <c r="P972" s="1701"/>
      <c r="Q972" s="1701"/>
      <c r="R972" s="1701"/>
      <c r="S972" s="1701"/>
      <c r="T972" s="1701"/>
      <c r="U972" s="1701"/>
      <c r="V972" s="1701"/>
      <c r="W972" s="1701"/>
      <c r="X972" s="1701"/>
      <c r="Y972" s="1701"/>
      <c r="Z972" s="1701"/>
      <c r="AA972" s="1701"/>
      <c r="AB972" s="1701"/>
      <c r="AC972" s="1701"/>
      <c r="AD972" s="1701"/>
      <c r="AE972" s="1702"/>
      <c r="AF972" s="126"/>
      <c r="AG972" s="15"/>
      <c r="AH972" s="15"/>
      <c r="AI972" s="127"/>
      <c r="AJ972" s="1662"/>
      <c r="AK972" s="1663"/>
      <c r="AL972" s="1663"/>
      <c r="AM972" s="1663"/>
      <c r="AN972" s="1663"/>
      <c r="AO972" s="1663"/>
      <c r="AP972" s="1663"/>
      <c r="AQ972" s="1664"/>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675" t="s">
        <v>2093</v>
      </c>
      <c r="E973" s="1676"/>
      <c r="F973" s="1676"/>
      <c r="G973" s="1676"/>
      <c r="H973" s="1676"/>
      <c r="I973" s="1676"/>
      <c r="J973" s="1676"/>
      <c r="K973" s="1676"/>
      <c r="L973" s="1676"/>
      <c r="M973" s="1676"/>
      <c r="N973" s="1676"/>
      <c r="O973" s="1676"/>
      <c r="P973" s="1676"/>
      <c r="Q973" s="1676"/>
      <c r="R973" s="1676"/>
      <c r="S973" s="1676"/>
      <c r="T973" s="1676"/>
      <c r="U973" s="1676"/>
      <c r="V973" s="1676"/>
      <c r="W973" s="1676"/>
      <c r="X973" s="1676"/>
      <c r="Y973" s="1676"/>
      <c r="Z973" s="1676"/>
      <c r="AA973" s="1676"/>
      <c r="AB973" s="1676"/>
      <c r="AC973" s="1676"/>
      <c r="AD973" s="1676"/>
      <c r="AE973" s="1677"/>
      <c r="AF973" s="128"/>
      <c r="AG973" s="1678" t="s">
        <v>528</v>
      </c>
      <c r="AH973" s="1679"/>
      <c r="AI973" s="131"/>
      <c r="AJ973" s="1656">
        <f>IF(AG973="yes",AJ953*AY932,0)</f>
        <v>0</v>
      </c>
      <c r="AK973" s="1657"/>
      <c r="AL973" s="1657"/>
      <c r="AM973" s="1657"/>
      <c r="AN973" s="1657"/>
      <c r="AO973" s="1657"/>
      <c r="AP973" s="1657"/>
      <c r="AQ973" s="165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59"/>
      <c r="D974" s="1697" t="s">
        <v>2218</v>
      </c>
      <c r="E974" s="1698"/>
      <c r="F974" s="1698"/>
      <c r="G974" s="1698"/>
      <c r="H974" s="1698"/>
      <c r="I974" s="1698"/>
      <c r="J974" s="1698"/>
      <c r="K974" s="1698"/>
      <c r="L974" s="1698"/>
      <c r="M974" s="1698"/>
      <c r="N974" s="1698"/>
      <c r="O974" s="1698"/>
      <c r="P974" s="1698"/>
      <c r="Q974" s="1698"/>
      <c r="R974" s="1698"/>
      <c r="S974" s="1698"/>
      <c r="T974" s="1698"/>
      <c r="U974" s="1698"/>
      <c r="V974" s="1698"/>
      <c r="W974" s="1698"/>
      <c r="X974" s="1698"/>
      <c r="Y974" s="1698"/>
      <c r="Z974" s="1698"/>
      <c r="AA974" s="1698"/>
      <c r="AB974" s="1698"/>
      <c r="AC974" s="1698"/>
      <c r="AD974" s="1698"/>
      <c r="AE974" s="1699"/>
      <c r="AF974" s="124"/>
      <c r="AG974" s="125"/>
      <c r="AH974" s="125"/>
      <c r="AI974" s="129"/>
      <c r="AJ974" s="1659"/>
      <c r="AK974" s="1660"/>
      <c r="AL974" s="1660"/>
      <c r="AM974" s="1660"/>
      <c r="AN974" s="1660"/>
      <c r="AO974" s="1660"/>
      <c r="AP974" s="1660"/>
      <c r="AQ974" s="166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7"/>
      <c r="E975" s="1698"/>
      <c r="F975" s="1698"/>
      <c r="G975" s="1698"/>
      <c r="H975" s="1698"/>
      <c r="I975" s="1698"/>
      <c r="J975" s="1698"/>
      <c r="K975" s="1698"/>
      <c r="L975" s="1698"/>
      <c r="M975" s="1698"/>
      <c r="N975" s="1698"/>
      <c r="O975" s="1698"/>
      <c r="P975" s="1698"/>
      <c r="Q975" s="1698"/>
      <c r="R975" s="1698"/>
      <c r="S975" s="1698"/>
      <c r="T975" s="1698"/>
      <c r="U975" s="1698"/>
      <c r="V975" s="1698"/>
      <c r="W975" s="1698"/>
      <c r="X975" s="1698"/>
      <c r="Y975" s="1698"/>
      <c r="Z975" s="1698"/>
      <c r="AA975" s="1698"/>
      <c r="AB975" s="1698"/>
      <c r="AC975" s="1698"/>
      <c r="AD975" s="1698"/>
      <c r="AE975" s="1699"/>
      <c r="AF975" s="124"/>
      <c r="AG975" s="125"/>
      <c r="AH975" s="125"/>
      <c r="AI975" s="129"/>
      <c r="AJ975" s="1659"/>
      <c r="AK975" s="1660"/>
      <c r="AL975" s="1660"/>
      <c r="AM975" s="1660"/>
      <c r="AN975" s="1660"/>
      <c r="AO975" s="1660"/>
      <c r="AP975" s="1660"/>
      <c r="AQ975" s="1661"/>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27"/>
      <c r="C976" s="1423"/>
      <c r="D976" s="1700"/>
      <c r="E976" s="1701"/>
      <c r="F976" s="1701"/>
      <c r="G976" s="1701"/>
      <c r="H976" s="1701"/>
      <c r="I976" s="1701"/>
      <c r="J976" s="1701"/>
      <c r="K976" s="1701"/>
      <c r="L976" s="1701"/>
      <c r="M976" s="1701"/>
      <c r="N976" s="1701"/>
      <c r="O976" s="1701"/>
      <c r="P976" s="1701"/>
      <c r="Q976" s="1701"/>
      <c r="R976" s="1701"/>
      <c r="S976" s="1701"/>
      <c r="T976" s="1701"/>
      <c r="U976" s="1701"/>
      <c r="V976" s="1701"/>
      <c r="W976" s="1701"/>
      <c r="X976" s="1701"/>
      <c r="Y976" s="1701"/>
      <c r="Z976" s="1701"/>
      <c r="AA976" s="1701"/>
      <c r="AB976" s="1701"/>
      <c r="AC976" s="1701"/>
      <c r="AD976" s="1701"/>
      <c r="AE976" s="1702"/>
      <c r="AF976" s="126"/>
      <c r="AG976" s="15"/>
      <c r="AH976" s="15"/>
      <c r="AI976" s="127"/>
      <c r="AJ976" s="1662"/>
      <c r="AK976" s="1663"/>
      <c r="AL976" s="1663"/>
      <c r="AM976" s="1663"/>
      <c r="AN976" s="1663"/>
      <c r="AO976" s="1663"/>
      <c r="AP976" s="1663"/>
      <c r="AQ976" s="1664"/>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1710" t="s">
        <v>2094</v>
      </c>
      <c r="E977" s="1711"/>
      <c r="F977" s="1711"/>
      <c r="G977" s="1711"/>
      <c r="H977" s="1711"/>
      <c r="I977" s="1711"/>
      <c r="J977" s="1711"/>
      <c r="K977" s="1711"/>
      <c r="L977" s="1711"/>
      <c r="M977" s="1711"/>
      <c r="N977" s="1711"/>
      <c r="O977" s="1711"/>
      <c r="P977" s="1711"/>
      <c r="Q977" s="1711"/>
      <c r="R977" s="1711"/>
      <c r="S977" s="1711"/>
      <c r="T977" s="1711"/>
      <c r="U977" s="1711"/>
      <c r="V977" s="1711"/>
      <c r="W977" s="1711"/>
      <c r="X977" s="1711"/>
      <c r="Y977" s="1711"/>
      <c r="Z977" s="1711"/>
      <c r="AA977" s="1711"/>
      <c r="AB977" s="1711"/>
      <c r="AC977" s="1711"/>
      <c r="AD977" s="1711"/>
      <c r="AE977" s="1712"/>
      <c r="AF977" s="128"/>
      <c r="AG977" s="1678" t="s">
        <v>528</v>
      </c>
      <c r="AH977" s="1679"/>
      <c r="AI977" s="131"/>
      <c r="AJ977" s="1656">
        <f>ROUND(IF(AG977="Yes",AF980,0),0)</f>
        <v>0</v>
      </c>
      <c r="AK977" s="1657"/>
      <c r="AL977" s="1657"/>
      <c r="AM977" s="1657"/>
      <c r="AN977" s="1657"/>
      <c r="AO977" s="1657"/>
      <c r="AP977" s="1657"/>
      <c r="AQ977" s="165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1713"/>
      <c r="E978" s="1714"/>
      <c r="F978" s="1714"/>
      <c r="G978" s="1714"/>
      <c r="H978" s="1714"/>
      <c r="I978" s="1714"/>
      <c r="J978" s="1714"/>
      <c r="K978" s="1714"/>
      <c r="L978" s="1714"/>
      <c r="M978" s="1714"/>
      <c r="N978" s="1714"/>
      <c r="O978" s="1714"/>
      <c r="P978" s="1714"/>
      <c r="Q978" s="1714"/>
      <c r="R978" s="1714"/>
      <c r="S978" s="1714"/>
      <c r="T978" s="1714"/>
      <c r="U978" s="1714"/>
      <c r="V978" s="1714"/>
      <c r="W978" s="1714"/>
      <c r="X978" s="1714"/>
      <c r="Y978" s="1714"/>
      <c r="Z978" s="1714"/>
      <c r="AA978" s="1714"/>
      <c r="AB978" s="1714"/>
      <c r="AC978" s="1714"/>
      <c r="AD978" s="1714"/>
      <c r="AE978" s="1715"/>
      <c r="AF978" s="2198">
        <f>IF(AG977="yes","Please Select Type and Enter Amount:",0)</f>
        <v>0</v>
      </c>
      <c r="AG978" s="2199"/>
      <c r="AH978" s="2199"/>
      <c r="AI978" s="2200"/>
      <c r="AJ978" s="1659"/>
      <c r="AK978" s="1660"/>
      <c r="AL978" s="1660"/>
      <c r="AM978" s="1660"/>
      <c r="AN978" s="1660"/>
      <c r="AO978" s="1660"/>
      <c r="AP978" s="1660"/>
      <c r="AQ978" s="1661"/>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697" t="s">
        <v>2095</v>
      </c>
      <c r="E979" s="1698"/>
      <c r="F979" s="1698"/>
      <c r="G979" s="1698"/>
      <c r="H979" s="1698"/>
      <c r="I979" s="1698"/>
      <c r="J979" s="1698"/>
      <c r="K979" s="1698"/>
      <c r="L979" s="1698"/>
      <c r="M979" s="1698"/>
      <c r="N979" s="1698"/>
      <c r="O979" s="1698"/>
      <c r="P979" s="1698"/>
      <c r="Q979" s="1698"/>
      <c r="R979" s="1698"/>
      <c r="S979" s="1698"/>
      <c r="T979" s="1698"/>
      <c r="U979" s="1698"/>
      <c r="V979" s="1698"/>
      <c r="W979" s="1698"/>
      <c r="X979" s="1698"/>
      <c r="Y979" s="1698"/>
      <c r="Z979" s="1698"/>
      <c r="AA979" s="1698"/>
      <c r="AB979" s="1698"/>
      <c r="AC979" s="1698"/>
      <c r="AD979" s="1698"/>
      <c r="AE979" s="1699"/>
      <c r="AF979" s="2198"/>
      <c r="AG979" s="2199"/>
      <c r="AH979" s="2199"/>
      <c r="AI979" s="2200"/>
      <c r="AJ979" s="1659"/>
      <c r="AK979" s="1660"/>
      <c r="AL979" s="1660"/>
      <c r="AM979" s="1660"/>
      <c r="AN979" s="1660"/>
      <c r="AO979" s="1660"/>
      <c r="AP979" s="1660"/>
      <c r="AQ979" s="166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697"/>
      <c r="E980" s="1698"/>
      <c r="F980" s="1698"/>
      <c r="G980" s="1698"/>
      <c r="H980" s="1698"/>
      <c r="I980" s="1698"/>
      <c r="J980" s="1698"/>
      <c r="K980" s="1698"/>
      <c r="L980" s="1698"/>
      <c r="M980" s="1698"/>
      <c r="N980" s="1698"/>
      <c r="O980" s="1698"/>
      <c r="P980" s="1698"/>
      <c r="Q980" s="1698"/>
      <c r="R980" s="1698"/>
      <c r="S980" s="1698"/>
      <c r="T980" s="1698"/>
      <c r="U980" s="1698"/>
      <c r="V980" s="1698"/>
      <c r="W980" s="1698"/>
      <c r="X980" s="1698"/>
      <c r="Y980" s="1698"/>
      <c r="Z980" s="1698"/>
      <c r="AA980" s="1698"/>
      <c r="AB980" s="1698"/>
      <c r="AC980" s="1698"/>
      <c r="AD980" s="1698"/>
      <c r="AE980" s="1699"/>
      <c r="AF980" s="2201"/>
      <c r="AG980" s="2201"/>
      <c r="AH980" s="2201"/>
      <c r="AI980" s="2201"/>
      <c r="AJ980" s="1659"/>
      <c r="AK980" s="1660"/>
      <c r="AL980" s="1660"/>
      <c r="AM980" s="1660"/>
      <c r="AN980" s="1660"/>
      <c r="AO980" s="1660"/>
      <c r="AP980" s="1660"/>
      <c r="AQ980" s="166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1716" t="s">
        <v>135</v>
      </c>
      <c r="K981" s="1717"/>
      <c r="L981" s="1717"/>
      <c r="M981" s="1717"/>
      <c r="N981" s="1717"/>
      <c r="O981" s="1717"/>
      <c r="P981" s="1717"/>
      <c r="Q981" s="1717"/>
      <c r="R981" s="1717"/>
      <c r="S981" s="1717"/>
      <c r="T981" s="1717"/>
      <c r="U981" s="1717"/>
      <c r="V981" s="1717"/>
      <c r="W981" s="1717"/>
      <c r="X981" s="1717"/>
      <c r="Y981" s="1717"/>
      <c r="Z981" s="1717"/>
      <c r="AA981" s="1717"/>
      <c r="AB981" s="1717"/>
      <c r="AC981" s="1717"/>
      <c r="AD981" s="1717"/>
      <c r="AE981" s="1718"/>
      <c r="AF981" s="2201"/>
      <c r="AG981" s="2201"/>
      <c r="AH981" s="2201"/>
      <c r="AI981" s="2201"/>
      <c r="AJ981" s="1662"/>
      <c r="AK981" s="1663"/>
      <c r="AL981" s="1663"/>
      <c r="AM981" s="1663"/>
      <c r="AN981" s="1663"/>
      <c r="AO981" s="1663"/>
      <c r="AP981" s="1663"/>
      <c r="AQ981" s="1664"/>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694" t="s">
        <v>2096</v>
      </c>
      <c r="E982" s="1695"/>
      <c r="F982" s="1695"/>
      <c r="G982" s="1695"/>
      <c r="H982" s="1695"/>
      <c r="I982" s="1695"/>
      <c r="J982" s="1695"/>
      <c r="K982" s="1695"/>
      <c r="L982" s="1695"/>
      <c r="M982" s="1695"/>
      <c r="N982" s="1695"/>
      <c r="O982" s="1695"/>
      <c r="P982" s="1695"/>
      <c r="Q982" s="1695"/>
      <c r="R982" s="1695"/>
      <c r="S982" s="1695"/>
      <c r="T982" s="1695"/>
      <c r="U982" s="1695"/>
      <c r="V982" s="1695"/>
      <c r="W982" s="1695"/>
      <c r="X982" s="1695"/>
      <c r="Y982" s="1695"/>
      <c r="Z982" s="1695"/>
      <c r="AA982" s="1695"/>
      <c r="AB982" s="1695"/>
      <c r="AC982" s="1695"/>
      <c r="AD982" s="1695"/>
      <c r="AE982" s="1696"/>
      <c r="AF982" s="128"/>
      <c r="AG982" s="1678" t="s">
        <v>119</v>
      </c>
      <c r="AH982" s="1679"/>
      <c r="AI982" s="131"/>
      <c r="AJ982" s="1656">
        <f>ROUND(IF(AG982="Yes",AF984,0),0)</f>
        <v>1561547</v>
      </c>
      <c r="AK982" s="1657"/>
      <c r="AL982" s="1657"/>
      <c r="AM982" s="1657"/>
      <c r="AN982" s="1657"/>
      <c r="AO982" s="1657"/>
      <c r="AP982" s="1657"/>
      <c r="AQ982" s="165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7" t="s">
        <v>2219</v>
      </c>
      <c r="E983" s="1698"/>
      <c r="F983" s="1698"/>
      <c r="G983" s="1698"/>
      <c r="H983" s="1698"/>
      <c r="I983" s="1698"/>
      <c r="J983" s="1698"/>
      <c r="K983" s="1698"/>
      <c r="L983" s="1698"/>
      <c r="M983" s="1698"/>
      <c r="N983" s="1698"/>
      <c r="O983" s="1698"/>
      <c r="P983" s="1698"/>
      <c r="Q983" s="1698"/>
      <c r="R983" s="1698"/>
      <c r="S983" s="1698"/>
      <c r="T983" s="1698"/>
      <c r="U983" s="1698"/>
      <c r="V983" s="1698"/>
      <c r="W983" s="1698"/>
      <c r="X983" s="1698"/>
      <c r="Y983" s="1698"/>
      <c r="Z983" s="1698"/>
      <c r="AA983" s="1698"/>
      <c r="AB983" s="1698"/>
      <c r="AC983" s="1698"/>
      <c r="AD983" s="1698"/>
      <c r="AE983" s="1699"/>
      <c r="AF983" s="2202" t="str">
        <f>IF(AG982="yes","Please Enter Amount:",0)</f>
        <v>Please Enter Amount:</v>
      </c>
      <c r="AG983" s="2203"/>
      <c r="AH983" s="2203"/>
      <c r="AI983" s="2204"/>
      <c r="AJ983" s="1659"/>
      <c r="AK983" s="1660"/>
      <c r="AL983" s="1660"/>
      <c r="AM983" s="1660"/>
      <c r="AN983" s="1660"/>
      <c r="AO983" s="1660"/>
      <c r="AP983" s="1660"/>
      <c r="AQ983" s="1661"/>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59"/>
      <c r="D984" s="1697"/>
      <c r="E984" s="1698"/>
      <c r="F984" s="1698"/>
      <c r="G984" s="1698"/>
      <c r="H984" s="1698"/>
      <c r="I984" s="1698"/>
      <c r="J984" s="1698"/>
      <c r="K984" s="1698"/>
      <c r="L984" s="1698"/>
      <c r="M984" s="1698"/>
      <c r="N984" s="1698"/>
      <c r="O984" s="1698"/>
      <c r="P984" s="1698"/>
      <c r="Q984" s="1698"/>
      <c r="R984" s="1698"/>
      <c r="S984" s="1698"/>
      <c r="T984" s="1698"/>
      <c r="U984" s="1698"/>
      <c r="V984" s="1698"/>
      <c r="W984" s="1698"/>
      <c r="X984" s="1698"/>
      <c r="Y984" s="1698"/>
      <c r="Z984" s="1698"/>
      <c r="AA984" s="1698"/>
      <c r="AB984" s="1698"/>
      <c r="AC984" s="1698"/>
      <c r="AD984" s="1698"/>
      <c r="AE984" s="1699"/>
      <c r="AF984" s="2201">
        <v>1561547</v>
      </c>
      <c r="AG984" s="2201"/>
      <c r="AH984" s="2201"/>
      <c r="AI984" s="2201"/>
      <c r="AJ984" s="1659"/>
      <c r="AK984" s="1660"/>
      <c r="AL984" s="1660"/>
      <c r="AM984" s="1660"/>
      <c r="AN984" s="1660"/>
      <c r="AO984" s="1660"/>
      <c r="AP984" s="1660"/>
      <c r="AQ984" s="1661"/>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700"/>
      <c r="E985" s="1701"/>
      <c r="F985" s="1701"/>
      <c r="G985" s="1701"/>
      <c r="H985" s="1701"/>
      <c r="I985" s="1701"/>
      <c r="J985" s="1701"/>
      <c r="K985" s="1701"/>
      <c r="L985" s="1701"/>
      <c r="M985" s="1701"/>
      <c r="N985" s="1701"/>
      <c r="O985" s="1701"/>
      <c r="P985" s="1701"/>
      <c r="Q985" s="1701"/>
      <c r="R985" s="1701"/>
      <c r="S985" s="1701"/>
      <c r="T985" s="1701"/>
      <c r="U985" s="1701"/>
      <c r="V985" s="1701"/>
      <c r="W985" s="1701"/>
      <c r="X985" s="1701"/>
      <c r="Y985" s="1701"/>
      <c r="Z985" s="1701"/>
      <c r="AA985" s="1701"/>
      <c r="AB985" s="1701"/>
      <c r="AC985" s="1701"/>
      <c r="AD985" s="1701"/>
      <c r="AE985" s="1702"/>
      <c r="AF985" s="2201"/>
      <c r="AG985" s="2201"/>
      <c r="AH985" s="2201"/>
      <c r="AI985" s="2201"/>
      <c r="AJ985" s="1662"/>
      <c r="AK985" s="1663"/>
      <c r="AL985" s="1663"/>
      <c r="AM985" s="1663"/>
      <c r="AN985" s="1663"/>
      <c r="AO985" s="1663"/>
      <c r="AP985" s="1663"/>
      <c r="AQ985" s="1664"/>
    </row>
    <row r="986" spans="1:97" ht="12.75" customHeight="1">
      <c r="A986" s="65"/>
      <c r="B986" s="128"/>
      <c r="C986" s="858" t="s">
        <v>635</v>
      </c>
      <c r="D986" s="1675" t="s">
        <v>2097</v>
      </c>
      <c r="E986" s="1676"/>
      <c r="F986" s="1676"/>
      <c r="G986" s="1676"/>
      <c r="H986" s="1676"/>
      <c r="I986" s="1676"/>
      <c r="J986" s="1676"/>
      <c r="K986" s="1676"/>
      <c r="L986" s="1676"/>
      <c r="M986" s="1676"/>
      <c r="N986" s="1676"/>
      <c r="O986" s="1676"/>
      <c r="P986" s="1676"/>
      <c r="Q986" s="1676"/>
      <c r="R986" s="1676"/>
      <c r="S986" s="1676"/>
      <c r="T986" s="1676"/>
      <c r="U986" s="1676"/>
      <c r="V986" s="1676"/>
      <c r="W986" s="1676"/>
      <c r="X986" s="1676"/>
      <c r="Y986" s="1676"/>
      <c r="Z986" s="1676"/>
      <c r="AA986" s="1676"/>
      <c r="AB986" s="1676"/>
      <c r="AC986" s="1676"/>
      <c r="AD986" s="1676"/>
      <c r="AE986" s="1677"/>
      <c r="AF986" s="128"/>
      <c r="AG986" s="1678" t="s">
        <v>528</v>
      </c>
      <c r="AH986" s="1679"/>
      <c r="AI986" s="131"/>
      <c r="AJ986" s="1656">
        <f>ROUND(IF(AG986="yes",(AJ953*0.1),0),0)</f>
        <v>0</v>
      </c>
      <c r="AK986" s="1657"/>
      <c r="AL986" s="1657"/>
      <c r="AM986" s="1657"/>
      <c r="AN986" s="1657"/>
      <c r="AO986" s="1657"/>
      <c r="AP986" s="1657"/>
      <c r="AQ986" s="1658"/>
    </row>
    <row r="987" spans="1:97" ht="12.75" customHeight="1">
      <c r="A987" s="65"/>
      <c r="B987" s="124"/>
      <c r="C987" s="859"/>
      <c r="D987" s="1697" t="s">
        <v>2098</v>
      </c>
      <c r="E987" s="1698"/>
      <c r="F987" s="1698"/>
      <c r="G987" s="1698"/>
      <c r="H987" s="1698"/>
      <c r="I987" s="1698"/>
      <c r="J987" s="1698"/>
      <c r="K987" s="1698"/>
      <c r="L987" s="1698"/>
      <c r="M987" s="1698"/>
      <c r="N987" s="1698"/>
      <c r="O987" s="1698"/>
      <c r="P987" s="1698"/>
      <c r="Q987" s="1698"/>
      <c r="R987" s="1698"/>
      <c r="S987" s="1698"/>
      <c r="T987" s="1698"/>
      <c r="U987" s="1698"/>
      <c r="V987" s="1698"/>
      <c r="W987" s="1698"/>
      <c r="X987" s="1698"/>
      <c r="Y987" s="1698"/>
      <c r="Z987" s="1698"/>
      <c r="AA987" s="1698"/>
      <c r="AB987" s="1698"/>
      <c r="AC987" s="1698"/>
      <c r="AD987" s="1698"/>
      <c r="AE987" s="1699"/>
      <c r="AF987" s="124"/>
      <c r="AG987" s="125"/>
      <c r="AH987" s="125"/>
      <c r="AI987" s="129"/>
      <c r="AJ987" s="1659"/>
      <c r="AK987" s="1660"/>
      <c r="AL987" s="1660"/>
      <c r="AM987" s="1660"/>
      <c r="AN987" s="1660"/>
      <c r="AO987" s="1660"/>
      <c r="AP987" s="1660"/>
      <c r="AQ987" s="1661"/>
    </row>
    <row r="988" spans="1:97" ht="12.75" customHeight="1">
      <c r="A988" s="857"/>
      <c r="B988" s="126"/>
      <c r="C988" s="859"/>
      <c r="D988" s="1700"/>
      <c r="E988" s="1701"/>
      <c r="F988" s="1701"/>
      <c r="G988" s="1701"/>
      <c r="H988" s="1701"/>
      <c r="I988" s="1701"/>
      <c r="J988" s="1701"/>
      <c r="K988" s="1701"/>
      <c r="L988" s="1701"/>
      <c r="M988" s="1701"/>
      <c r="N988" s="1701"/>
      <c r="O988" s="1701"/>
      <c r="P988" s="1701"/>
      <c r="Q988" s="1701"/>
      <c r="R988" s="1701"/>
      <c r="S988" s="1701"/>
      <c r="T988" s="1701"/>
      <c r="U988" s="1701"/>
      <c r="V988" s="1701"/>
      <c r="W988" s="1701"/>
      <c r="X988" s="1701"/>
      <c r="Y988" s="1701"/>
      <c r="Z988" s="1701"/>
      <c r="AA988" s="1701"/>
      <c r="AB988" s="1701"/>
      <c r="AC988" s="1701"/>
      <c r="AD988" s="1701"/>
      <c r="AE988" s="1702"/>
      <c r="AF988" s="124"/>
      <c r="AG988" s="125"/>
      <c r="AH988" s="125"/>
      <c r="AI988" s="129"/>
      <c r="AJ988" s="1662"/>
      <c r="AK988" s="1663"/>
      <c r="AL988" s="1663"/>
      <c r="AM988" s="1663"/>
      <c r="AN988" s="1663"/>
      <c r="AO988" s="1663"/>
      <c r="AP988" s="1663"/>
      <c r="AQ988" s="1664"/>
    </row>
    <row r="989" spans="1:97" ht="17.7" customHeight="1">
      <c r="A989" s="857"/>
      <c r="B989" s="124"/>
      <c r="C989" s="858" t="s">
        <v>638</v>
      </c>
      <c r="D989" s="1694" t="s">
        <v>2220</v>
      </c>
      <c r="E989" s="1695"/>
      <c r="F989" s="1695"/>
      <c r="G989" s="1695"/>
      <c r="H989" s="1695"/>
      <c r="I989" s="1695"/>
      <c r="J989" s="1695"/>
      <c r="K989" s="1695"/>
      <c r="L989" s="1695"/>
      <c r="M989" s="1695"/>
      <c r="N989" s="1695"/>
      <c r="O989" s="1695"/>
      <c r="P989" s="1695"/>
      <c r="Q989" s="1695"/>
      <c r="R989" s="1695"/>
      <c r="S989" s="1695"/>
      <c r="T989" s="1695"/>
      <c r="U989" s="1695"/>
      <c r="V989" s="1695"/>
      <c r="W989" s="1695"/>
      <c r="X989" s="1695"/>
      <c r="Y989" s="1695"/>
      <c r="Z989" s="1695"/>
      <c r="AA989" s="1695"/>
      <c r="AB989" s="1695"/>
      <c r="AC989" s="1695"/>
      <c r="AD989" s="1695"/>
      <c r="AE989" s="1696"/>
      <c r="AF989" s="128"/>
      <c r="AG989" s="1678" t="s">
        <v>528</v>
      </c>
      <c r="AH989" s="1679"/>
      <c r="AI989" s="131"/>
      <c r="AJ989" s="1656">
        <f>ROUND(IF(AG989="yes",(AJ953*0.15),0),0)</f>
        <v>0</v>
      </c>
      <c r="AK989" s="1657"/>
      <c r="AL989" s="1657"/>
      <c r="AM989" s="1657"/>
      <c r="AN989" s="1657"/>
      <c r="AO989" s="1657"/>
      <c r="AP989" s="1657"/>
      <c r="AQ989" s="1658"/>
    </row>
    <row r="990" spans="1:97" ht="12.75" customHeight="1">
      <c r="A990" s="857"/>
      <c r="B990" s="124"/>
      <c r="C990" s="859"/>
      <c r="D990" s="1705" t="s">
        <v>2221</v>
      </c>
      <c r="E990" s="1523"/>
      <c r="F990" s="1523"/>
      <c r="G990" s="1523"/>
      <c r="H990" s="1523"/>
      <c r="I990" s="1523"/>
      <c r="J990" s="1523"/>
      <c r="K990" s="1523"/>
      <c r="L990" s="1523"/>
      <c r="M990" s="1523"/>
      <c r="N990" s="1523"/>
      <c r="O990" s="1523"/>
      <c r="P990" s="1523"/>
      <c r="Q990" s="1523"/>
      <c r="R990" s="1523"/>
      <c r="S990" s="1523"/>
      <c r="T990" s="1523"/>
      <c r="U990" s="1523"/>
      <c r="V990" s="1523"/>
      <c r="W990" s="1523"/>
      <c r="X990" s="1523"/>
      <c r="Y990" s="1523"/>
      <c r="Z990" s="1523"/>
      <c r="AA990" s="1523"/>
      <c r="AB990" s="1523"/>
      <c r="AC990" s="1523"/>
      <c r="AD990" s="1523"/>
      <c r="AE990" s="1706"/>
      <c r="AF990" s="1430"/>
      <c r="AG990" s="1431"/>
      <c r="AH990" s="1431"/>
      <c r="AI990" s="1432"/>
      <c r="AJ990" s="1659"/>
      <c r="AK990" s="1660"/>
      <c r="AL990" s="1660"/>
      <c r="AM990" s="1660"/>
      <c r="AN990" s="1660"/>
      <c r="AO990" s="1660"/>
      <c r="AP990" s="1660"/>
      <c r="AQ990" s="166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5"/>
      <c r="E991" s="1523"/>
      <c r="F991" s="1523"/>
      <c r="G991" s="1523"/>
      <c r="H991" s="1523"/>
      <c r="I991" s="1523"/>
      <c r="J991" s="1523"/>
      <c r="K991" s="1523"/>
      <c r="L991" s="1523"/>
      <c r="M991" s="1523"/>
      <c r="N991" s="1523"/>
      <c r="O991" s="1523"/>
      <c r="P991" s="1523"/>
      <c r="Q991" s="1523"/>
      <c r="R991" s="1523"/>
      <c r="S991" s="1523"/>
      <c r="T991" s="1523"/>
      <c r="U991" s="1523"/>
      <c r="V991" s="1523"/>
      <c r="W991" s="1523"/>
      <c r="X991" s="1523"/>
      <c r="Y991" s="1523"/>
      <c r="Z991" s="1523"/>
      <c r="AA991" s="1523"/>
      <c r="AB991" s="1523"/>
      <c r="AC991" s="1523"/>
      <c r="AD991" s="1523"/>
      <c r="AE991" s="1706"/>
      <c r="AF991" s="1430"/>
      <c r="AG991" s="1431"/>
      <c r="AH991" s="1431"/>
      <c r="AI991" s="1432"/>
      <c r="AJ991" s="1659"/>
      <c r="AK991" s="1660"/>
      <c r="AL991" s="1660"/>
      <c r="AM991" s="1660"/>
      <c r="AN991" s="1660"/>
      <c r="AO991" s="1660"/>
      <c r="AP991" s="1660"/>
      <c r="AQ991" s="1661"/>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7"/>
      <c r="E992" s="1708"/>
      <c r="F992" s="1708"/>
      <c r="G992" s="1708"/>
      <c r="H992" s="1708"/>
      <c r="I992" s="1708"/>
      <c r="J992" s="1708"/>
      <c r="K992" s="1708"/>
      <c r="L992" s="1708"/>
      <c r="M992" s="1708"/>
      <c r="N992" s="1708"/>
      <c r="O992" s="1708"/>
      <c r="P992" s="1708"/>
      <c r="Q992" s="1708"/>
      <c r="R992" s="1708"/>
      <c r="S992" s="1708"/>
      <c r="T992" s="1708"/>
      <c r="U992" s="1708"/>
      <c r="V992" s="1708"/>
      <c r="W992" s="1708"/>
      <c r="X992" s="1708"/>
      <c r="Y992" s="1708"/>
      <c r="Z992" s="1708"/>
      <c r="AA992" s="1708"/>
      <c r="AB992" s="1708"/>
      <c r="AC992" s="1708"/>
      <c r="AD992" s="1708"/>
      <c r="AE992" s="1709"/>
      <c r="AF992" s="1433"/>
      <c r="AG992" s="1434"/>
      <c r="AH992" s="1434"/>
      <c r="AI992" s="1435"/>
      <c r="AJ992" s="1662"/>
      <c r="AK992" s="1663"/>
      <c r="AL992" s="1663"/>
      <c r="AM992" s="1663"/>
      <c r="AN992" s="1663"/>
      <c r="AO992" s="1663"/>
      <c r="AP992" s="1663"/>
      <c r="AQ992" s="1664"/>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675" t="s">
        <v>2222</v>
      </c>
      <c r="E993" s="1676"/>
      <c r="F993" s="1676"/>
      <c r="G993" s="1676"/>
      <c r="H993" s="1676"/>
      <c r="I993" s="1676"/>
      <c r="J993" s="1676"/>
      <c r="K993" s="1676"/>
      <c r="L993" s="1676"/>
      <c r="M993" s="1676"/>
      <c r="N993" s="1676"/>
      <c r="O993" s="1676"/>
      <c r="P993" s="1676"/>
      <c r="Q993" s="1676"/>
      <c r="R993" s="1676"/>
      <c r="S993" s="1676"/>
      <c r="T993" s="1676"/>
      <c r="U993" s="1676"/>
      <c r="V993" s="1676"/>
      <c r="W993" s="1676"/>
      <c r="X993" s="1676"/>
      <c r="Y993" s="1676"/>
      <c r="Z993" s="1676"/>
      <c r="AA993" s="1676"/>
      <c r="AB993" s="1676"/>
      <c r="AC993" s="1676"/>
      <c r="AD993" s="1676"/>
      <c r="AE993" s="1677"/>
      <c r="AF993" s="124"/>
      <c r="AG993" s="1703" t="s">
        <v>528</v>
      </c>
      <c r="AH993" s="1704"/>
      <c r="AI993" s="129"/>
      <c r="AJ993" s="1656">
        <f>ROUND(IF(AG993="yes",(AJ953*0.1),0),0)</f>
        <v>0</v>
      </c>
      <c r="AK993" s="1657"/>
      <c r="AL993" s="1657"/>
      <c r="AM993" s="1657"/>
      <c r="AN993" s="1657"/>
      <c r="AO993" s="1657"/>
      <c r="AP993" s="1657"/>
      <c r="AQ993" s="165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5" t="s">
        <v>2223</v>
      </c>
      <c r="E994" s="1523"/>
      <c r="F994" s="1523"/>
      <c r="G994" s="1523"/>
      <c r="H994" s="1523"/>
      <c r="I994" s="1523"/>
      <c r="J994" s="1523"/>
      <c r="K994" s="1523"/>
      <c r="L994" s="1523"/>
      <c r="M994" s="1523"/>
      <c r="N994" s="1523"/>
      <c r="O994" s="1523"/>
      <c r="P994" s="1523"/>
      <c r="Q994" s="1523"/>
      <c r="R994" s="1523"/>
      <c r="S994" s="1523"/>
      <c r="T994" s="1523"/>
      <c r="U994" s="1523"/>
      <c r="V994" s="1523"/>
      <c r="W994" s="1523"/>
      <c r="X994" s="1523"/>
      <c r="Y994" s="1523"/>
      <c r="Z994" s="1523"/>
      <c r="AA994" s="1523"/>
      <c r="AB994" s="1523"/>
      <c r="AC994" s="1523"/>
      <c r="AD994" s="1523"/>
      <c r="AE994" s="1706"/>
      <c r="AF994" s="124"/>
      <c r="AG994" s="125"/>
      <c r="AH994" s="125"/>
      <c r="AI994" s="129"/>
      <c r="AJ994" s="1659"/>
      <c r="AK994" s="1660"/>
      <c r="AL994" s="1660"/>
      <c r="AM994" s="1660"/>
      <c r="AN994" s="1660"/>
      <c r="AO994" s="1660"/>
      <c r="AP994" s="1660"/>
      <c r="AQ994" s="1661"/>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5"/>
      <c r="E995" s="1523"/>
      <c r="F995" s="1523"/>
      <c r="G995" s="1523"/>
      <c r="H995" s="1523"/>
      <c r="I995" s="1523"/>
      <c r="J995" s="1523"/>
      <c r="K995" s="1523"/>
      <c r="L995" s="1523"/>
      <c r="M995" s="1523"/>
      <c r="N995" s="1523"/>
      <c r="O995" s="1523"/>
      <c r="P995" s="1523"/>
      <c r="Q995" s="1523"/>
      <c r="R995" s="1523"/>
      <c r="S995" s="1523"/>
      <c r="T995" s="1523"/>
      <c r="U995" s="1523"/>
      <c r="V995" s="1523"/>
      <c r="W995" s="1523"/>
      <c r="X995" s="1523"/>
      <c r="Y995" s="1523"/>
      <c r="Z995" s="1523"/>
      <c r="AA995" s="1523"/>
      <c r="AB995" s="1523"/>
      <c r="AC995" s="1523"/>
      <c r="AD995" s="1523"/>
      <c r="AE995" s="1706"/>
      <c r="AF995" s="124"/>
      <c r="AG995" s="125"/>
      <c r="AH995" s="125"/>
      <c r="AI995" s="129"/>
      <c r="AJ995" s="1659"/>
      <c r="AK995" s="1660"/>
      <c r="AL995" s="1660"/>
      <c r="AM995" s="1660"/>
      <c r="AN995" s="1660"/>
      <c r="AO995" s="1660"/>
      <c r="AP995" s="1660"/>
      <c r="AQ995" s="1661"/>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5"/>
      <c r="E996" s="1523"/>
      <c r="F996" s="1523"/>
      <c r="G996" s="1523"/>
      <c r="H996" s="1523"/>
      <c r="I996" s="1523"/>
      <c r="J996" s="1523"/>
      <c r="K996" s="1523"/>
      <c r="L996" s="1523"/>
      <c r="M996" s="1523"/>
      <c r="N996" s="1523"/>
      <c r="O996" s="1523"/>
      <c r="P996" s="1523"/>
      <c r="Q996" s="1523"/>
      <c r="R996" s="1523"/>
      <c r="S996" s="1523"/>
      <c r="T996" s="1523"/>
      <c r="U996" s="1523"/>
      <c r="V996" s="1523"/>
      <c r="W996" s="1523"/>
      <c r="X996" s="1523"/>
      <c r="Y996" s="1523"/>
      <c r="Z996" s="1523"/>
      <c r="AA996" s="1523"/>
      <c r="AB996" s="1523"/>
      <c r="AC996" s="1523"/>
      <c r="AD996" s="1523"/>
      <c r="AE996" s="1706"/>
      <c r="AF996" s="124"/>
      <c r="AG996" s="125"/>
      <c r="AH996" s="125"/>
      <c r="AI996" s="129"/>
      <c r="AJ996" s="1659"/>
      <c r="AK996" s="1660"/>
      <c r="AL996" s="1660"/>
      <c r="AM996" s="1660"/>
      <c r="AN996" s="1660"/>
      <c r="AO996" s="1660"/>
      <c r="AP996" s="1660"/>
      <c r="AQ996" s="1661"/>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7"/>
      <c r="E997" s="1708"/>
      <c r="F997" s="1708"/>
      <c r="G997" s="1708"/>
      <c r="H997" s="1708"/>
      <c r="I997" s="1708"/>
      <c r="J997" s="1708"/>
      <c r="K997" s="1708"/>
      <c r="L997" s="1708"/>
      <c r="M997" s="1708"/>
      <c r="N997" s="1708"/>
      <c r="O997" s="1708"/>
      <c r="P997" s="1708"/>
      <c r="Q997" s="1708"/>
      <c r="R997" s="1708"/>
      <c r="S997" s="1708"/>
      <c r="T997" s="1708"/>
      <c r="U997" s="1708"/>
      <c r="V997" s="1708"/>
      <c r="W997" s="1708"/>
      <c r="X997" s="1708"/>
      <c r="Y997" s="1708"/>
      <c r="Z997" s="1708"/>
      <c r="AA997" s="1708"/>
      <c r="AB997" s="1708"/>
      <c r="AC997" s="1708"/>
      <c r="AD997" s="1708"/>
      <c r="AE997" s="1709"/>
      <c r="AF997" s="124"/>
      <c r="AG997" s="125"/>
      <c r="AH997" s="125"/>
      <c r="AI997" s="129"/>
      <c r="AJ997" s="1659"/>
      <c r="AK997" s="1660"/>
      <c r="AL997" s="1660"/>
      <c r="AM997" s="1660"/>
      <c r="AN997" s="1660"/>
      <c r="AO997" s="1660"/>
      <c r="AP997" s="1660"/>
      <c r="AQ997" s="1661"/>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2224</v>
      </c>
      <c r="D998" s="1694" t="s">
        <v>2099</v>
      </c>
      <c r="E998" s="1695"/>
      <c r="F998" s="1695"/>
      <c r="G998" s="1695"/>
      <c r="H998" s="1695"/>
      <c r="I998" s="1695"/>
      <c r="J998" s="1695"/>
      <c r="K998" s="1695"/>
      <c r="L998" s="1695"/>
      <c r="M998" s="1695"/>
      <c r="N998" s="1695"/>
      <c r="O998" s="1695"/>
      <c r="P998" s="1695"/>
      <c r="Q998" s="1695"/>
      <c r="R998" s="1695"/>
      <c r="S998" s="1695"/>
      <c r="T998" s="1695"/>
      <c r="U998" s="1695"/>
      <c r="V998" s="1695"/>
      <c r="W998" s="1695"/>
      <c r="X998" s="1695"/>
      <c r="Y998" s="1695"/>
      <c r="Z998" s="1695"/>
      <c r="AA998" s="1695"/>
      <c r="AB998" s="1695"/>
      <c r="AC998" s="1695"/>
      <c r="AD998" s="1695"/>
      <c r="AE998" s="1696"/>
      <c r="AF998" s="128"/>
      <c r="AG998" s="1678" t="s">
        <v>119</v>
      </c>
      <c r="AH998" s="1679"/>
      <c r="AI998" s="131"/>
      <c r="AJ998" s="1656">
        <f>ROUND(IF(AG998="yes",(AJ953*0.1),0),0)</f>
        <v>3557033</v>
      </c>
      <c r="AK998" s="1657"/>
      <c r="AL998" s="1657"/>
      <c r="AM998" s="1657"/>
      <c r="AN998" s="1657"/>
      <c r="AO998" s="1657"/>
      <c r="AP998" s="1657"/>
      <c r="AQ998" s="1658"/>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7" t="s">
        <v>2225</v>
      </c>
      <c r="E999" s="1698"/>
      <c r="F999" s="1698"/>
      <c r="G999" s="1698"/>
      <c r="H999" s="1698"/>
      <c r="I999" s="1698"/>
      <c r="J999" s="1698"/>
      <c r="K999" s="1698"/>
      <c r="L999" s="1698"/>
      <c r="M999" s="1698"/>
      <c r="N999" s="1698"/>
      <c r="O999" s="1698"/>
      <c r="P999" s="1698"/>
      <c r="Q999" s="1698"/>
      <c r="R999" s="1698"/>
      <c r="S999" s="1698"/>
      <c r="T999" s="1698"/>
      <c r="U999" s="1698"/>
      <c r="V999" s="1698"/>
      <c r="W999" s="1698"/>
      <c r="X999" s="1698"/>
      <c r="Y999" s="1698"/>
      <c r="Z999" s="1698"/>
      <c r="AA999" s="1698"/>
      <c r="AB999" s="1698"/>
      <c r="AC999" s="1698"/>
      <c r="AD999" s="1698"/>
      <c r="AE999" s="1699"/>
      <c r="AF999" s="124"/>
      <c r="AG999" s="125"/>
      <c r="AH999" s="125"/>
      <c r="AI999" s="129"/>
      <c r="AJ999" s="1659"/>
      <c r="AK999" s="1660"/>
      <c r="AL999" s="1660"/>
      <c r="AM999" s="1660"/>
      <c r="AN999" s="1660"/>
      <c r="AO999" s="1660"/>
      <c r="AP999" s="1660"/>
      <c r="AQ999" s="1661"/>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7"/>
      <c r="E1000" s="1698"/>
      <c r="F1000" s="1698"/>
      <c r="G1000" s="1698"/>
      <c r="H1000" s="1698"/>
      <c r="I1000" s="1698"/>
      <c r="J1000" s="1698"/>
      <c r="K1000" s="1698"/>
      <c r="L1000" s="1698"/>
      <c r="M1000" s="1698"/>
      <c r="N1000" s="1698"/>
      <c r="O1000" s="1698"/>
      <c r="P1000" s="1698"/>
      <c r="Q1000" s="1698"/>
      <c r="R1000" s="1698"/>
      <c r="S1000" s="1698"/>
      <c r="T1000" s="1698"/>
      <c r="U1000" s="1698"/>
      <c r="V1000" s="1698"/>
      <c r="W1000" s="1698"/>
      <c r="X1000" s="1698"/>
      <c r="Y1000" s="1698"/>
      <c r="Z1000" s="1698"/>
      <c r="AA1000" s="1698"/>
      <c r="AB1000" s="1698"/>
      <c r="AC1000" s="1698"/>
      <c r="AD1000" s="1698"/>
      <c r="AE1000" s="1699"/>
      <c r="AF1000" s="124"/>
      <c r="AG1000" s="125"/>
      <c r="AH1000" s="125"/>
      <c r="AI1000" s="129"/>
      <c r="AJ1000" s="1659"/>
      <c r="AK1000" s="1660"/>
      <c r="AL1000" s="1660"/>
      <c r="AM1000" s="1660"/>
      <c r="AN1000" s="1660"/>
      <c r="AO1000" s="1660"/>
      <c r="AP1000" s="1660"/>
      <c r="AQ1000" s="1661"/>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700"/>
      <c r="E1001" s="1701"/>
      <c r="F1001" s="1701"/>
      <c r="G1001" s="1701"/>
      <c r="H1001" s="1701"/>
      <c r="I1001" s="1701"/>
      <c r="J1001" s="1701"/>
      <c r="K1001" s="1701"/>
      <c r="L1001" s="1701"/>
      <c r="M1001" s="1701"/>
      <c r="N1001" s="1701"/>
      <c r="O1001" s="1701"/>
      <c r="P1001" s="1701"/>
      <c r="Q1001" s="1701"/>
      <c r="R1001" s="1701"/>
      <c r="S1001" s="1701"/>
      <c r="T1001" s="1701"/>
      <c r="U1001" s="1701"/>
      <c r="V1001" s="1701"/>
      <c r="W1001" s="1701"/>
      <c r="X1001" s="1701"/>
      <c r="Y1001" s="1701"/>
      <c r="Z1001" s="1701"/>
      <c r="AA1001" s="1701"/>
      <c r="AB1001" s="1701"/>
      <c r="AC1001" s="1701"/>
      <c r="AD1001" s="1701"/>
      <c r="AE1001" s="1702"/>
      <c r="AF1001" s="124"/>
      <c r="AG1001" s="125"/>
      <c r="AH1001" s="125"/>
      <c r="AI1001" s="129"/>
      <c r="AJ1001" s="1662"/>
      <c r="AK1001" s="1663"/>
      <c r="AL1001" s="1663"/>
      <c r="AM1001" s="1663"/>
      <c r="AN1001" s="1663"/>
      <c r="AO1001" s="1663"/>
      <c r="AP1001" s="1663"/>
      <c r="AQ1001" s="1664"/>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2091" t="s">
        <v>812</v>
      </c>
      <c r="E1002" s="2091"/>
      <c r="F1002" s="2091"/>
      <c r="G1002" s="2091"/>
      <c r="H1002" s="2091"/>
      <c r="I1002" s="2091"/>
      <c r="J1002" s="2091"/>
      <c r="K1002" s="2091"/>
      <c r="L1002" s="2091"/>
      <c r="M1002" s="2091"/>
      <c r="N1002" s="2091"/>
      <c r="O1002" s="2091"/>
      <c r="P1002" s="2091"/>
      <c r="Q1002" s="2091"/>
      <c r="R1002" s="2091"/>
      <c r="S1002" s="2091"/>
      <c r="T1002" s="2091"/>
      <c r="U1002" s="2091"/>
      <c r="V1002" s="2091"/>
      <c r="W1002" s="2091"/>
      <c r="X1002" s="2091"/>
      <c r="Y1002" s="2091"/>
      <c r="Z1002" s="2091"/>
      <c r="AA1002" s="2091"/>
      <c r="AB1002" s="2091"/>
      <c r="AC1002" s="2091"/>
      <c r="AD1002" s="2091"/>
      <c r="AE1002" s="2091"/>
      <c r="AF1002" s="2091"/>
      <c r="AG1002" s="2091"/>
      <c r="AH1002" s="2091"/>
      <c r="AI1002" s="2092"/>
      <c r="AJ1002" s="2093">
        <f>SUM(AJ953:AQ1001)</f>
        <v>47802976</v>
      </c>
      <c r="AK1002" s="2094"/>
      <c r="AL1002" s="2094"/>
      <c r="AM1002" s="2094"/>
      <c r="AN1002" s="2094"/>
      <c r="AO1002" s="2094"/>
      <c r="AP1002" s="2094"/>
      <c r="AQ1002" s="2095"/>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83">
        <f>'Sources and Uses Budget'!S106+'Sources and Uses Budget'!T106</f>
        <v>39608873</v>
      </c>
      <c r="Y1006" s="2083"/>
      <c r="Z1006" s="2083"/>
      <c r="AA1006" s="2083"/>
      <c r="AB1006" s="2083"/>
      <c r="AC1006" s="2083"/>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2076">
        <f>X1006/AJ1002</f>
        <v>0.82858592318603763</v>
      </c>
      <c r="Y1007" s="2077"/>
      <c r="Z1007" s="2077"/>
      <c r="AA1007" s="2077"/>
      <c r="AB1007" s="2077"/>
      <c r="AC1007" s="2078"/>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93"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93"/>
      <c r="F1008" s="2193"/>
      <c r="G1008" s="2193"/>
      <c r="H1008" s="2193"/>
      <c r="I1008" s="2193"/>
      <c r="J1008" s="2193"/>
      <c r="K1008" s="2193"/>
      <c r="L1008" s="2193"/>
      <c r="M1008" s="2193"/>
      <c r="N1008" s="2193"/>
      <c r="O1008" s="2193"/>
      <c r="P1008" s="2193"/>
      <c r="Q1008" s="2193"/>
      <c r="R1008" s="2193"/>
      <c r="S1008" s="2193"/>
      <c r="T1008" s="2193"/>
      <c r="U1008" s="2193"/>
      <c r="V1008" s="2193"/>
      <c r="W1008" s="2193"/>
      <c r="X1008" s="2193"/>
      <c r="Y1008" s="2193"/>
      <c r="Z1008" s="2193"/>
      <c r="AA1008" s="2193"/>
      <c r="AB1008" s="2193"/>
      <c r="AC1008" s="2193"/>
      <c r="AD1008" s="2193"/>
      <c r="AE1008" s="2193"/>
      <c r="AF1008" s="2193"/>
      <c r="AG1008" s="2193"/>
      <c r="AH1008" s="2193"/>
      <c r="AI1008" s="2193"/>
      <c r="AJ1008" s="2193"/>
      <c r="AK1008" s="219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93"/>
      <c r="E1009" s="2193"/>
      <c r="F1009" s="2193"/>
      <c r="G1009" s="2193"/>
      <c r="H1009" s="2193"/>
      <c r="I1009" s="2193"/>
      <c r="J1009" s="2193"/>
      <c r="K1009" s="2193"/>
      <c r="L1009" s="2193"/>
      <c r="M1009" s="2193"/>
      <c r="N1009" s="2193"/>
      <c r="O1009" s="2193"/>
      <c r="P1009" s="2193"/>
      <c r="Q1009" s="2193"/>
      <c r="R1009" s="2193"/>
      <c r="S1009" s="2193"/>
      <c r="T1009" s="2193"/>
      <c r="U1009" s="2193"/>
      <c r="V1009" s="2193"/>
      <c r="W1009" s="2193"/>
      <c r="X1009" s="2193"/>
      <c r="Y1009" s="2193"/>
      <c r="Z1009" s="2193"/>
      <c r="AA1009" s="2193"/>
      <c r="AB1009" s="2193"/>
      <c r="AC1009" s="2193"/>
      <c r="AD1009" s="2193"/>
      <c r="AE1009" s="2193"/>
      <c r="AF1009" s="2193"/>
      <c r="AG1009" s="2193"/>
      <c r="AH1009" s="2193"/>
      <c r="AI1009" s="2193"/>
      <c r="AJ1009" s="2193"/>
      <c r="AK1009" s="219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93"/>
      <c r="E1010" s="2193"/>
      <c r="F1010" s="2193"/>
      <c r="G1010" s="2193"/>
      <c r="H1010" s="2193"/>
      <c r="I1010" s="2193"/>
      <c r="J1010" s="2193"/>
      <c r="K1010" s="2193"/>
      <c r="L1010" s="2193"/>
      <c r="M1010" s="2193"/>
      <c r="N1010" s="2193"/>
      <c r="O1010" s="2193"/>
      <c r="P1010" s="2193"/>
      <c r="Q1010" s="2193"/>
      <c r="R1010" s="2193"/>
      <c r="S1010" s="2193"/>
      <c r="T1010" s="2193"/>
      <c r="U1010" s="2193"/>
      <c r="V1010" s="2193"/>
      <c r="W1010" s="2193"/>
      <c r="X1010" s="2193"/>
      <c r="Y1010" s="2193"/>
      <c r="Z1010" s="2193"/>
      <c r="AA1010" s="2193"/>
      <c r="AB1010" s="2193"/>
      <c r="AC1010" s="2193"/>
      <c r="AD1010" s="2193"/>
      <c r="AE1010" s="2193"/>
      <c r="AF1010" s="2193"/>
      <c r="AG1010" s="2193"/>
      <c r="AH1010" s="2193"/>
      <c r="AI1010" s="2193"/>
      <c r="AJ1010" s="2193"/>
      <c r="AK1010" s="2193"/>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79"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79"/>
      <c r="D1011" s="2079"/>
      <c r="E1011" s="2079"/>
      <c r="F1011" s="2079"/>
      <c r="G1011" s="2079"/>
      <c r="H1011" s="2079"/>
      <c r="I1011" s="2079"/>
      <c r="J1011" s="2079"/>
      <c r="K1011" s="2079"/>
      <c r="L1011" s="2079"/>
      <c r="M1011" s="2079"/>
      <c r="N1011" s="2079"/>
      <c r="O1011" s="2079"/>
      <c r="P1011" s="2079"/>
      <c r="Q1011" s="2079"/>
      <c r="R1011" s="2079"/>
      <c r="S1011" s="2079"/>
      <c r="T1011" s="2079"/>
      <c r="U1011" s="2079"/>
      <c r="V1011" s="2079"/>
      <c r="W1011" s="2079"/>
      <c r="X1011" s="2079"/>
      <c r="Y1011" s="2079"/>
      <c r="Z1011" s="2079"/>
      <c r="AA1011" s="2079"/>
      <c r="AB1011" s="2079"/>
      <c r="AC1011" s="2079"/>
      <c r="AD1011" s="2079"/>
      <c r="AE1011" s="2079"/>
      <c r="AF1011" s="2079"/>
      <c r="AG1011" s="2079"/>
      <c r="AH1011" s="2079"/>
      <c r="AI1011" s="2079"/>
      <c r="AJ1011" s="2079"/>
      <c r="AK1011" s="2079"/>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79"/>
      <c r="C1012" s="2079"/>
      <c r="D1012" s="2079"/>
      <c r="E1012" s="2079"/>
      <c r="F1012" s="2079"/>
      <c r="G1012" s="2079"/>
      <c r="H1012" s="2079"/>
      <c r="I1012" s="2079"/>
      <c r="J1012" s="2079"/>
      <c r="K1012" s="2079"/>
      <c r="L1012" s="2079"/>
      <c r="M1012" s="2079"/>
      <c r="N1012" s="2079"/>
      <c r="O1012" s="2079"/>
      <c r="P1012" s="2079"/>
      <c r="Q1012" s="2079"/>
      <c r="R1012" s="2079"/>
      <c r="S1012" s="2079"/>
      <c r="T1012" s="2079"/>
      <c r="U1012" s="2079"/>
      <c r="V1012" s="2079"/>
      <c r="W1012" s="2079"/>
      <c r="X1012" s="2079"/>
      <c r="Y1012" s="2079"/>
      <c r="Z1012" s="2079"/>
      <c r="AA1012" s="2079"/>
      <c r="AB1012" s="2079"/>
      <c r="AC1012" s="2079"/>
      <c r="AD1012" s="2079"/>
      <c r="AE1012" s="2079"/>
      <c r="AF1012" s="2079"/>
      <c r="AG1012" s="2079"/>
      <c r="AH1012" s="2079"/>
      <c r="AI1012" s="2079"/>
      <c r="AJ1012" s="2079"/>
      <c r="AK1012" s="2079"/>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79">
        <f>IF(ISNA(IF((AD975&gt;(AD953*0.15)),"(f) cannot be greater than 15% of unadjusted eligible basis.",0)),"",(IF((AD975&gt;(AD953*0.15)),"(f) cannot be greater than 15% of unadjusted eligible basis.",0)))</f>
        <v>0</v>
      </c>
      <c r="C1013" s="2079"/>
      <c r="D1013" s="2079"/>
      <c r="E1013" s="2079"/>
      <c r="F1013" s="2079"/>
      <c r="G1013" s="2079"/>
      <c r="H1013" s="2079"/>
      <c r="I1013" s="2079"/>
      <c r="J1013" s="2079"/>
      <c r="K1013" s="2079"/>
      <c r="L1013" s="2079"/>
      <c r="M1013" s="2079"/>
      <c r="N1013" s="2079"/>
      <c r="O1013" s="2079"/>
      <c r="P1013" s="2079"/>
      <c r="Q1013" s="2079"/>
      <c r="R1013" s="2079"/>
      <c r="S1013" s="2079"/>
      <c r="T1013" s="2079"/>
      <c r="U1013" s="2079"/>
      <c r="V1013" s="2079"/>
      <c r="W1013" s="2079"/>
      <c r="X1013" s="2079"/>
      <c r="Y1013" s="2079"/>
      <c r="Z1013" s="2079"/>
      <c r="AA1013" s="2079"/>
      <c r="AB1013" s="2079"/>
      <c r="AC1013" s="2079"/>
      <c r="AD1013" s="2079"/>
      <c r="AE1013" s="2079"/>
      <c r="AF1013" s="2079"/>
      <c r="AG1013" s="2079"/>
      <c r="AH1013" s="2079"/>
      <c r="AI1013" s="2079"/>
      <c r="AJ1013" s="2079"/>
      <c r="AK1013" s="2079"/>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94" t="s">
        <v>1072</v>
      </c>
      <c r="B1014" s="2194"/>
      <c r="C1014" s="2194"/>
      <c r="D1014" s="2194"/>
      <c r="E1014" s="2194"/>
      <c r="F1014" s="2194"/>
      <c r="G1014" s="2194"/>
      <c r="H1014" s="2194"/>
      <c r="I1014" s="2194"/>
      <c r="J1014" s="2194"/>
      <c r="K1014" s="2194"/>
      <c r="L1014" s="2194"/>
      <c r="M1014" s="2194"/>
      <c r="N1014" s="2194"/>
      <c r="O1014" s="2194"/>
      <c r="P1014" s="2194"/>
      <c r="Q1014" s="2194"/>
      <c r="R1014" s="2194"/>
      <c r="S1014" s="2194"/>
      <c r="T1014" s="2194"/>
      <c r="U1014" s="2194"/>
      <c r="V1014" s="2194"/>
      <c r="W1014" s="2194"/>
      <c r="X1014" s="2194"/>
      <c r="Y1014" s="2194"/>
      <c r="Z1014" s="2194"/>
      <c r="AA1014" s="2194"/>
      <c r="AB1014" s="2194"/>
      <c r="AC1014" s="2194"/>
      <c r="AD1014" s="2194"/>
      <c r="AE1014" s="2194"/>
      <c r="AF1014" s="2194"/>
      <c r="AG1014" s="2194"/>
      <c r="AH1014" s="2194"/>
      <c r="AI1014" s="2194"/>
      <c r="AJ1014" s="2194"/>
      <c r="AK1014" s="219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6" t="s">
        <v>135</v>
      </c>
      <c r="B1018" s="1826"/>
      <c r="C1018" s="17">
        <v>1</v>
      </c>
      <c r="D1018" s="1585" t="s">
        <v>1657</v>
      </c>
      <c r="E1018" s="1585"/>
      <c r="F1018" s="1585"/>
      <c r="G1018" s="1585"/>
      <c r="H1018" s="1585"/>
      <c r="I1018" s="1585"/>
      <c r="J1018" s="1585"/>
      <c r="K1018" s="1585"/>
      <c r="L1018" s="1585"/>
      <c r="M1018" s="1585"/>
      <c r="N1018" s="1585"/>
      <c r="O1018" s="1585"/>
      <c r="P1018" s="1585"/>
      <c r="Q1018" s="1585"/>
      <c r="R1018" s="1585"/>
      <c r="S1018" s="1585"/>
      <c r="T1018" s="1585"/>
      <c r="U1018" s="1585"/>
      <c r="V1018" s="1585"/>
      <c r="W1018" s="1585"/>
      <c r="X1018" s="1585"/>
      <c r="Y1018" s="1585"/>
      <c r="Z1018" s="1585"/>
      <c r="AA1018" s="1585"/>
      <c r="AB1018" s="1585"/>
      <c r="AC1018" s="1585"/>
      <c r="AD1018" s="1585"/>
      <c r="AE1018" s="1585"/>
      <c r="AF1018" s="1585"/>
      <c r="AG1018" s="1585"/>
      <c r="AH1018" s="1585"/>
      <c r="AI1018" s="1585"/>
      <c r="AJ1018" s="1585"/>
      <c r="AK1018" s="1585"/>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5"/>
      <c r="E1019" s="1585"/>
      <c r="F1019" s="1585"/>
      <c r="G1019" s="1585"/>
      <c r="H1019" s="1585"/>
      <c r="I1019" s="1585"/>
      <c r="J1019" s="1585"/>
      <c r="K1019" s="1585"/>
      <c r="L1019" s="1585"/>
      <c r="M1019" s="1585"/>
      <c r="N1019" s="1585"/>
      <c r="O1019" s="1585"/>
      <c r="P1019" s="1585"/>
      <c r="Q1019" s="1585"/>
      <c r="R1019" s="1585"/>
      <c r="S1019" s="1585"/>
      <c r="T1019" s="1585"/>
      <c r="U1019" s="1585"/>
      <c r="V1019" s="1585"/>
      <c r="W1019" s="1585"/>
      <c r="X1019" s="1585"/>
      <c r="Y1019" s="1585"/>
      <c r="Z1019" s="1585"/>
      <c r="AA1019" s="1585"/>
      <c r="AB1019" s="1585"/>
      <c r="AC1019" s="1585"/>
      <c r="AD1019" s="1585"/>
      <c r="AE1019" s="1585"/>
      <c r="AF1019" s="1585"/>
      <c r="AG1019" s="1585"/>
      <c r="AH1019" s="1585"/>
      <c r="AI1019" s="1585"/>
      <c r="AJ1019" s="1585"/>
      <c r="AK1019" s="1585"/>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85"/>
      <c r="E1020" s="1585"/>
      <c r="F1020" s="1585"/>
      <c r="G1020" s="1585"/>
      <c r="H1020" s="1585"/>
      <c r="I1020" s="1585"/>
      <c r="J1020" s="1585"/>
      <c r="K1020" s="1585"/>
      <c r="L1020" s="1585"/>
      <c r="M1020" s="1585"/>
      <c r="N1020" s="1585"/>
      <c r="O1020" s="1585"/>
      <c r="P1020" s="1585"/>
      <c r="Q1020" s="1585"/>
      <c r="R1020" s="1585"/>
      <c r="S1020" s="1585"/>
      <c r="T1020" s="1585"/>
      <c r="U1020" s="1585"/>
      <c r="V1020" s="1585"/>
      <c r="W1020" s="1585"/>
      <c r="X1020" s="1585"/>
      <c r="Y1020" s="1585"/>
      <c r="Z1020" s="1585"/>
      <c r="AA1020" s="1585"/>
      <c r="AB1020" s="1585"/>
      <c r="AC1020" s="1585"/>
      <c r="AD1020" s="1585"/>
      <c r="AE1020" s="1585"/>
      <c r="AF1020" s="1585"/>
      <c r="AG1020" s="1585"/>
      <c r="AH1020" s="1585"/>
      <c r="AI1020" s="1585"/>
      <c r="AJ1020" s="1585"/>
      <c r="AK1020" s="1585"/>
      <c r="AL1020" s="16"/>
      <c r="AM1020" s="66"/>
      <c r="AN1020" s="66"/>
      <c r="AO1020" s="30"/>
      <c r="AP1020" s="30"/>
      <c r="AQ1020" s="30"/>
      <c r="AR1020" s="30"/>
      <c r="AS1020" s="30"/>
      <c r="AT1020" s="2075"/>
      <c r="AU1020" s="2075"/>
      <c r="AV1020" s="2075"/>
      <c r="AW1020" s="2075"/>
      <c r="AX1020" s="2075"/>
      <c r="AY1020" s="2075"/>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585"/>
      <c r="E1021" s="1585"/>
      <c r="F1021" s="1585"/>
      <c r="G1021" s="1585"/>
      <c r="H1021" s="1585"/>
      <c r="I1021" s="1585"/>
      <c r="J1021" s="1585"/>
      <c r="K1021" s="1585"/>
      <c r="L1021" s="1585"/>
      <c r="M1021" s="1585"/>
      <c r="N1021" s="1585"/>
      <c r="O1021" s="1585"/>
      <c r="P1021" s="1585"/>
      <c r="Q1021" s="1585"/>
      <c r="R1021" s="1585"/>
      <c r="S1021" s="1585"/>
      <c r="T1021" s="1585"/>
      <c r="U1021" s="1585"/>
      <c r="V1021" s="1585"/>
      <c r="W1021" s="1585"/>
      <c r="X1021" s="1585"/>
      <c r="Y1021" s="1585"/>
      <c r="Z1021" s="1585"/>
      <c r="AA1021" s="1585"/>
      <c r="AB1021" s="1585"/>
      <c r="AC1021" s="1585"/>
      <c r="AD1021" s="1585"/>
      <c r="AE1021" s="1585"/>
      <c r="AF1021" s="1585"/>
      <c r="AG1021" s="1585"/>
      <c r="AH1021" s="1585"/>
      <c r="AI1021" s="1585"/>
      <c r="AJ1021" s="1585"/>
      <c r="AK1021" s="1585"/>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585"/>
      <c r="E1022" s="1585"/>
      <c r="F1022" s="1585"/>
      <c r="G1022" s="1585"/>
      <c r="H1022" s="1585"/>
      <c r="I1022" s="1585"/>
      <c r="J1022" s="1585"/>
      <c r="K1022" s="1585"/>
      <c r="L1022" s="1585"/>
      <c r="M1022" s="1585"/>
      <c r="N1022" s="1585"/>
      <c r="O1022" s="1585"/>
      <c r="P1022" s="1585"/>
      <c r="Q1022" s="1585"/>
      <c r="R1022" s="1585"/>
      <c r="S1022" s="1585"/>
      <c r="T1022" s="1585"/>
      <c r="U1022" s="1585"/>
      <c r="V1022" s="1585"/>
      <c r="W1022" s="1585"/>
      <c r="X1022" s="1585"/>
      <c r="Y1022" s="1585"/>
      <c r="Z1022" s="1585"/>
      <c r="AA1022" s="1585"/>
      <c r="AB1022" s="1585"/>
      <c r="AC1022" s="1585"/>
      <c r="AD1022" s="1585"/>
      <c r="AE1022" s="1585"/>
      <c r="AF1022" s="1585"/>
      <c r="AG1022" s="1585"/>
      <c r="AH1022" s="1585"/>
      <c r="AI1022" s="1585"/>
      <c r="AJ1022" s="1585"/>
      <c r="AK1022" s="1585"/>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585"/>
      <c r="E1023" s="1585"/>
      <c r="F1023" s="1585"/>
      <c r="G1023" s="1585"/>
      <c r="H1023" s="1585"/>
      <c r="I1023" s="1585"/>
      <c r="J1023" s="1585"/>
      <c r="K1023" s="1585"/>
      <c r="L1023" s="1585"/>
      <c r="M1023" s="1585"/>
      <c r="N1023" s="1585"/>
      <c r="O1023" s="1585"/>
      <c r="P1023" s="1585"/>
      <c r="Q1023" s="1585"/>
      <c r="R1023" s="1585"/>
      <c r="S1023" s="1585"/>
      <c r="T1023" s="1585"/>
      <c r="U1023" s="1585"/>
      <c r="V1023" s="1585"/>
      <c r="W1023" s="1585"/>
      <c r="X1023" s="1585"/>
      <c r="Y1023" s="1585"/>
      <c r="Z1023" s="1585"/>
      <c r="AA1023" s="1585"/>
      <c r="AB1023" s="1585"/>
      <c r="AC1023" s="1585"/>
      <c r="AD1023" s="1585"/>
      <c r="AE1023" s="1585"/>
      <c r="AF1023" s="1585"/>
      <c r="AG1023" s="1585"/>
      <c r="AH1023" s="1585"/>
      <c r="AI1023" s="1585"/>
      <c r="AJ1023" s="1585"/>
      <c r="AK1023" s="158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826" t="s">
        <v>135</v>
      </c>
      <c r="B1024" s="1826"/>
      <c r="C1024" s="17">
        <v>2</v>
      </c>
      <c r="D1024" s="1586" t="s">
        <v>1658</v>
      </c>
      <c r="E1024" s="1585"/>
      <c r="F1024" s="1585"/>
      <c r="G1024" s="1585"/>
      <c r="H1024" s="1585"/>
      <c r="I1024" s="1585"/>
      <c r="J1024" s="1585"/>
      <c r="K1024" s="1585"/>
      <c r="L1024" s="1585"/>
      <c r="M1024" s="1585"/>
      <c r="N1024" s="1585"/>
      <c r="O1024" s="1585"/>
      <c r="P1024" s="1585"/>
      <c r="Q1024" s="1585"/>
      <c r="R1024" s="1585"/>
      <c r="S1024" s="1585"/>
      <c r="T1024" s="1585"/>
      <c r="U1024" s="1585"/>
      <c r="V1024" s="1585"/>
      <c r="W1024" s="1585"/>
      <c r="X1024" s="1585"/>
      <c r="Y1024" s="1585"/>
      <c r="Z1024" s="1585"/>
      <c r="AA1024" s="1585"/>
      <c r="AB1024" s="1585"/>
      <c r="AC1024" s="1585"/>
      <c r="AD1024" s="1585"/>
      <c r="AE1024" s="1585"/>
      <c r="AF1024" s="1585"/>
      <c r="AG1024" s="1585"/>
      <c r="AH1024" s="1585"/>
      <c r="AI1024" s="1585"/>
      <c r="AJ1024" s="1585"/>
      <c r="AK1024" s="1585"/>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585"/>
      <c r="E1025" s="1585"/>
      <c r="F1025" s="1585"/>
      <c r="G1025" s="1585"/>
      <c r="H1025" s="1585"/>
      <c r="I1025" s="1585"/>
      <c r="J1025" s="1585"/>
      <c r="K1025" s="1585"/>
      <c r="L1025" s="1585"/>
      <c r="M1025" s="1585"/>
      <c r="N1025" s="1585"/>
      <c r="O1025" s="1585"/>
      <c r="P1025" s="1585"/>
      <c r="Q1025" s="1585"/>
      <c r="R1025" s="1585"/>
      <c r="S1025" s="1585"/>
      <c r="T1025" s="1585"/>
      <c r="U1025" s="1585"/>
      <c r="V1025" s="1585"/>
      <c r="W1025" s="1585"/>
      <c r="X1025" s="1585"/>
      <c r="Y1025" s="1585"/>
      <c r="Z1025" s="1585"/>
      <c r="AA1025" s="1585"/>
      <c r="AB1025" s="1585"/>
      <c r="AC1025" s="1585"/>
      <c r="AD1025" s="1585"/>
      <c r="AE1025" s="1585"/>
      <c r="AF1025" s="1585"/>
      <c r="AG1025" s="1585"/>
      <c r="AH1025" s="1585"/>
      <c r="AI1025" s="1585"/>
      <c r="AJ1025" s="1585"/>
      <c r="AK1025" s="1585"/>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85"/>
      <c r="E1026" s="1585"/>
      <c r="F1026" s="1585"/>
      <c r="G1026" s="1585"/>
      <c r="H1026" s="1585"/>
      <c r="I1026" s="1585"/>
      <c r="J1026" s="1585"/>
      <c r="K1026" s="1585"/>
      <c r="L1026" s="1585"/>
      <c r="M1026" s="1585"/>
      <c r="N1026" s="1585"/>
      <c r="O1026" s="1585"/>
      <c r="P1026" s="1585"/>
      <c r="Q1026" s="1585"/>
      <c r="R1026" s="1585"/>
      <c r="S1026" s="1585"/>
      <c r="T1026" s="1585"/>
      <c r="U1026" s="1585"/>
      <c r="V1026" s="1585"/>
      <c r="W1026" s="1585"/>
      <c r="X1026" s="1585"/>
      <c r="Y1026" s="1585"/>
      <c r="Z1026" s="1585"/>
      <c r="AA1026" s="1585"/>
      <c r="AB1026" s="1585"/>
      <c r="AC1026" s="1585"/>
      <c r="AD1026" s="1585"/>
      <c r="AE1026" s="1585"/>
      <c r="AF1026" s="1585"/>
      <c r="AG1026" s="1585"/>
      <c r="AH1026" s="1585"/>
      <c r="AI1026" s="1585"/>
      <c r="AJ1026" s="1585"/>
      <c r="AK1026" s="1585"/>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585"/>
      <c r="E1027" s="1585"/>
      <c r="F1027" s="1585"/>
      <c r="G1027" s="1585"/>
      <c r="H1027" s="1585"/>
      <c r="I1027" s="1585"/>
      <c r="J1027" s="1585"/>
      <c r="K1027" s="1585"/>
      <c r="L1027" s="1585"/>
      <c r="M1027" s="1585"/>
      <c r="N1027" s="1585"/>
      <c r="O1027" s="1585"/>
      <c r="P1027" s="1585"/>
      <c r="Q1027" s="1585"/>
      <c r="R1027" s="1585"/>
      <c r="S1027" s="1585"/>
      <c r="T1027" s="1585"/>
      <c r="U1027" s="1585"/>
      <c r="V1027" s="1585"/>
      <c r="W1027" s="1585"/>
      <c r="X1027" s="1585"/>
      <c r="Y1027" s="1585"/>
      <c r="Z1027" s="1585"/>
      <c r="AA1027" s="1585"/>
      <c r="AB1027" s="1585"/>
      <c r="AC1027" s="1585"/>
      <c r="AD1027" s="1585"/>
      <c r="AE1027" s="1585"/>
      <c r="AF1027" s="1585"/>
      <c r="AG1027" s="1585"/>
      <c r="AH1027" s="1585"/>
      <c r="AI1027" s="1585"/>
      <c r="AJ1027" s="1585"/>
      <c r="AK1027" s="1585"/>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585"/>
      <c r="E1028" s="1585"/>
      <c r="F1028" s="1585"/>
      <c r="G1028" s="1585"/>
      <c r="H1028" s="1585"/>
      <c r="I1028" s="1585"/>
      <c r="J1028" s="1585"/>
      <c r="K1028" s="1585"/>
      <c r="L1028" s="1585"/>
      <c r="M1028" s="1585"/>
      <c r="N1028" s="1585"/>
      <c r="O1028" s="1585"/>
      <c r="P1028" s="1585"/>
      <c r="Q1028" s="1585"/>
      <c r="R1028" s="1585"/>
      <c r="S1028" s="1585"/>
      <c r="T1028" s="1585"/>
      <c r="U1028" s="1585"/>
      <c r="V1028" s="1585"/>
      <c r="W1028" s="1585"/>
      <c r="X1028" s="1585"/>
      <c r="Y1028" s="1585"/>
      <c r="Z1028" s="1585"/>
      <c r="AA1028" s="1585"/>
      <c r="AB1028" s="1585"/>
      <c r="AC1028" s="1585"/>
      <c r="AD1028" s="1585"/>
      <c r="AE1028" s="1585"/>
      <c r="AF1028" s="1585"/>
      <c r="AG1028" s="1585"/>
      <c r="AH1028" s="1585"/>
      <c r="AI1028" s="1585"/>
      <c r="AJ1028" s="1585"/>
      <c r="AK1028" s="1585"/>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5"/>
      <c r="E1029" s="1585"/>
      <c r="F1029" s="1585"/>
      <c r="G1029" s="1585"/>
      <c r="H1029" s="1585"/>
      <c r="I1029" s="1585"/>
      <c r="J1029" s="1585"/>
      <c r="K1029" s="1585"/>
      <c r="L1029" s="1585"/>
      <c r="M1029" s="1585"/>
      <c r="N1029" s="1585"/>
      <c r="O1029" s="1585"/>
      <c r="P1029" s="1585"/>
      <c r="Q1029" s="1585"/>
      <c r="R1029" s="1585"/>
      <c r="S1029" s="1585"/>
      <c r="T1029" s="1585"/>
      <c r="U1029" s="1585"/>
      <c r="V1029" s="1585"/>
      <c r="W1029" s="1585"/>
      <c r="X1029" s="1585"/>
      <c r="Y1029" s="1585"/>
      <c r="Z1029" s="1585"/>
      <c r="AA1029" s="1585"/>
      <c r="AB1029" s="1585"/>
      <c r="AC1029" s="1585"/>
      <c r="AD1029" s="1585"/>
      <c r="AE1029" s="1585"/>
      <c r="AF1029" s="1585"/>
      <c r="AG1029" s="1585"/>
      <c r="AH1029" s="1585"/>
      <c r="AI1029" s="1585"/>
      <c r="AJ1029" s="1585"/>
      <c r="AK1029" s="158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6" t="s">
        <v>135</v>
      </c>
      <c r="B1030" s="1826"/>
      <c r="C1030" s="17">
        <v>3</v>
      </c>
      <c r="D1030" s="1586" t="s">
        <v>2275</v>
      </c>
      <c r="E1030" s="1585"/>
      <c r="F1030" s="1585"/>
      <c r="G1030" s="1585"/>
      <c r="H1030" s="1585"/>
      <c r="I1030" s="1585"/>
      <c r="J1030" s="1585"/>
      <c r="K1030" s="1585"/>
      <c r="L1030" s="1585"/>
      <c r="M1030" s="1585"/>
      <c r="N1030" s="1585"/>
      <c r="O1030" s="1585"/>
      <c r="P1030" s="1585"/>
      <c r="Q1030" s="1585"/>
      <c r="R1030" s="1585"/>
      <c r="S1030" s="1585"/>
      <c r="T1030" s="1585"/>
      <c r="U1030" s="1585"/>
      <c r="V1030" s="1585"/>
      <c r="W1030" s="1585"/>
      <c r="X1030" s="1585"/>
      <c r="Y1030" s="1585"/>
      <c r="Z1030" s="1585"/>
      <c r="AA1030" s="1585"/>
      <c r="AB1030" s="1585"/>
      <c r="AC1030" s="1585"/>
      <c r="AD1030" s="1585"/>
      <c r="AE1030" s="1585"/>
      <c r="AF1030" s="1585"/>
      <c r="AG1030" s="1585"/>
      <c r="AH1030" s="1585"/>
      <c r="AI1030" s="1585"/>
      <c r="AJ1030" s="1585"/>
      <c r="AK1030" s="158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5"/>
      <c r="E1031" s="1585"/>
      <c r="F1031" s="1585"/>
      <c r="G1031" s="1585"/>
      <c r="H1031" s="1585"/>
      <c r="I1031" s="1585"/>
      <c r="J1031" s="1585"/>
      <c r="K1031" s="1585"/>
      <c r="L1031" s="1585"/>
      <c r="M1031" s="1585"/>
      <c r="N1031" s="1585"/>
      <c r="O1031" s="1585"/>
      <c r="P1031" s="1585"/>
      <c r="Q1031" s="1585"/>
      <c r="R1031" s="1585"/>
      <c r="S1031" s="1585"/>
      <c r="T1031" s="1585"/>
      <c r="U1031" s="1585"/>
      <c r="V1031" s="1585"/>
      <c r="W1031" s="1585"/>
      <c r="X1031" s="1585"/>
      <c r="Y1031" s="1585"/>
      <c r="Z1031" s="1585"/>
      <c r="AA1031" s="1585"/>
      <c r="AB1031" s="1585"/>
      <c r="AC1031" s="1585"/>
      <c r="AD1031" s="1585"/>
      <c r="AE1031" s="1585"/>
      <c r="AF1031" s="1585"/>
      <c r="AG1031" s="1585"/>
      <c r="AH1031" s="1585"/>
      <c r="AI1031" s="1585"/>
      <c r="AJ1031" s="1585"/>
      <c r="AK1031" s="158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5"/>
      <c r="E1032" s="1585"/>
      <c r="F1032" s="1585"/>
      <c r="G1032" s="1585"/>
      <c r="H1032" s="1585"/>
      <c r="I1032" s="1585"/>
      <c r="J1032" s="1585"/>
      <c r="K1032" s="1585"/>
      <c r="L1032" s="1585"/>
      <c r="M1032" s="1585"/>
      <c r="N1032" s="1585"/>
      <c r="O1032" s="1585"/>
      <c r="P1032" s="1585"/>
      <c r="Q1032" s="1585"/>
      <c r="R1032" s="1585"/>
      <c r="S1032" s="1585"/>
      <c r="T1032" s="1585"/>
      <c r="U1032" s="1585"/>
      <c r="V1032" s="1585"/>
      <c r="W1032" s="1585"/>
      <c r="X1032" s="1585"/>
      <c r="Y1032" s="1585"/>
      <c r="Z1032" s="1585"/>
      <c r="AA1032" s="1585"/>
      <c r="AB1032" s="1585"/>
      <c r="AC1032" s="1585"/>
      <c r="AD1032" s="1585"/>
      <c r="AE1032" s="1585"/>
      <c r="AF1032" s="1585"/>
      <c r="AG1032" s="1585"/>
      <c r="AH1032" s="1585"/>
      <c r="AI1032" s="1585"/>
      <c r="AJ1032" s="1585"/>
      <c r="AK1032" s="158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5"/>
      <c r="E1033" s="1585"/>
      <c r="F1033" s="1585"/>
      <c r="G1033" s="1585"/>
      <c r="H1033" s="1585"/>
      <c r="I1033" s="1585"/>
      <c r="J1033" s="1585"/>
      <c r="K1033" s="1585"/>
      <c r="L1033" s="1585"/>
      <c r="M1033" s="1585"/>
      <c r="N1033" s="1585"/>
      <c r="O1033" s="1585"/>
      <c r="P1033" s="1585"/>
      <c r="Q1033" s="1585"/>
      <c r="R1033" s="1585"/>
      <c r="S1033" s="1585"/>
      <c r="T1033" s="1585"/>
      <c r="U1033" s="1585"/>
      <c r="V1033" s="1585"/>
      <c r="W1033" s="1585"/>
      <c r="X1033" s="1585"/>
      <c r="Y1033" s="1585"/>
      <c r="Z1033" s="1585"/>
      <c r="AA1033" s="1585"/>
      <c r="AB1033" s="1585"/>
      <c r="AC1033" s="1585"/>
      <c r="AD1033" s="1585"/>
      <c r="AE1033" s="1585"/>
      <c r="AF1033" s="1585"/>
      <c r="AG1033" s="1585"/>
      <c r="AH1033" s="1585"/>
      <c r="AI1033" s="1585"/>
      <c r="AJ1033" s="1585"/>
      <c r="AK1033" s="158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5"/>
      <c r="E1034" s="1585"/>
      <c r="F1034" s="1585"/>
      <c r="G1034" s="1585"/>
      <c r="H1034" s="1585"/>
      <c r="I1034" s="1585"/>
      <c r="J1034" s="1585"/>
      <c r="K1034" s="1585"/>
      <c r="L1034" s="1585"/>
      <c r="M1034" s="1585"/>
      <c r="N1034" s="1585"/>
      <c r="O1034" s="1585"/>
      <c r="P1034" s="1585"/>
      <c r="Q1034" s="1585"/>
      <c r="R1034" s="1585"/>
      <c r="S1034" s="1585"/>
      <c r="T1034" s="1585"/>
      <c r="U1034" s="1585"/>
      <c r="V1034" s="1585"/>
      <c r="W1034" s="1585"/>
      <c r="X1034" s="1585"/>
      <c r="Y1034" s="1585"/>
      <c r="Z1034" s="1585"/>
      <c r="AA1034" s="1585"/>
      <c r="AB1034" s="1585"/>
      <c r="AC1034" s="1585"/>
      <c r="AD1034" s="1585"/>
      <c r="AE1034" s="1585"/>
      <c r="AF1034" s="1585"/>
      <c r="AG1034" s="1585"/>
      <c r="AH1034" s="1585"/>
      <c r="AI1034" s="1585"/>
      <c r="AJ1034" s="1585"/>
      <c r="AK1034" s="158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5"/>
      <c r="E1035" s="1585"/>
      <c r="F1035" s="1585"/>
      <c r="G1035" s="1585"/>
      <c r="H1035" s="1585"/>
      <c r="I1035" s="1585"/>
      <c r="J1035" s="1585"/>
      <c r="K1035" s="1585"/>
      <c r="L1035" s="1585"/>
      <c r="M1035" s="1585"/>
      <c r="N1035" s="1585"/>
      <c r="O1035" s="1585"/>
      <c r="P1035" s="1585"/>
      <c r="Q1035" s="1585"/>
      <c r="R1035" s="1585"/>
      <c r="S1035" s="1585"/>
      <c r="T1035" s="1585"/>
      <c r="U1035" s="1585"/>
      <c r="V1035" s="1585"/>
      <c r="W1035" s="1585"/>
      <c r="X1035" s="1585"/>
      <c r="Y1035" s="1585"/>
      <c r="Z1035" s="1585"/>
      <c r="AA1035" s="1585"/>
      <c r="AB1035" s="1585"/>
      <c r="AC1035" s="1585"/>
      <c r="AD1035" s="1585"/>
      <c r="AE1035" s="1585"/>
      <c r="AF1035" s="1585"/>
      <c r="AG1035" s="1585"/>
      <c r="AH1035" s="1585"/>
      <c r="AI1035" s="1585"/>
      <c r="AJ1035" s="1585"/>
      <c r="AK1035" s="158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6" t="s">
        <v>135</v>
      </c>
      <c r="B1036" s="1826"/>
      <c r="C1036" s="17">
        <v>4</v>
      </c>
      <c r="D1036" s="1586" t="s">
        <v>2270</v>
      </c>
      <c r="E1036" s="1585"/>
      <c r="F1036" s="1585"/>
      <c r="G1036" s="1585"/>
      <c r="H1036" s="1585"/>
      <c r="I1036" s="1585"/>
      <c r="J1036" s="1585"/>
      <c r="K1036" s="1585"/>
      <c r="L1036" s="1585"/>
      <c r="M1036" s="1585"/>
      <c r="N1036" s="1585"/>
      <c r="O1036" s="1585"/>
      <c r="P1036" s="1585"/>
      <c r="Q1036" s="1585"/>
      <c r="R1036" s="1585"/>
      <c r="S1036" s="1585"/>
      <c r="T1036" s="1585"/>
      <c r="U1036" s="1585"/>
      <c r="V1036" s="1585"/>
      <c r="W1036" s="1585"/>
      <c r="X1036" s="1585"/>
      <c r="Y1036" s="1585"/>
      <c r="Z1036" s="1585"/>
      <c r="AA1036" s="1585"/>
      <c r="AB1036" s="1585"/>
      <c r="AC1036" s="1585"/>
      <c r="AD1036" s="1585"/>
      <c r="AE1036" s="1585"/>
      <c r="AF1036" s="1585"/>
      <c r="AG1036" s="1585"/>
      <c r="AH1036" s="1585"/>
      <c r="AI1036" s="1585"/>
      <c r="AJ1036" s="1585"/>
      <c r="AK1036" s="158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5"/>
      <c r="E1037" s="1585"/>
      <c r="F1037" s="1585"/>
      <c r="G1037" s="1585"/>
      <c r="H1037" s="1585"/>
      <c r="I1037" s="1585"/>
      <c r="J1037" s="1585"/>
      <c r="K1037" s="1585"/>
      <c r="L1037" s="1585"/>
      <c r="M1037" s="1585"/>
      <c r="N1037" s="1585"/>
      <c r="O1037" s="1585"/>
      <c r="P1037" s="1585"/>
      <c r="Q1037" s="1585"/>
      <c r="R1037" s="1585"/>
      <c r="S1037" s="1585"/>
      <c r="T1037" s="1585"/>
      <c r="U1037" s="1585"/>
      <c r="V1037" s="1585"/>
      <c r="W1037" s="1585"/>
      <c r="X1037" s="1585"/>
      <c r="Y1037" s="1585"/>
      <c r="Z1037" s="1585"/>
      <c r="AA1037" s="1585"/>
      <c r="AB1037" s="1585"/>
      <c r="AC1037" s="1585"/>
      <c r="AD1037" s="1585"/>
      <c r="AE1037" s="1585"/>
      <c r="AF1037" s="1585"/>
      <c r="AG1037" s="1585"/>
      <c r="AH1037" s="1585"/>
      <c r="AI1037" s="1585"/>
      <c r="AJ1037" s="1585"/>
      <c r="AK1037" s="158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5"/>
      <c r="E1038" s="1585"/>
      <c r="F1038" s="1585"/>
      <c r="G1038" s="1585"/>
      <c r="H1038" s="1585"/>
      <c r="I1038" s="1585"/>
      <c r="J1038" s="1585"/>
      <c r="K1038" s="1585"/>
      <c r="L1038" s="1585"/>
      <c r="M1038" s="1585"/>
      <c r="N1038" s="1585"/>
      <c r="O1038" s="1585"/>
      <c r="P1038" s="1585"/>
      <c r="Q1038" s="1585"/>
      <c r="R1038" s="1585"/>
      <c r="S1038" s="1585"/>
      <c r="T1038" s="1585"/>
      <c r="U1038" s="1585"/>
      <c r="V1038" s="1585"/>
      <c r="W1038" s="1585"/>
      <c r="X1038" s="1585"/>
      <c r="Y1038" s="1585"/>
      <c r="Z1038" s="1585"/>
      <c r="AA1038" s="1585"/>
      <c r="AB1038" s="1585"/>
      <c r="AC1038" s="1585"/>
      <c r="AD1038" s="1585"/>
      <c r="AE1038" s="1585"/>
      <c r="AF1038" s="1585"/>
      <c r="AG1038" s="1585"/>
      <c r="AH1038" s="1585"/>
      <c r="AI1038" s="1585"/>
      <c r="AJ1038" s="1585"/>
      <c r="AK1038" s="1585"/>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826" t="s">
        <v>135</v>
      </c>
      <c r="B1039" s="1826"/>
      <c r="C1039" s="17">
        <v>5</v>
      </c>
      <c r="D1039" s="1586" t="s">
        <v>1885</v>
      </c>
      <c r="E1039" s="1585"/>
      <c r="F1039" s="1585"/>
      <c r="G1039" s="1585"/>
      <c r="H1039" s="1585"/>
      <c r="I1039" s="1585"/>
      <c r="J1039" s="1585"/>
      <c r="K1039" s="1585"/>
      <c r="L1039" s="1585"/>
      <c r="M1039" s="1585"/>
      <c r="N1039" s="1585"/>
      <c r="O1039" s="1585"/>
      <c r="P1039" s="1585"/>
      <c r="Q1039" s="1585"/>
      <c r="R1039" s="1585"/>
      <c r="S1039" s="1585"/>
      <c r="T1039" s="1585"/>
      <c r="U1039" s="1585"/>
      <c r="V1039" s="1585"/>
      <c r="W1039" s="1585"/>
      <c r="X1039" s="1585"/>
      <c r="Y1039" s="1585"/>
      <c r="Z1039" s="1585"/>
      <c r="AA1039" s="1585"/>
      <c r="AB1039" s="1585"/>
      <c r="AC1039" s="1585"/>
      <c r="AD1039" s="1585"/>
      <c r="AE1039" s="1585"/>
      <c r="AF1039" s="1585"/>
      <c r="AG1039" s="1585"/>
      <c r="AH1039" s="1585"/>
      <c r="AI1039" s="1585"/>
      <c r="AJ1039" s="1585"/>
      <c r="AK1039" s="1585"/>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585"/>
      <c r="E1040" s="1585"/>
      <c r="F1040" s="1585"/>
      <c r="G1040" s="1585"/>
      <c r="H1040" s="1585"/>
      <c r="I1040" s="1585"/>
      <c r="J1040" s="1585"/>
      <c r="K1040" s="1585"/>
      <c r="L1040" s="1585"/>
      <c r="M1040" s="1585"/>
      <c r="N1040" s="1585"/>
      <c r="O1040" s="1585"/>
      <c r="P1040" s="1585"/>
      <c r="Q1040" s="1585"/>
      <c r="R1040" s="1585"/>
      <c r="S1040" s="1585"/>
      <c r="T1040" s="1585"/>
      <c r="U1040" s="1585"/>
      <c r="V1040" s="1585"/>
      <c r="W1040" s="1585"/>
      <c r="X1040" s="1585"/>
      <c r="Y1040" s="1585"/>
      <c r="Z1040" s="1585"/>
      <c r="AA1040" s="1585"/>
      <c r="AB1040" s="1585"/>
      <c r="AC1040" s="1585"/>
      <c r="AD1040" s="1585"/>
      <c r="AE1040" s="1585"/>
      <c r="AF1040" s="1585"/>
      <c r="AG1040" s="1585"/>
      <c r="AH1040" s="1585"/>
      <c r="AI1040" s="1585"/>
      <c r="AJ1040" s="1585"/>
      <c r="AK1040" s="158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5"/>
      <c r="E1041" s="1585"/>
      <c r="F1041" s="1585"/>
      <c r="G1041" s="1585"/>
      <c r="H1041" s="1585"/>
      <c r="I1041" s="1585"/>
      <c r="J1041" s="1585"/>
      <c r="K1041" s="1585"/>
      <c r="L1041" s="1585"/>
      <c r="M1041" s="1585"/>
      <c r="N1041" s="1585"/>
      <c r="O1041" s="1585"/>
      <c r="P1041" s="1585"/>
      <c r="Q1041" s="1585"/>
      <c r="R1041" s="1585"/>
      <c r="S1041" s="1585"/>
      <c r="T1041" s="1585"/>
      <c r="U1041" s="1585"/>
      <c r="V1041" s="1585"/>
      <c r="W1041" s="1585"/>
      <c r="X1041" s="1585"/>
      <c r="Y1041" s="1585"/>
      <c r="Z1041" s="1585"/>
      <c r="AA1041" s="1585"/>
      <c r="AB1041" s="1585"/>
      <c r="AC1041" s="1585"/>
      <c r="AD1041" s="1585"/>
      <c r="AE1041" s="1585"/>
      <c r="AF1041" s="1585"/>
      <c r="AG1041" s="1585"/>
      <c r="AH1041" s="1585"/>
      <c r="AI1041" s="1585"/>
      <c r="AJ1041" s="1585"/>
      <c r="AK1041" s="158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5"/>
      <c r="E1042" s="1585"/>
      <c r="F1042" s="1585"/>
      <c r="G1042" s="1585"/>
      <c r="H1042" s="1585"/>
      <c r="I1042" s="1585"/>
      <c r="J1042" s="1585"/>
      <c r="K1042" s="1585"/>
      <c r="L1042" s="1585"/>
      <c r="M1042" s="1585"/>
      <c r="N1042" s="1585"/>
      <c r="O1042" s="1585"/>
      <c r="P1042" s="1585"/>
      <c r="Q1042" s="1585"/>
      <c r="R1042" s="1585"/>
      <c r="S1042" s="1585"/>
      <c r="T1042" s="1585"/>
      <c r="U1042" s="1585"/>
      <c r="V1042" s="1585"/>
      <c r="W1042" s="1585"/>
      <c r="X1042" s="1585"/>
      <c r="Y1042" s="1585"/>
      <c r="Z1042" s="1585"/>
      <c r="AA1042" s="1585"/>
      <c r="AB1042" s="1585"/>
      <c r="AC1042" s="1585"/>
      <c r="AD1042" s="1585"/>
      <c r="AE1042" s="1585"/>
      <c r="AF1042" s="1585"/>
      <c r="AG1042" s="1585"/>
      <c r="AH1042" s="1585"/>
      <c r="AI1042" s="1585"/>
      <c r="AJ1042" s="1585"/>
      <c r="AK1042" s="158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5"/>
      <c r="E1043" s="1585"/>
      <c r="F1043" s="1585"/>
      <c r="G1043" s="1585"/>
      <c r="H1043" s="1585"/>
      <c r="I1043" s="1585"/>
      <c r="J1043" s="1585"/>
      <c r="K1043" s="1585"/>
      <c r="L1043" s="1585"/>
      <c r="M1043" s="1585"/>
      <c r="N1043" s="1585"/>
      <c r="O1043" s="1585"/>
      <c r="P1043" s="1585"/>
      <c r="Q1043" s="1585"/>
      <c r="R1043" s="1585"/>
      <c r="S1043" s="1585"/>
      <c r="T1043" s="1585"/>
      <c r="U1043" s="1585"/>
      <c r="V1043" s="1585"/>
      <c r="W1043" s="1585"/>
      <c r="X1043" s="1585"/>
      <c r="Y1043" s="1585"/>
      <c r="Z1043" s="1585"/>
      <c r="AA1043" s="1585"/>
      <c r="AB1043" s="1585"/>
      <c r="AC1043" s="1585"/>
      <c r="AD1043" s="1585"/>
      <c r="AE1043" s="1585"/>
      <c r="AF1043" s="1585"/>
      <c r="AG1043" s="1585"/>
      <c r="AH1043" s="1585"/>
      <c r="AI1043" s="1585"/>
      <c r="AJ1043" s="1585"/>
      <c r="AK1043" s="158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6" t="s">
        <v>135</v>
      </c>
      <c r="B1044" s="1826"/>
      <c r="C1044" s="17">
        <v>6</v>
      </c>
      <c r="D1044" s="1585" t="s">
        <v>1659</v>
      </c>
      <c r="E1044" s="1585"/>
      <c r="F1044" s="1585"/>
      <c r="G1044" s="1585"/>
      <c r="H1044" s="1585"/>
      <c r="I1044" s="1585"/>
      <c r="J1044" s="1585"/>
      <c r="K1044" s="1585"/>
      <c r="L1044" s="1585"/>
      <c r="M1044" s="1585"/>
      <c r="N1044" s="1585"/>
      <c r="O1044" s="1585"/>
      <c r="P1044" s="1585"/>
      <c r="Q1044" s="1585"/>
      <c r="R1044" s="1585"/>
      <c r="S1044" s="1585"/>
      <c r="T1044" s="1585"/>
      <c r="U1044" s="1585"/>
      <c r="V1044" s="1585"/>
      <c r="W1044" s="1585"/>
      <c r="X1044" s="1585"/>
      <c r="Y1044" s="1585"/>
      <c r="Z1044" s="1585"/>
      <c r="AA1044" s="1585"/>
      <c r="AB1044" s="1585"/>
      <c r="AC1044" s="1585"/>
      <c r="AD1044" s="1585"/>
      <c r="AE1044" s="1585"/>
      <c r="AF1044" s="1585"/>
      <c r="AG1044" s="1585"/>
      <c r="AH1044" s="1585"/>
      <c r="AI1044" s="1585"/>
      <c r="AJ1044" s="1585"/>
      <c r="AK1044" s="158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5"/>
      <c r="E1045" s="1585"/>
      <c r="F1045" s="1585"/>
      <c r="G1045" s="1585"/>
      <c r="H1045" s="1585"/>
      <c r="I1045" s="1585"/>
      <c r="J1045" s="1585"/>
      <c r="K1045" s="1585"/>
      <c r="L1045" s="1585"/>
      <c r="M1045" s="1585"/>
      <c r="N1045" s="1585"/>
      <c r="O1045" s="1585"/>
      <c r="P1045" s="1585"/>
      <c r="Q1045" s="1585"/>
      <c r="R1045" s="1585"/>
      <c r="S1045" s="1585"/>
      <c r="T1045" s="1585"/>
      <c r="U1045" s="1585"/>
      <c r="V1045" s="1585"/>
      <c r="W1045" s="1585"/>
      <c r="X1045" s="1585"/>
      <c r="Y1045" s="1585"/>
      <c r="Z1045" s="1585"/>
      <c r="AA1045" s="1585"/>
      <c r="AB1045" s="1585"/>
      <c r="AC1045" s="1585"/>
      <c r="AD1045" s="1585"/>
      <c r="AE1045" s="1585"/>
      <c r="AF1045" s="1585"/>
      <c r="AG1045" s="1585"/>
      <c r="AH1045" s="1585"/>
      <c r="AI1045" s="1585"/>
      <c r="AJ1045" s="1585"/>
      <c r="AK1045" s="158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5"/>
      <c r="E1046" s="1585"/>
      <c r="F1046" s="1585"/>
      <c r="G1046" s="1585"/>
      <c r="H1046" s="1585"/>
      <c r="I1046" s="1585"/>
      <c r="J1046" s="1585"/>
      <c r="K1046" s="1585"/>
      <c r="L1046" s="1585"/>
      <c r="M1046" s="1585"/>
      <c r="N1046" s="1585"/>
      <c r="O1046" s="1585"/>
      <c r="P1046" s="1585"/>
      <c r="Q1046" s="1585"/>
      <c r="R1046" s="1585"/>
      <c r="S1046" s="1585"/>
      <c r="T1046" s="1585"/>
      <c r="U1046" s="1585"/>
      <c r="V1046" s="1585"/>
      <c r="W1046" s="1585"/>
      <c r="X1046" s="1585"/>
      <c r="Y1046" s="1585"/>
      <c r="Z1046" s="1585"/>
      <c r="AA1046" s="1585"/>
      <c r="AB1046" s="1585"/>
      <c r="AC1046" s="1585"/>
      <c r="AD1046" s="1585"/>
      <c r="AE1046" s="1585"/>
      <c r="AF1046" s="1585"/>
      <c r="AG1046" s="1585"/>
      <c r="AH1046" s="1585"/>
      <c r="AI1046" s="1585"/>
      <c r="AJ1046" s="1585"/>
      <c r="AK1046" s="158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6" t="s">
        <v>135</v>
      </c>
      <c r="B1047" s="1826"/>
      <c r="C1047" s="541">
        <v>7</v>
      </c>
      <c r="D1047" s="1585" t="s">
        <v>1661</v>
      </c>
      <c r="E1047" s="1585"/>
      <c r="F1047" s="1585"/>
      <c r="G1047" s="1585"/>
      <c r="H1047" s="1585"/>
      <c r="I1047" s="1585"/>
      <c r="J1047" s="1585"/>
      <c r="K1047" s="1585"/>
      <c r="L1047" s="1585"/>
      <c r="M1047" s="1585"/>
      <c r="N1047" s="1585"/>
      <c r="O1047" s="1585"/>
      <c r="P1047" s="1585"/>
      <c r="Q1047" s="1585"/>
      <c r="R1047" s="1585"/>
      <c r="S1047" s="1585"/>
      <c r="T1047" s="1585"/>
      <c r="U1047" s="1585"/>
      <c r="V1047" s="1585"/>
      <c r="W1047" s="1585"/>
      <c r="X1047" s="1585"/>
      <c r="Y1047" s="1585"/>
      <c r="Z1047" s="1585"/>
      <c r="AA1047" s="1585"/>
      <c r="AB1047" s="1585"/>
      <c r="AC1047" s="1585"/>
      <c r="AD1047" s="1585"/>
      <c r="AE1047" s="1585"/>
      <c r="AF1047" s="1585"/>
      <c r="AG1047" s="1585"/>
      <c r="AH1047" s="1585"/>
      <c r="AI1047" s="1585"/>
      <c r="AJ1047" s="1585"/>
      <c r="AK1047" s="158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5"/>
      <c r="E1048" s="1585"/>
      <c r="F1048" s="1585"/>
      <c r="G1048" s="1585"/>
      <c r="H1048" s="1585"/>
      <c r="I1048" s="1585"/>
      <c r="J1048" s="1585"/>
      <c r="K1048" s="1585"/>
      <c r="L1048" s="1585"/>
      <c r="M1048" s="1585"/>
      <c r="N1048" s="1585"/>
      <c r="O1048" s="1585"/>
      <c r="P1048" s="1585"/>
      <c r="Q1048" s="1585"/>
      <c r="R1048" s="1585"/>
      <c r="S1048" s="1585"/>
      <c r="T1048" s="1585"/>
      <c r="U1048" s="1585"/>
      <c r="V1048" s="1585"/>
      <c r="W1048" s="1585"/>
      <c r="X1048" s="1585"/>
      <c r="Y1048" s="1585"/>
      <c r="Z1048" s="1585"/>
      <c r="AA1048" s="1585"/>
      <c r="AB1048" s="1585"/>
      <c r="AC1048" s="1585"/>
      <c r="AD1048" s="1585"/>
      <c r="AE1048" s="1585"/>
      <c r="AF1048" s="1585"/>
      <c r="AG1048" s="1585"/>
      <c r="AH1048" s="1585"/>
      <c r="AI1048" s="1585"/>
      <c r="AJ1048" s="1585"/>
      <c r="AK1048" s="158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5"/>
      <c r="E1049" s="1585"/>
      <c r="F1049" s="1585"/>
      <c r="G1049" s="1585"/>
      <c r="H1049" s="1585"/>
      <c r="I1049" s="1585"/>
      <c r="J1049" s="1585"/>
      <c r="K1049" s="1585"/>
      <c r="L1049" s="1585"/>
      <c r="M1049" s="1585"/>
      <c r="N1049" s="1585"/>
      <c r="O1049" s="1585"/>
      <c r="P1049" s="1585"/>
      <c r="Q1049" s="1585"/>
      <c r="R1049" s="1585"/>
      <c r="S1049" s="1585"/>
      <c r="T1049" s="1585"/>
      <c r="U1049" s="1585"/>
      <c r="V1049" s="1585"/>
      <c r="W1049" s="1585"/>
      <c r="X1049" s="1585"/>
      <c r="Y1049" s="1585"/>
      <c r="Z1049" s="1585"/>
      <c r="AA1049" s="1585"/>
      <c r="AB1049" s="1585"/>
      <c r="AC1049" s="1585"/>
      <c r="AD1049" s="1585"/>
      <c r="AE1049" s="1585"/>
      <c r="AF1049" s="1585"/>
      <c r="AG1049" s="1585"/>
      <c r="AH1049" s="1585"/>
      <c r="AI1049" s="1585"/>
      <c r="AJ1049" s="1585"/>
      <c r="AK1049" s="1585"/>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5"/>
      <c r="E1050" s="1585"/>
      <c r="F1050" s="1585"/>
      <c r="G1050" s="1585"/>
      <c r="H1050" s="1585"/>
      <c r="I1050" s="1585"/>
      <c r="J1050" s="1585"/>
      <c r="K1050" s="1585"/>
      <c r="L1050" s="1585"/>
      <c r="M1050" s="1585"/>
      <c r="N1050" s="1585"/>
      <c r="O1050" s="1585"/>
      <c r="P1050" s="1585"/>
      <c r="Q1050" s="1585"/>
      <c r="R1050" s="1585"/>
      <c r="S1050" s="1585"/>
      <c r="T1050" s="1585"/>
      <c r="U1050" s="1585"/>
      <c r="V1050" s="1585"/>
      <c r="W1050" s="1585"/>
      <c r="X1050" s="1585"/>
      <c r="Y1050" s="1585"/>
      <c r="Z1050" s="1585"/>
      <c r="AA1050" s="1585"/>
      <c r="AB1050" s="1585"/>
      <c r="AC1050" s="1585"/>
      <c r="AD1050" s="1585"/>
      <c r="AE1050" s="1585"/>
      <c r="AF1050" s="1585"/>
      <c r="AG1050" s="1585"/>
      <c r="AH1050" s="1585"/>
      <c r="AI1050" s="1585"/>
      <c r="AJ1050" s="1585"/>
      <c r="AK1050" s="1585"/>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6" t="s">
        <v>135</v>
      </c>
      <c r="B1051" s="1826"/>
      <c r="C1051" s="541">
        <v>8</v>
      </c>
      <c r="D1051" s="1586" t="s">
        <v>2239</v>
      </c>
      <c r="E1051" s="1585"/>
      <c r="F1051" s="1585"/>
      <c r="G1051" s="1585"/>
      <c r="H1051" s="1585"/>
      <c r="I1051" s="1585"/>
      <c r="J1051" s="1585"/>
      <c r="K1051" s="1585"/>
      <c r="L1051" s="1585"/>
      <c r="M1051" s="1585"/>
      <c r="N1051" s="1585"/>
      <c r="O1051" s="1585"/>
      <c r="P1051" s="1585"/>
      <c r="Q1051" s="1585"/>
      <c r="R1051" s="1585"/>
      <c r="S1051" s="1585"/>
      <c r="T1051" s="1585"/>
      <c r="U1051" s="1585"/>
      <c r="V1051" s="1585"/>
      <c r="W1051" s="1585"/>
      <c r="X1051" s="1585"/>
      <c r="Y1051" s="1585"/>
      <c r="Z1051" s="1585"/>
      <c r="AA1051" s="1585"/>
      <c r="AB1051" s="1585"/>
      <c r="AC1051" s="1585"/>
      <c r="AD1051" s="1585"/>
      <c r="AE1051" s="1585"/>
      <c r="AF1051" s="1585"/>
      <c r="AG1051" s="1585"/>
      <c r="AH1051" s="1585"/>
      <c r="AI1051" s="1585"/>
      <c r="AJ1051" s="1585"/>
      <c r="AK1051" s="1585"/>
      <c r="AL1051" s="16"/>
      <c r="CE1051" s="1343"/>
    </row>
    <row r="1052" spans="1:97" ht="12.75" customHeight="1">
      <c r="A1052" s="1064"/>
      <c r="B1052" s="1064"/>
      <c r="C1052" s="541"/>
      <c r="D1052" s="1585"/>
      <c r="E1052" s="1585"/>
      <c r="F1052" s="1585"/>
      <c r="G1052" s="1585"/>
      <c r="H1052" s="1585"/>
      <c r="I1052" s="1585"/>
      <c r="J1052" s="1585"/>
      <c r="K1052" s="1585"/>
      <c r="L1052" s="1585"/>
      <c r="M1052" s="1585"/>
      <c r="N1052" s="1585"/>
      <c r="O1052" s="1585"/>
      <c r="P1052" s="1585"/>
      <c r="Q1052" s="1585"/>
      <c r="R1052" s="1585"/>
      <c r="S1052" s="1585"/>
      <c r="T1052" s="1585"/>
      <c r="U1052" s="1585"/>
      <c r="V1052" s="1585"/>
      <c r="W1052" s="1585"/>
      <c r="X1052" s="1585"/>
      <c r="Y1052" s="1585"/>
      <c r="Z1052" s="1585"/>
      <c r="AA1052" s="1585"/>
      <c r="AB1052" s="1585"/>
      <c r="AC1052" s="1585"/>
      <c r="AD1052" s="1585"/>
      <c r="AE1052" s="1585"/>
      <c r="AF1052" s="1585"/>
      <c r="AG1052" s="1585"/>
      <c r="AH1052" s="1585"/>
      <c r="AI1052" s="1585"/>
      <c r="AJ1052" s="1585"/>
      <c r="AK1052" s="1585"/>
    </row>
    <row r="1053" spans="1:97" ht="12.75" customHeight="1">
      <c r="A1053" s="390"/>
      <c r="B1053" s="390"/>
      <c r="C1053" s="541"/>
      <c r="D1053" s="1585"/>
      <c r="E1053" s="1585"/>
      <c r="F1053" s="1585"/>
      <c r="G1053" s="1585"/>
      <c r="H1053" s="1585"/>
      <c r="I1053" s="1585"/>
      <c r="J1053" s="1585"/>
      <c r="K1053" s="1585"/>
      <c r="L1053" s="1585"/>
      <c r="M1053" s="1585"/>
      <c r="N1053" s="1585"/>
      <c r="O1053" s="1585"/>
      <c r="P1053" s="1585"/>
      <c r="Q1053" s="1585"/>
      <c r="R1053" s="1585"/>
      <c r="S1053" s="1585"/>
      <c r="T1053" s="1585"/>
      <c r="U1053" s="1585"/>
      <c r="V1053" s="1585"/>
      <c r="W1053" s="1585"/>
      <c r="X1053" s="1585"/>
      <c r="Y1053" s="1585"/>
      <c r="Z1053" s="1585"/>
      <c r="AA1053" s="1585"/>
      <c r="AB1053" s="1585"/>
      <c r="AC1053" s="1585"/>
      <c r="AD1053" s="1585"/>
      <c r="AE1053" s="1585"/>
      <c r="AF1053" s="1585"/>
      <c r="AG1053" s="1585"/>
      <c r="AH1053" s="1585"/>
      <c r="AI1053" s="1585"/>
      <c r="AJ1053" s="1585"/>
      <c r="AK1053" s="1585"/>
    </row>
    <row r="1054" spans="1:97" ht="12.75" customHeight="1">
      <c r="A1054" s="76"/>
      <c r="B1054" s="80"/>
      <c r="C1054" s="541"/>
      <c r="D1054" s="1585"/>
      <c r="E1054" s="1585"/>
      <c r="F1054" s="1585"/>
      <c r="G1054" s="1585"/>
      <c r="H1054" s="1585"/>
      <c r="I1054" s="1585"/>
      <c r="J1054" s="1585"/>
      <c r="K1054" s="1585"/>
      <c r="L1054" s="1585"/>
      <c r="M1054" s="1585"/>
      <c r="N1054" s="1585"/>
      <c r="O1054" s="1585"/>
      <c r="P1054" s="1585"/>
      <c r="Q1054" s="1585"/>
      <c r="R1054" s="1585"/>
      <c r="S1054" s="1585"/>
      <c r="T1054" s="1585"/>
      <c r="U1054" s="1585"/>
      <c r="V1054" s="1585"/>
      <c r="W1054" s="1585"/>
      <c r="X1054" s="1585"/>
      <c r="Y1054" s="1585"/>
      <c r="Z1054" s="1585"/>
      <c r="AA1054" s="1585"/>
      <c r="AB1054" s="1585"/>
      <c r="AC1054" s="1585"/>
      <c r="AD1054" s="1585"/>
      <c r="AE1054" s="1585"/>
      <c r="AF1054" s="1585"/>
      <c r="AG1054" s="1585"/>
      <c r="AH1054" s="1585"/>
      <c r="AI1054" s="1585"/>
      <c r="AJ1054" s="1585"/>
      <c r="AK1054" s="1585"/>
    </row>
    <row r="1055" spans="1:97" ht="29.25" customHeight="1">
      <c r="A1055" s="2192" t="s">
        <v>135</v>
      </c>
      <c r="B1055" s="2192"/>
      <c r="C1055" s="541">
        <v>9</v>
      </c>
      <c r="D1055" s="1585" t="s">
        <v>1660</v>
      </c>
      <c r="E1055" s="1585"/>
      <c r="F1055" s="1585"/>
      <c r="G1055" s="1585"/>
      <c r="H1055" s="1585"/>
      <c r="I1055" s="1585"/>
      <c r="J1055" s="1585"/>
      <c r="K1055" s="1585"/>
      <c r="L1055" s="1585"/>
      <c r="M1055" s="1585"/>
      <c r="N1055" s="1585"/>
      <c r="O1055" s="1585"/>
      <c r="P1055" s="1585"/>
      <c r="Q1055" s="1585"/>
      <c r="R1055" s="1585"/>
      <c r="S1055" s="1585"/>
      <c r="T1055" s="1585"/>
      <c r="U1055" s="1585"/>
      <c r="V1055" s="1585"/>
      <c r="W1055" s="1585"/>
      <c r="X1055" s="1585"/>
      <c r="Y1055" s="1585"/>
      <c r="Z1055" s="1585"/>
      <c r="AA1055" s="1585"/>
      <c r="AB1055" s="1585"/>
      <c r="AC1055" s="1585"/>
      <c r="AD1055" s="1585"/>
      <c r="AE1055" s="1585"/>
      <c r="AF1055" s="1585"/>
      <c r="AG1055" s="1585"/>
      <c r="AH1055" s="1585"/>
      <c r="AI1055" s="1585"/>
      <c r="AJ1055" s="1585"/>
      <c r="AK1055" s="1585"/>
    </row>
    <row r="1056" spans="1:97" ht="12.75" hidden="1" customHeight="1">
      <c r="A1056" s="76"/>
      <c r="B1056" s="80"/>
      <c r="C1056" s="541"/>
      <c r="D1056" s="1585"/>
      <c r="E1056" s="1585"/>
      <c r="F1056" s="1585"/>
      <c r="G1056" s="1585"/>
      <c r="H1056" s="1585"/>
      <c r="I1056" s="1585"/>
      <c r="J1056" s="1585"/>
      <c r="K1056" s="1585"/>
      <c r="L1056" s="1585"/>
      <c r="M1056" s="1585"/>
      <c r="N1056" s="1585"/>
      <c r="O1056" s="1585"/>
      <c r="P1056" s="1585"/>
      <c r="Q1056" s="1585"/>
      <c r="R1056" s="1585"/>
      <c r="S1056" s="1585"/>
      <c r="T1056" s="1585"/>
      <c r="U1056" s="1585"/>
      <c r="V1056" s="1585"/>
      <c r="W1056" s="1585"/>
      <c r="X1056" s="1585"/>
      <c r="Y1056" s="1585"/>
      <c r="Z1056" s="1585"/>
      <c r="AA1056" s="1585"/>
      <c r="AB1056" s="1585"/>
      <c r="AC1056" s="1585"/>
      <c r="AD1056" s="1585"/>
      <c r="AE1056" s="1585"/>
      <c r="AF1056" s="1585"/>
      <c r="AG1056" s="1585"/>
      <c r="AH1056" s="1585"/>
      <c r="AI1056" s="1585"/>
      <c r="AJ1056" s="1585"/>
      <c r="AK1056" s="1585"/>
    </row>
    <row r="1057" spans="1:38" ht="12.75" hidden="1" customHeight="1">
      <c r="D1057" s="1585"/>
      <c r="E1057" s="1585"/>
      <c r="F1057" s="1585"/>
      <c r="G1057" s="1585"/>
      <c r="H1057" s="1585"/>
      <c r="I1057" s="1585"/>
      <c r="J1057" s="1585"/>
      <c r="K1057" s="1585"/>
      <c r="L1057" s="1585"/>
      <c r="M1057" s="1585"/>
      <c r="N1057" s="1585"/>
      <c r="O1057" s="1585"/>
      <c r="P1057" s="1585"/>
      <c r="Q1057" s="1585"/>
      <c r="R1057" s="1585"/>
      <c r="S1057" s="1585"/>
      <c r="T1057" s="1585"/>
      <c r="U1057" s="1585"/>
      <c r="V1057" s="1585"/>
      <c r="W1057" s="1585"/>
      <c r="X1057" s="1585"/>
      <c r="Y1057" s="1585"/>
      <c r="Z1057" s="1585"/>
      <c r="AA1057" s="1585"/>
      <c r="AB1057" s="1585"/>
      <c r="AC1057" s="1585"/>
      <c r="AD1057" s="1585"/>
      <c r="AE1057" s="1585"/>
      <c r="AF1057" s="1585"/>
      <c r="AG1057" s="1585"/>
      <c r="AH1057" s="1585"/>
      <c r="AI1057" s="1585"/>
      <c r="AJ1057" s="1585"/>
      <c r="AK1057" s="1585"/>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20" priority="2" stopIfTrue="1" operator="equal">
      <formula>"Please Enter Amount:"</formula>
    </cfRule>
  </conditionalFormatting>
  <conditionalFormatting sqref="B1013 B1011">
    <cfRule type="cellIs" dxfId="119" priority="7" stopIfTrue="1" operator="equal">
      <formula>#N/A</formula>
    </cfRule>
  </conditionalFormatting>
  <conditionalFormatting sqref="AG434:AJ434">
    <cfRule type="expression" dxfId="118" priority="9" stopIfTrue="1">
      <formula>"iserror(d31)"</formula>
    </cfRule>
  </conditionalFormatting>
  <conditionalFormatting sqref="AF978">
    <cfRule type="cellIs" dxfId="117" priority="3" stopIfTrue="1" operator="equal">
      <formula>"Please Enter Amount:"</formula>
    </cfRule>
  </conditionalFormatting>
  <conditionalFormatting sqref="AF983">
    <cfRule type="cellIs" dxfId="116"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Normal="100" workbookViewId="0">
      <selection activeCell="F30" sqref="F30"/>
    </sheetView>
  </sheetViews>
  <sheetFormatPr defaultColWidth="8.88671875" defaultRowHeight="12" zeroHeight="1"/>
  <cols>
    <col min="1" max="1" width="32.5546875" style="744" customWidth="1"/>
    <col min="2" max="12" width="12.109375" style="742" customWidth="1"/>
    <col min="13" max="17" width="11.44140625" style="742" customWidth="1"/>
    <col min="18" max="18" width="12.5546875" style="742" customWidth="1"/>
    <col min="19" max="20" width="12.109375" style="742" customWidth="1"/>
    <col min="21" max="21" width="0.44140625" style="743" customWidth="1"/>
    <col min="22" max="16384" width="8.88671875" style="742"/>
  </cols>
  <sheetData>
    <row r="1" spans="1:21" s="312" customFormat="1" ht="13.8">
      <c r="A1" s="399" t="s">
        <v>145</v>
      </c>
      <c r="B1" s="352"/>
      <c r="C1" s="352"/>
      <c r="D1" s="352"/>
      <c r="E1" s="353"/>
      <c r="F1" s="2214" t="s">
        <v>200</v>
      </c>
      <c r="G1" s="2215"/>
      <c r="H1" s="2215"/>
      <c r="I1" s="2215"/>
      <c r="J1" s="2215"/>
      <c r="K1" s="2215"/>
      <c r="L1" s="2215"/>
      <c r="M1" s="2215"/>
      <c r="N1" s="2215"/>
      <c r="O1" s="2215"/>
      <c r="P1" s="2215"/>
      <c r="Q1" s="2215"/>
      <c r="R1" s="2216"/>
      <c r="S1" s="314"/>
      <c r="T1" s="313"/>
      <c r="U1" s="315"/>
    </row>
    <row r="2" spans="1:21" s="362" customFormat="1" ht="60" customHeight="1">
      <c r="A2" s="361"/>
      <c r="B2" s="362" t="s">
        <v>868</v>
      </c>
      <c r="C2" s="362" t="s">
        <v>562</v>
      </c>
      <c r="D2" s="432" t="s">
        <v>561</v>
      </c>
      <c r="E2" s="362" t="s">
        <v>869</v>
      </c>
      <c r="F2" s="363" t="str">
        <f>Application!B632&amp;Application!C632</f>
        <v>1)Permanent Loan - Chase</v>
      </c>
      <c r="G2" s="363" t="str">
        <f>Application!B633&amp;Application!C633</f>
        <v>2)City of San Marcos Roll Over</v>
      </c>
      <c r="H2" s="363" t="str">
        <f>Application!B634&amp;Application!C634</f>
        <v>3)City of San Marcos Accrued Interest</v>
      </c>
      <c r="I2" s="363" t="str">
        <f>Application!B635&amp;Application!C635</f>
        <v>4)City of San Marcos Predevelopment</v>
      </c>
      <c r="J2" s="363" t="str">
        <f>Application!B636&amp;Application!C636</f>
        <v>5)City of San Marcos Loan</v>
      </c>
      <c r="K2" s="363" t="str">
        <f>Application!B637&amp;Application!C637</f>
        <v>6)County of San Diego - HOME</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ht="11.4">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2">
      <c r="A4" s="464" t="s">
        <v>74</v>
      </c>
      <c r="B4" s="370">
        <f>SUM(C4+D4)</f>
        <v>2580000</v>
      </c>
      <c r="C4" s="371">
        <f>5326572-C14</f>
        <v>2580000</v>
      </c>
      <c r="D4" s="371"/>
      <c r="E4" s="371"/>
      <c r="F4" s="371"/>
      <c r="G4" s="371">
        <f>C4</f>
        <v>2580000</v>
      </c>
      <c r="H4" s="371"/>
      <c r="I4" s="371"/>
      <c r="J4" s="371"/>
      <c r="K4" s="371"/>
      <c r="L4" s="371"/>
      <c r="M4" s="371"/>
      <c r="N4" s="371"/>
      <c r="O4" s="371"/>
      <c r="P4" s="371"/>
      <c r="Q4" s="371"/>
      <c r="R4" s="371">
        <f>SUM(E4:Q4)</f>
        <v>2580000</v>
      </c>
      <c r="S4" s="372"/>
      <c r="T4" s="372"/>
      <c r="U4" s="367"/>
    </row>
    <row r="5" spans="1:21" s="368" customFormat="1" ht="13.2">
      <c r="A5" s="464" t="s">
        <v>75</v>
      </c>
      <c r="B5" s="370">
        <f>SUM(C5+D5)</f>
        <v>429515</v>
      </c>
      <c r="C5" s="371">
        <f>429517-2</f>
        <v>429515</v>
      </c>
      <c r="D5" s="371"/>
      <c r="E5" s="371"/>
      <c r="F5" s="371">
        <f>C5</f>
        <v>429515</v>
      </c>
      <c r="G5" s="371"/>
      <c r="H5" s="371"/>
      <c r="I5" s="371"/>
      <c r="J5" s="371"/>
      <c r="K5" s="371"/>
      <c r="L5" s="371"/>
      <c r="M5" s="371"/>
      <c r="N5" s="371"/>
      <c r="O5" s="371"/>
      <c r="P5" s="371"/>
      <c r="Q5" s="371"/>
      <c r="R5" s="371">
        <f t="shared" ref="R5:R7" si="0">SUM(E5:Q5)</f>
        <v>429515</v>
      </c>
      <c r="S5" s="372"/>
      <c r="T5" s="372"/>
      <c r="U5" s="367"/>
    </row>
    <row r="6" spans="1:21" s="368" customFormat="1" ht="11.4">
      <c r="A6" s="369" t="s">
        <v>381</v>
      </c>
      <c r="B6" s="370">
        <f>SUM(C6+D6)</f>
        <v>0</v>
      </c>
      <c r="C6" s="371"/>
      <c r="D6" s="371"/>
      <c r="E6" s="371"/>
      <c r="F6" s="371"/>
      <c r="G6" s="371"/>
      <c r="H6" s="371"/>
      <c r="I6" s="371"/>
      <c r="J6" s="371"/>
      <c r="K6" s="371"/>
      <c r="L6" s="371"/>
      <c r="M6" s="371"/>
      <c r="N6" s="371"/>
      <c r="O6" s="371"/>
      <c r="P6" s="371"/>
      <c r="Q6" s="371"/>
      <c r="R6" s="371">
        <f t="shared" si="0"/>
        <v>0</v>
      </c>
      <c r="S6" s="372"/>
      <c r="T6" s="372"/>
      <c r="U6" s="367"/>
    </row>
    <row r="7" spans="1:21" s="368" customFormat="1" ht="11.4">
      <c r="A7" s="369" t="s">
        <v>309</v>
      </c>
      <c r="B7" s="370">
        <f>SUM(C7+D7)</f>
        <v>0</v>
      </c>
      <c r="C7" s="371"/>
      <c r="D7" s="371"/>
      <c r="E7" s="371"/>
      <c r="F7" s="371"/>
      <c r="G7" s="371"/>
      <c r="H7" s="371"/>
      <c r="I7" s="371"/>
      <c r="J7" s="371"/>
      <c r="K7" s="371"/>
      <c r="L7" s="371"/>
      <c r="M7" s="371"/>
      <c r="N7" s="371"/>
      <c r="O7" s="371"/>
      <c r="P7" s="371"/>
      <c r="Q7" s="371"/>
      <c r="R7" s="371">
        <f t="shared" si="0"/>
        <v>0</v>
      </c>
      <c r="S7" s="372"/>
      <c r="T7" s="372"/>
      <c r="U7" s="367"/>
    </row>
    <row r="8" spans="1:21" s="368" customFormat="1" ht="13.8">
      <c r="A8" s="465" t="s">
        <v>766</v>
      </c>
      <c r="B8" s="370">
        <f>SUM(C8:D8)</f>
        <v>3009515</v>
      </c>
      <c r="C8" s="370">
        <f t="shared" ref="C8:R8" si="1">SUM(C4:C7)</f>
        <v>3009515</v>
      </c>
      <c r="D8" s="370">
        <f t="shared" si="1"/>
        <v>0</v>
      </c>
      <c r="E8" s="370">
        <f t="shared" si="1"/>
        <v>0</v>
      </c>
      <c r="F8" s="370">
        <f t="shared" si="1"/>
        <v>429515</v>
      </c>
      <c r="G8" s="370">
        <f t="shared" si="1"/>
        <v>2580000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3009515</v>
      </c>
      <c r="S8" s="372"/>
      <c r="T8" s="372"/>
      <c r="U8" s="367"/>
    </row>
    <row r="9" spans="1:21" s="368" customFormat="1" ht="11.4">
      <c r="A9" s="369" t="s">
        <v>1884</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2">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0</v>
      </c>
      <c r="C11" s="370">
        <f t="shared" ref="C11:T11" si="2">SUM(C9:C10)</f>
        <v>0</v>
      </c>
      <c r="D11" s="370">
        <f t="shared" si="2"/>
        <v>0</v>
      </c>
      <c r="E11" s="370">
        <f t="shared" si="2"/>
        <v>0</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0</v>
      </c>
      <c r="S11" s="372"/>
      <c r="T11" s="370">
        <f t="shared" si="2"/>
        <v>0</v>
      </c>
      <c r="U11" s="367"/>
    </row>
    <row r="12" spans="1:21" s="368" customFormat="1">
      <c r="A12" s="373" t="s">
        <v>773</v>
      </c>
      <c r="B12" s="370">
        <f t="shared" ref="B12:R12" si="3">SUM(B8+B11)</f>
        <v>3009515</v>
      </c>
      <c r="C12" s="370">
        <f t="shared" si="3"/>
        <v>3009515</v>
      </c>
      <c r="D12" s="370">
        <f t="shared" si="3"/>
        <v>0</v>
      </c>
      <c r="E12" s="370">
        <f t="shared" si="3"/>
        <v>0</v>
      </c>
      <c r="F12" s="370">
        <f t="shared" si="3"/>
        <v>429515</v>
      </c>
      <c r="G12" s="370">
        <f t="shared" si="3"/>
        <v>2580000</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3009515</v>
      </c>
      <c r="S12" s="372"/>
      <c r="T12" s="372"/>
      <c r="U12" s="367"/>
    </row>
    <row r="13" spans="1:21" s="368" customFormat="1" ht="11.4">
      <c r="A13" s="699" t="s">
        <v>1198</v>
      </c>
      <c r="B13" s="370">
        <f>SUM(C13+D13)</f>
        <v>260191</v>
      </c>
      <c r="C13" s="371">
        <v>260191</v>
      </c>
      <c r="D13" s="371"/>
      <c r="E13" s="371"/>
      <c r="F13" s="371">
        <f>C13</f>
        <v>260191</v>
      </c>
      <c r="G13" s="371"/>
      <c r="H13" s="371"/>
      <c r="I13" s="371"/>
      <c r="J13" s="371"/>
      <c r="K13" s="371"/>
      <c r="L13" s="371"/>
      <c r="M13" s="371"/>
      <c r="N13" s="371"/>
      <c r="O13" s="371"/>
      <c r="P13" s="371"/>
      <c r="Q13" s="371"/>
      <c r="R13" s="371">
        <f>SUM(E13:Q13)</f>
        <v>260191</v>
      </c>
      <c r="S13" s="371"/>
      <c r="T13" s="371"/>
      <c r="U13" s="367"/>
    </row>
    <row r="14" spans="1:21" s="368" customFormat="1" ht="22.8">
      <c r="A14" s="700" t="s">
        <v>1233</v>
      </c>
      <c r="B14" s="370">
        <f>SUM(C14+D14)</f>
        <v>2746572</v>
      </c>
      <c r="C14" s="371">
        <v>2746572</v>
      </c>
      <c r="D14" s="371"/>
      <c r="E14" s="371"/>
      <c r="F14" s="371"/>
      <c r="G14" s="371"/>
      <c r="H14" s="371">
        <f>C14</f>
        <v>2746572</v>
      </c>
      <c r="I14" s="371"/>
      <c r="J14" s="371"/>
      <c r="K14" s="371"/>
      <c r="L14" s="371"/>
      <c r="M14" s="371"/>
      <c r="N14" s="371"/>
      <c r="O14" s="371"/>
      <c r="P14" s="371"/>
      <c r="Q14" s="371"/>
      <c r="R14" s="371">
        <f t="shared" ref="R14:R15" si="4">SUM(E14:Q14)</f>
        <v>2746572</v>
      </c>
      <c r="S14" s="371"/>
      <c r="T14" s="371"/>
      <c r="U14" s="367"/>
    </row>
    <row r="15" spans="1:21" s="368" customFormat="1" ht="11.4">
      <c r="A15" s="700" t="s">
        <v>1840</v>
      </c>
      <c r="B15" s="370">
        <f>SUM(C15+D15)</f>
        <v>0</v>
      </c>
      <c r="C15" s="371"/>
      <c r="D15" s="371"/>
      <c r="E15" s="371"/>
      <c r="F15" s="371"/>
      <c r="G15" s="371"/>
      <c r="H15" s="371"/>
      <c r="I15" s="371"/>
      <c r="J15" s="371"/>
      <c r="K15" s="371"/>
      <c r="L15" s="371"/>
      <c r="M15" s="371"/>
      <c r="N15" s="371"/>
      <c r="O15" s="371"/>
      <c r="P15" s="371"/>
      <c r="Q15" s="371"/>
      <c r="R15" s="371">
        <f t="shared" si="4"/>
        <v>0</v>
      </c>
      <c r="S15" s="372"/>
      <c r="T15" s="372"/>
      <c r="U15" s="367"/>
    </row>
    <row r="16" spans="1:21" s="368" customFormat="1" ht="11.4">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993</v>
      </c>
      <c r="B17" s="370">
        <f t="shared" ref="B17:B27" si="5">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994</v>
      </c>
      <c r="B18" s="370">
        <f t="shared" si="5"/>
        <v>0</v>
      </c>
      <c r="C18" s="371"/>
      <c r="D18" s="371"/>
      <c r="E18" s="371"/>
      <c r="F18" s="371"/>
      <c r="G18" s="371"/>
      <c r="H18" s="371"/>
      <c r="I18" s="371"/>
      <c r="J18" s="371"/>
      <c r="K18" s="371"/>
      <c r="L18" s="371"/>
      <c r="M18" s="371"/>
      <c r="N18" s="371"/>
      <c r="O18" s="371"/>
      <c r="P18" s="371"/>
      <c r="Q18" s="371"/>
      <c r="R18" s="371">
        <f t="shared" ref="R18:R25" si="6">SUM(E18:Q18)</f>
        <v>0</v>
      </c>
      <c r="S18" s="371"/>
      <c r="T18" s="371"/>
      <c r="U18" s="367"/>
    </row>
    <row r="19" spans="1:21" s="368" customFormat="1" ht="11.4">
      <c r="A19" s="369" t="s">
        <v>995</v>
      </c>
      <c r="B19" s="370">
        <f t="shared" si="5"/>
        <v>0</v>
      </c>
      <c r="C19" s="371"/>
      <c r="D19" s="371"/>
      <c r="E19" s="371"/>
      <c r="F19" s="371"/>
      <c r="G19" s="371"/>
      <c r="H19" s="371"/>
      <c r="I19" s="371"/>
      <c r="J19" s="371"/>
      <c r="K19" s="371"/>
      <c r="L19" s="371"/>
      <c r="M19" s="371"/>
      <c r="N19" s="371"/>
      <c r="O19" s="371"/>
      <c r="P19" s="371"/>
      <c r="Q19" s="371"/>
      <c r="R19" s="371">
        <f t="shared" si="6"/>
        <v>0</v>
      </c>
      <c r="S19" s="371"/>
      <c r="T19" s="371"/>
      <c r="U19" s="367"/>
    </row>
    <row r="20" spans="1:21" s="368" customFormat="1" ht="11.4">
      <c r="A20" s="369" t="s">
        <v>996</v>
      </c>
      <c r="B20" s="370">
        <f t="shared" si="5"/>
        <v>0</v>
      </c>
      <c r="C20" s="371"/>
      <c r="D20" s="371"/>
      <c r="E20" s="371"/>
      <c r="F20" s="371"/>
      <c r="G20" s="371"/>
      <c r="H20" s="371"/>
      <c r="I20" s="371"/>
      <c r="J20" s="371"/>
      <c r="K20" s="371"/>
      <c r="L20" s="371"/>
      <c r="M20" s="371"/>
      <c r="N20" s="371"/>
      <c r="O20" s="371"/>
      <c r="P20" s="371"/>
      <c r="Q20" s="371"/>
      <c r="R20" s="371">
        <f t="shared" si="6"/>
        <v>0</v>
      </c>
      <c r="S20" s="371"/>
      <c r="T20" s="371"/>
      <c r="U20" s="367"/>
    </row>
    <row r="21" spans="1:21" s="368" customFormat="1" ht="11.4">
      <c r="A21" s="369" t="s">
        <v>997</v>
      </c>
      <c r="B21" s="370">
        <f t="shared" si="5"/>
        <v>0</v>
      </c>
      <c r="C21" s="371"/>
      <c r="D21" s="371"/>
      <c r="E21" s="371"/>
      <c r="F21" s="371"/>
      <c r="G21" s="371"/>
      <c r="H21" s="371"/>
      <c r="I21" s="371"/>
      <c r="J21" s="371"/>
      <c r="K21" s="371"/>
      <c r="L21" s="371"/>
      <c r="M21" s="371"/>
      <c r="N21" s="371"/>
      <c r="O21" s="371"/>
      <c r="P21" s="371"/>
      <c r="Q21" s="371"/>
      <c r="R21" s="371">
        <f t="shared" si="6"/>
        <v>0</v>
      </c>
      <c r="S21" s="371"/>
      <c r="T21" s="371"/>
      <c r="U21" s="367"/>
    </row>
    <row r="22" spans="1:21" s="368" customFormat="1" ht="11.4">
      <c r="A22" s="369" t="s">
        <v>998</v>
      </c>
      <c r="B22" s="370">
        <f t="shared" si="5"/>
        <v>0</v>
      </c>
      <c r="C22" s="371"/>
      <c r="D22" s="371"/>
      <c r="E22" s="371"/>
      <c r="F22" s="371"/>
      <c r="G22" s="371"/>
      <c r="H22" s="371"/>
      <c r="I22" s="371"/>
      <c r="J22" s="371"/>
      <c r="K22" s="371"/>
      <c r="L22" s="371"/>
      <c r="M22" s="371"/>
      <c r="N22" s="371"/>
      <c r="O22" s="371"/>
      <c r="P22" s="371"/>
      <c r="Q22" s="371"/>
      <c r="R22" s="371">
        <f t="shared" si="6"/>
        <v>0</v>
      </c>
      <c r="S22" s="371"/>
      <c r="T22" s="371"/>
      <c r="U22" s="367"/>
    </row>
    <row r="23" spans="1:21" s="368" customFormat="1" ht="11.4">
      <c r="A23" s="369" t="s">
        <v>999</v>
      </c>
      <c r="B23" s="370">
        <f t="shared" si="5"/>
        <v>0</v>
      </c>
      <c r="C23" s="371"/>
      <c r="D23" s="371"/>
      <c r="E23" s="371"/>
      <c r="F23" s="371"/>
      <c r="G23" s="371"/>
      <c r="H23" s="371"/>
      <c r="I23" s="371"/>
      <c r="J23" s="371"/>
      <c r="K23" s="371"/>
      <c r="L23" s="371"/>
      <c r="M23" s="371"/>
      <c r="N23" s="371"/>
      <c r="O23" s="371"/>
      <c r="P23" s="371"/>
      <c r="Q23" s="371"/>
      <c r="R23" s="371">
        <f t="shared" si="6"/>
        <v>0</v>
      </c>
      <c r="S23" s="371"/>
      <c r="T23" s="371"/>
      <c r="U23" s="367"/>
    </row>
    <row r="24" spans="1:21" s="368" customFormat="1" ht="11.4">
      <c r="A24" s="380" t="s">
        <v>2163</v>
      </c>
      <c r="B24" s="370">
        <f t="shared" si="5"/>
        <v>0</v>
      </c>
      <c r="C24" s="371"/>
      <c r="D24" s="371"/>
      <c r="E24" s="371"/>
      <c r="F24" s="371"/>
      <c r="G24" s="371"/>
      <c r="H24" s="371"/>
      <c r="I24" s="371"/>
      <c r="J24" s="371"/>
      <c r="K24" s="371"/>
      <c r="L24" s="371"/>
      <c r="M24" s="371"/>
      <c r="N24" s="371"/>
      <c r="O24" s="371"/>
      <c r="P24" s="371"/>
      <c r="Q24" s="371"/>
      <c r="R24" s="371">
        <f t="shared" si="6"/>
        <v>0</v>
      </c>
      <c r="S24" s="371"/>
      <c r="T24" s="371"/>
      <c r="U24" s="367"/>
    </row>
    <row r="25" spans="1:21" s="368" customFormat="1" ht="11.4">
      <c r="A25" s="376" t="s">
        <v>2425</v>
      </c>
      <c r="B25" s="370">
        <f t="shared" si="5"/>
        <v>0</v>
      </c>
      <c r="C25" s="371"/>
      <c r="D25" s="371"/>
      <c r="E25" s="371"/>
      <c r="F25" s="371"/>
      <c r="G25" s="371"/>
      <c r="H25" s="371"/>
      <c r="I25" s="371"/>
      <c r="J25" s="371"/>
      <c r="K25" s="371"/>
      <c r="L25" s="371"/>
      <c r="M25" s="371"/>
      <c r="N25" s="371"/>
      <c r="O25" s="371"/>
      <c r="P25" s="371"/>
      <c r="Q25" s="371"/>
      <c r="R25" s="371">
        <f t="shared" si="6"/>
        <v>0</v>
      </c>
      <c r="S25" s="371"/>
      <c r="T25" s="371"/>
      <c r="U25" s="367"/>
    </row>
    <row r="26" spans="1:21" s="368" customFormat="1">
      <c r="A26" s="373" t="s">
        <v>247</v>
      </c>
      <c r="B26" s="370">
        <f t="shared" si="5"/>
        <v>0</v>
      </c>
      <c r="C26" s="370">
        <f>SUM(C17:C25)</f>
        <v>0</v>
      </c>
      <c r="D26" s="370">
        <f>SUM(D17:D25)</f>
        <v>0</v>
      </c>
      <c r="E26" s="370">
        <f>SUM(E17:E25)</f>
        <v>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0</v>
      </c>
      <c r="S26" s="374">
        <f t="shared" si="7"/>
        <v>0</v>
      </c>
      <c r="T26" s="374">
        <f t="shared" si="7"/>
        <v>0</v>
      </c>
      <c r="U26" s="367"/>
    </row>
    <row r="27" spans="1:21" s="368" customFormat="1">
      <c r="A27" s="373" t="s">
        <v>1000</v>
      </c>
      <c r="B27" s="370">
        <f t="shared" si="5"/>
        <v>3445000</v>
      </c>
      <c r="C27" s="371">
        <v>3445000</v>
      </c>
      <c r="D27" s="371"/>
      <c r="E27" s="371"/>
      <c r="F27" s="371">
        <f>C27</f>
        <v>3445000</v>
      </c>
      <c r="G27" s="371"/>
      <c r="H27" s="371"/>
      <c r="I27" s="371"/>
      <c r="J27" s="371"/>
      <c r="K27" s="371"/>
      <c r="L27" s="371"/>
      <c r="M27" s="371"/>
      <c r="N27" s="371"/>
      <c r="O27" s="371"/>
      <c r="P27" s="371"/>
      <c r="Q27" s="371"/>
      <c r="R27" s="371">
        <f>SUM(E27:Q27)</f>
        <v>3445000</v>
      </c>
      <c r="S27" s="371"/>
      <c r="T27" s="371"/>
      <c r="U27" s="367"/>
    </row>
    <row r="28" spans="1:21" s="368" customFormat="1" ht="11.4">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993</v>
      </c>
      <c r="B29" s="370">
        <f t="shared" ref="B29:B37" si="8">SUM(C29+D29)</f>
        <v>3032744</v>
      </c>
      <c r="C29" s="371">
        <v>3032744</v>
      </c>
      <c r="D29" s="371"/>
      <c r="E29" s="371">
        <f>C29-F29</f>
        <v>2100029</v>
      </c>
      <c r="F29" s="371">
        <f>349100+583615</f>
        <v>932715</v>
      </c>
      <c r="G29" s="371"/>
      <c r="H29" s="371"/>
      <c r="I29" s="371"/>
      <c r="J29" s="371"/>
      <c r="K29" s="371"/>
      <c r="L29" s="371"/>
      <c r="M29" s="371"/>
      <c r="N29" s="371"/>
      <c r="O29" s="371"/>
      <c r="P29" s="371"/>
      <c r="Q29" s="371"/>
      <c r="R29" s="371">
        <f>SUM(E29:Q29)</f>
        <v>3032744</v>
      </c>
      <c r="S29" s="371">
        <f>R29</f>
        <v>3032744</v>
      </c>
      <c r="T29" s="371"/>
      <c r="U29" s="367"/>
    </row>
    <row r="30" spans="1:21" s="368" customFormat="1" ht="11.4">
      <c r="A30" s="369" t="s">
        <v>994</v>
      </c>
      <c r="B30" s="370">
        <f t="shared" si="8"/>
        <v>17741107</v>
      </c>
      <c r="C30" s="371">
        <v>17741107</v>
      </c>
      <c r="D30" s="371"/>
      <c r="E30" s="371">
        <v>16436517</v>
      </c>
      <c r="F30" s="371">
        <f>C30-E30-J30</f>
        <v>922099</v>
      </c>
      <c r="G30" s="371"/>
      <c r="H30" s="371"/>
      <c r="I30" s="371"/>
      <c r="J30" s="371">
        <f>382491</f>
        <v>382491</v>
      </c>
      <c r="K30" s="371"/>
      <c r="L30" s="371"/>
      <c r="M30" s="371"/>
      <c r="N30" s="371"/>
      <c r="O30" s="371"/>
      <c r="P30" s="371"/>
      <c r="Q30" s="371"/>
      <c r="R30" s="371">
        <f t="shared" ref="R30:R37" si="9">SUM(E30:Q30)</f>
        <v>17741107</v>
      </c>
      <c r="S30" s="371">
        <f t="shared" ref="S30:S33" si="10">R30</f>
        <v>17741107</v>
      </c>
      <c r="T30" s="371"/>
      <c r="U30" s="367"/>
    </row>
    <row r="31" spans="1:21" s="368" customFormat="1" ht="11.4">
      <c r="A31" s="369" t="s">
        <v>995</v>
      </c>
      <c r="B31" s="370">
        <f t="shared" si="8"/>
        <v>1497424</v>
      </c>
      <c r="C31" s="371">
        <v>1497424</v>
      </c>
      <c r="D31" s="371"/>
      <c r="E31" s="371"/>
      <c r="F31" s="371">
        <f>C31</f>
        <v>1497424</v>
      </c>
      <c r="G31" s="371"/>
      <c r="H31" s="371"/>
      <c r="I31" s="371"/>
      <c r="J31" s="371"/>
      <c r="K31" s="371"/>
      <c r="L31" s="371"/>
      <c r="M31" s="371"/>
      <c r="N31" s="371"/>
      <c r="O31" s="371"/>
      <c r="P31" s="371"/>
      <c r="Q31" s="371"/>
      <c r="R31" s="371">
        <f t="shared" si="9"/>
        <v>1497424</v>
      </c>
      <c r="S31" s="371">
        <f t="shared" si="10"/>
        <v>1497424</v>
      </c>
      <c r="T31" s="371"/>
      <c r="U31" s="367"/>
    </row>
    <row r="32" spans="1:21" s="368" customFormat="1" ht="11.4">
      <c r="A32" s="369" t="s">
        <v>996</v>
      </c>
      <c r="B32" s="370">
        <f t="shared" si="8"/>
        <v>0</v>
      </c>
      <c r="C32" s="371"/>
      <c r="D32" s="371"/>
      <c r="E32" s="371"/>
      <c r="F32" s="371"/>
      <c r="G32" s="371"/>
      <c r="H32" s="371"/>
      <c r="I32" s="371"/>
      <c r="J32" s="371"/>
      <c r="K32" s="371"/>
      <c r="L32" s="371"/>
      <c r="M32" s="371"/>
      <c r="N32" s="371"/>
      <c r="O32" s="371"/>
      <c r="P32" s="371"/>
      <c r="Q32" s="371"/>
      <c r="R32" s="371">
        <f t="shared" si="9"/>
        <v>0</v>
      </c>
      <c r="S32" s="371">
        <f t="shared" si="10"/>
        <v>0</v>
      </c>
      <c r="T32" s="371"/>
      <c r="U32" s="367"/>
    </row>
    <row r="33" spans="1:21" s="368" customFormat="1" ht="11.4">
      <c r="A33" s="369" t="s">
        <v>997</v>
      </c>
      <c r="B33" s="370">
        <f t="shared" si="8"/>
        <v>425596</v>
      </c>
      <c r="C33" s="371">
        <v>425596</v>
      </c>
      <c r="D33" s="371"/>
      <c r="E33" s="371"/>
      <c r="F33" s="371"/>
      <c r="G33" s="371"/>
      <c r="H33" s="371"/>
      <c r="I33" s="371"/>
      <c r="J33" s="371">
        <f>C33</f>
        <v>425596</v>
      </c>
      <c r="K33" s="371"/>
      <c r="L33" s="371"/>
      <c r="M33" s="371"/>
      <c r="N33" s="371"/>
      <c r="O33" s="371"/>
      <c r="P33" s="371"/>
      <c r="Q33" s="371"/>
      <c r="R33" s="371">
        <f t="shared" si="9"/>
        <v>425596</v>
      </c>
      <c r="S33" s="371">
        <f t="shared" si="10"/>
        <v>425596</v>
      </c>
      <c r="T33" s="371"/>
      <c r="U33" s="367"/>
    </row>
    <row r="34" spans="1:21" s="368" customFormat="1" ht="11.4">
      <c r="A34" s="369" t="s">
        <v>998</v>
      </c>
      <c r="B34" s="370">
        <f t="shared" si="8"/>
        <v>5290000</v>
      </c>
      <c r="C34" s="371">
        <v>5290000</v>
      </c>
      <c r="D34" s="371"/>
      <c r="E34" s="371">
        <f>C34-F34-I34-J34</f>
        <v>1979037</v>
      </c>
      <c r="F34" s="371">
        <f>2746572-H34</f>
        <v>2746572</v>
      </c>
      <c r="G34" s="371"/>
      <c r="H34" s="371"/>
      <c r="I34" s="371">
        <v>550000</v>
      </c>
      <c r="J34" s="371">
        <v>14391</v>
      </c>
      <c r="K34" s="371"/>
      <c r="L34" s="371"/>
      <c r="M34" s="371"/>
      <c r="N34" s="371"/>
      <c r="O34" s="371"/>
      <c r="P34" s="371"/>
      <c r="Q34" s="371"/>
      <c r="R34" s="371">
        <f t="shared" si="9"/>
        <v>5290000</v>
      </c>
      <c r="S34" s="371">
        <f>R34</f>
        <v>5290000</v>
      </c>
      <c r="T34" s="371"/>
      <c r="U34" s="367"/>
    </row>
    <row r="35" spans="1:21" s="368" customFormat="1" ht="11.4">
      <c r="A35" s="369" t="s">
        <v>999</v>
      </c>
      <c r="B35" s="370">
        <f t="shared" si="8"/>
        <v>313129</v>
      </c>
      <c r="C35" s="371">
        <v>313129</v>
      </c>
      <c r="D35" s="371"/>
      <c r="E35" s="371"/>
      <c r="F35" s="371"/>
      <c r="G35" s="371"/>
      <c r="H35" s="371"/>
      <c r="I35" s="371"/>
      <c r="J35" s="371">
        <f>C35</f>
        <v>313129</v>
      </c>
      <c r="K35" s="371"/>
      <c r="L35" s="371"/>
      <c r="M35" s="371"/>
      <c r="N35" s="371"/>
      <c r="O35" s="371"/>
      <c r="P35" s="371"/>
      <c r="Q35" s="371"/>
      <c r="R35" s="371">
        <f t="shared" si="9"/>
        <v>313129</v>
      </c>
      <c r="S35" s="371">
        <f t="shared" ref="S35:S37" si="11">R35</f>
        <v>313129</v>
      </c>
      <c r="T35" s="371"/>
      <c r="U35" s="367"/>
    </row>
    <row r="36" spans="1:21" s="368" customFormat="1" ht="11.4">
      <c r="A36" s="380" t="s">
        <v>2163</v>
      </c>
      <c r="B36" s="370">
        <f t="shared" si="8"/>
        <v>0</v>
      </c>
      <c r="C36" s="371"/>
      <c r="D36" s="371"/>
      <c r="E36" s="371"/>
      <c r="F36" s="371"/>
      <c r="G36" s="371"/>
      <c r="H36" s="371"/>
      <c r="I36" s="371"/>
      <c r="J36" s="371"/>
      <c r="K36" s="371"/>
      <c r="L36" s="371"/>
      <c r="M36" s="371"/>
      <c r="N36" s="371"/>
      <c r="O36" s="371"/>
      <c r="P36" s="371"/>
      <c r="Q36" s="371"/>
      <c r="R36" s="371">
        <f t="shared" si="9"/>
        <v>0</v>
      </c>
      <c r="S36" s="371">
        <f t="shared" si="11"/>
        <v>0</v>
      </c>
      <c r="T36" s="371"/>
      <c r="U36" s="367"/>
    </row>
    <row r="37" spans="1:21" s="368" customFormat="1" ht="11.4">
      <c r="A37" s="376" t="s">
        <v>2425</v>
      </c>
      <c r="B37" s="370">
        <f t="shared" si="8"/>
        <v>500000</v>
      </c>
      <c r="C37" s="371">
        <v>500000</v>
      </c>
      <c r="D37" s="371"/>
      <c r="E37" s="371"/>
      <c r="F37" s="371"/>
      <c r="G37" s="371"/>
      <c r="H37" s="371"/>
      <c r="I37" s="371"/>
      <c r="J37" s="371">
        <f>C37</f>
        <v>500000</v>
      </c>
      <c r="K37" s="371"/>
      <c r="L37" s="371"/>
      <c r="M37" s="371"/>
      <c r="N37" s="371"/>
      <c r="O37" s="371"/>
      <c r="P37" s="371"/>
      <c r="Q37" s="371"/>
      <c r="R37" s="371">
        <f t="shared" si="9"/>
        <v>500000</v>
      </c>
      <c r="S37" s="371">
        <f t="shared" si="11"/>
        <v>500000</v>
      </c>
      <c r="T37" s="371"/>
      <c r="U37" s="367"/>
    </row>
    <row r="38" spans="1:21" s="368" customFormat="1">
      <c r="A38" s="373" t="s">
        <v>1002</v>
      </c>
      <c r="B38" s="370">
        <f t="shared" ref="B38" si="12">SUM(C38+D38)</f>
        <v>28800000</v>
      </c>
      <c r="C38" s="370">
        <f>SUM(C29:C37)</f>
        <v>28800000</v>
      </c>
      <c r="D38" s="370">
        <f>SUM(D29:D37)</f>
        <v>0</v>
      </c>
      <c r="E38" s="370">
        <f>SUM(E29:E37)</f>
        <v>20515583</v>
      </c>
      <c r="F38" s="370">
        <f t="shared" ref="F38:T38" si="13">SUM(F29:F37)</f>
        <v>6098810</v>
      </c>
      <c r="G38" s="370">
        <f t="shared" si="13"/>
        <v>0</v>
      </c>
      <c r="H38" s="370">
        <f t="shared" si="13"/>
        <v>0</v>
      </c>
      <c r="I38" s="370">
        <f t="shared" si="13"/>
        <v>550000</v>
      </c>
      <c r="J38" s="370">
        <f t="shared" si="13"/>
        <v>1635607</v>
      </c>
      <c r="K38" s="370">
        <f t="shared" si="13"/>
        <v>0</v>
      </c>
      <c r="L38" s="370">
        <f t="shared" si="13"/>
        <v>0</v>
      </c>
      <c r="M38" s="370">
        <f t="shared" si="13"/>
        <v>0</v>
      </c>
      <c r="N38" s="370">
        <f t="shared" si="13"/>
        <v>0</v>
      </c>
      <c r="O38" s="370">
        <f t="shared" si="13"/>
        <v>0</v>
      </c>
      <c r="P38" s="370">
        <f t="shared" si="13"/>
        <v>0</v>
      </c>
      <c r="Q38" s="370">
        <f t="shared" si="13"/>
        <v>0</v>
      </c>
      <c r="R38" s="370">
        <f t="shared" si="13"/>
        <v>28800000</v>
      </c>
      <c r="S38" s="374">
        <f t="shared" si="13"/>
        <v>28800000</v>
      </c>
      <c r="T38" s="374">
        <f t="shared" si="13"/>
        <v>0</v>
      </c>
      <c r="U38" s="367"/>
    </row>
    <row r="39" spans="1:21" s="368" customFormat="1" ht="11.4">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1004</v>
      </c>
      <c r="B40" s="370">
        <f>SUM(C40+D40)</f>
        <v>919135</v>
      </c>
      <c r="C40" s="371">
        <v>919135</v>
      </c>
      <c r="D40" s="371"/>
      <c r="E40" s="371"/>
      <c r="F40" s="371">
        <f>C40</f>
        <v>919135</v>
      </c>
      <c r="G40" s="371"/>
      <c r="H40" s="371"/>
      <c r="I40" s="371"/>
      <c r="J40" s="371"/>
      <c r="K40" s="371"/>
      <c r="L40" s="371"/>
      <c r="M40" s="371"/>
      <c r="N40" s="371"/>
      <c r="O40" s="371"/>
      <c r="P40" s="371"/>
      <c r="Q40" s="371"/>
      <c r="R40" s="371">
        <f>SUM(E40:Q40)</f>
        <v>919135</v>
      </c>
      <c r="S40" s="371">
        <f>R40</f>
        <v>919135</v>
      </c>
      <c r="T40" s="371"/>
      <c r="U40" s="367"/>
    </row>
    <row r="41" spans="1:21" s="368" customFormat="1" ht="11.4">
      <c r="A41" s="369" t="s">
        <v>1005</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1006</v>
      </c>
      <c r="B42" s="370">
        <f>SUM(C42:D42)</f>
        <v>919135</v>
      </c>
      <c r="C42" s="370">
        <f>SUM(C39:C41)</f>
        <v>919135</v>
      </c>
      <c r="D42" s="370">
        <f>SUM(D39:D41)</f>
        <v>0</v>
      </c>
      <c r="E42" s="370">
        <f t="shared" ref="E42:T42" si="14">SUM(E40:E41)</f>
        <v>0</v>
      </c>
      <c r="F42" s="370">
        <f t="shared" si="14"/>
        <v>919135</v>
      </c>
      <c r="G42" s="370">
        <f t="shared" si="14"/>
        <v>0</v>
      </c>
      <c r="H42" s="370">
        <f t="shared" si="14"/>
        <v>0</v>
      </c>
      <c r="I42" s="370">
        <f t="shared" si="14"/>
        <v>0</v>
      </c>
      <c r="J42" s="370">
        <f t="shared" si="14"/>
        <v>0</v>
      </c>
      <c r="K42" s="370">
        <f t="shared" si="14"/>
        <v>0</v>
      </c>
      <c r="L42" s="370">
        <f t="shared" si="14"/>
        <v>0</v>
      </c>
      <c r="M42" s="370">
        <f t="shared" si="14"/>
        <v>0</v>
      </c>
      <c r="N42" s="370">
        <f t="shared" si="14"/>
        <v>0</v>
      </c>
      <c r="O42" s="370">
        <f t="shared" si="14"/>
        <v>0</v>
      </c>
      <c r="P42" s="370">
        <f t="shared" si="14"/>
        <v>0</v>
      </c>
      <c r="Q42" s="370">
        <f t="shared" si="14"/>
        <v>0</v>
      </c>
      <c r="R42" s="370">
        <f t="shared" si="14"/>
        <v>919135</v>
      </c>
      <c r="S42" s="374">
        <f t="shared" si="14"/>
        <v>919135</v>
      </c>
      <c r="T42" s="374">
        <f t="shared" si="14"/>
        <v>0</v>
      </c>
      <c r="U42" s="367"/>
    </row>
    <row r="43" spans="1:21" s="368" customFormat="1">
      <c r="A43" s="373" t="s">
        <v>1007</v>
      </c>
      <c r="B43" s="370">
        <f>SUM(C43:D43)</f>
        <v>600459</v>
      </c>
      <c r="C43" s="371">
        <v>600459</v>
      </c>
      <c r="D43" s="371"/>
      <c r="E43" s="371"/>
      <c r="F43" s="371">
        <f>C43</f>
        <v>600459</v>
      </c>
      <c r="G43" s="371"/>
      <c r="H43" s="371"/>
      <c r="I43" s="371"/>
      <c r="J43" s="371"/>
      <c r="K43" s="371"/>
      <c r="L43" s="371"/>
      <c r="M43" s="371"/>
      <c r="N43" s="371"/>
      <c r="O43" s="371"/>
      <c r="P43" s="371"/>
      <c r="Q43" s="371"/>
      <c r="R43" s="371">
        <f>SUM(E43:Q43)</f>
        <v>600459</v>
      </c>
      <c r="S43" s="371">
        <f>R43</f>
        <v>600459</v>
      </c>
      <c r="T43" s="371"/>
      <c r="U43" s="367"/>
    </row>
    <row r="44" spans="1:21" s="368" customFormat="1" ht="11.4">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1009</v>
      </c>
      <c r="B45" s="370">
        <f t="shared" ref="B45:B52" si="15">SUM(C45+D45)</f>
        <v>707000</v>
      </c>
      <c r="C45" s="371">
        <v>707000</v>
      </c>
      <c r="D45" s="371"/>
      <c r="E45" s="371"/>
      <c r="F45" s="371">
        <f>C45-J45</f>
        <v>620000</v>
      </c>
      <c r="G45" s="371"/>
      <c r="H45" s="371"/>
      <c r="I45" s="371"/>
      <c r="J45" s="371">
        <v>87000</v>
      </c>
      <c r="K45" s="371"/>
      <c r="L45" s="371"/>
      <c r="M45" s="371"/>
      <c r="N45" s="371"/>
      <c r="O45" s="371"/>
      <c r="P45" s="371"/>
      <c r="Q45" s="371"/>
      <c r="R45" s="371">
        <f t="shared" ref="R45:R52" si="16">SUM(E45:Q45)</f>
        <v>707000</v>
      </c>
      <c r="S45" s="371">
        <f>R45</f>
        <v>707000</v>
      </c>
      <c r="T45" s="371"/>
      <c r="U45" s="367"/>
    </row>
    <row r="46" spans="1:21" s="368" customFormat="1" ht="11.4">
      <c r="A46" s="369" t="s">
        <v>1010</v>
      </c>
      <c r="B46" s="370">
        <f t="shared" si="15"/>
        <v>244000</v>
      </c>
      <c r="C46" s="371">
        <v>244000</v>
      </c>
      <c r="D46" s="371"/>
      <c r="E46" s="371"/>
      <c r="F46" s="371">
        <f>C46</f>
        <v>244000</v>
      </c>
      <c r="G46" s="371"/>
      <c r="H46" s="371"/>
      <c r="I46" s="371"/>
      <c r="J46" s="371"/>
      <c r="K46" s="371"/>
      <c r="L46" s="371"/>
      <c r="M46" s="371"/>
      <c r="N46" s="371"/>
      <c r="O46" s="371"/>
      <c r="P46" s="371"/>
      <c r="Q46" s="371"/>
      <c r="R46" s="371">
        <f t="shared" si="16"/>
        <v>244000</v>
      </c>
      <c r="S46" s="371">
        <v>15860</v>
      </c>
      <c r="T46" s="371"/>
      <c r="U46" s="367"/>
    </row>
    <row r="47" spans="1:21" s="368" customFormat="1" ht="12" customHeight="1">
      <c r="A47" s="369" t="s">
        <v>1011</v>
      </c>
      <c r="B47" s="370">
        <f t="shared" si="15"/>
        <v>0</v>
      </c>
      <c r="C47" s="371"/>
      <c r="D47" s="371"/>
      <c r="E47" s="371"/>
      <c r="F47" s="371"/>
      <c r="G47" s="371"/>
      <c r="H47" s="371"/>
      <c r="I47" s="371"/>
      <c r="J47" s="371"/>
      <c r="K47" s="371"/>
      <c r="L47" s="371"/>
      <c r="M47" s="371"/>
      <c r="N47" s="371"/>
      <c r="O47" s="371"/>
      <c r="P47" s="371"/>
      <c r="Q47" s="371"/>
      <c r="R47" s="371">
        <f t="shared" si="16"/>
        <v>0</v>
      </c>
      <c r="S47" s="371">
        <f t="shared" ref="S47:S52" si="17">R47</f>
        <v>0</v>
      </c>
      <c r="T47" s="371"/>
      <c r="U47" s="367"/>
    </row>
    <row r="48" spans="1:21" s="368" customFormat="1" ht="11.4">
      <c r="A48" s="369" t="s">
        <v>1012</v>
      </c>
      <c r="B48" s="370">
        <f t="shared" si="15"/>
        <v>0</v>
      </c>
      <c r="C48" s="371"/>
      <c r="D48" s="371"/>
      <c r="E48" s="371"/>
      <c r="F48" s="371"/>
      <c r="G48" s="371"/>
      <c r="H48" s="371"/>
      <c r="I48" s="371"/>
      <c r="J48" s="371"/>
      <c r="K48" s="371"/>
      <c r="L48" s="371"/>
      <c r="M48" s="371"/>
      <c r="N48" s="371"/>
      <c r="O48" s="371"/>
      <c r="P48" s="371"/>
      <c r="Q48" s="371"/>
      <c r="R48" s="371">
        <f t="shared" si="16"/>
        <v>0</v>
      </c>
      <c r="S48" s="371">
        <f t="shared" si="17"/>
        <v>0</v>
      </c>
      <c r="T48" s="371"/>
      <c r="U48" s="367"/>
    </row>
    <row r="49" spans="1:21" s="368" customFormat="1" ht="11.4">
      <c r="A49" s="369" t="s">
        <v>1015</v>
      </c>
      <c r="B49" s="370">
        <f t="shared" si="15"/>
        <v>55000</v>
      </c>
      <c r="C49" s="371">
        <v>55000</v>
      </c>
      <c r="D49" s="371"/>
      <c r="E49" s="371"/>
      <c r="F49" s="371"/>
      <c r="G49" s="371"/>
      <c r="H49" s="371"/>
      <c r="I49" s="371"/>
      <c r="J49" s="371">
        <f>C49</f>
        <v>55000</v>
      </c>
      <c r="K49" s="371"/>
      <c r="L49" s="371"/>
      <c r="M49" s="371"/>
      <c r="N49" s="371"/>
      <c r="O49" s="371"/>
      <c r="P49" s="371"/>
      <c r="Q49" s="371"/>
      <c r="R49" s="371">
        <f t="shared" si="16"/>
        <v>55000</v>
      </c>
      <c r="S49" s="371">
        <f t="shared" si="17"/>
        <v>55000</v>
      </c>
      <c r="T49" s="371"/>
      <c r="U49" s="367"/>
    </row>
    <row r="50" spans="1:21" s="368" customFormat="1" ht="11.4">
      <c r="A50" s="369" t="s">
        <v>1013</v>
      </c>
      <c r="B50" s="370">
        <f t="shared" si="15"/>
        <v>3000</v>
      </c>
      <c r="C50" s="371">
        <v>3000</v>
      </c>
      <c r="D50" s="371"/>
      <c r="E50" s="371"/>
      <c r="F50" s="371"/>
      <c r="G50" s="371"/>
      <c r="H50" s="371"/>
      <c r="I50" s="371"/>
      <c r="J50" s="371">
        <f t="shared" ref="J50:J52" si="18">C50</f>
        <v>3000</v>
      </c>
      <c r="K50" s="371"/>
      <c r="L50" s="371"/>
      <c r="M50" s="371"/>
      <c r="N50" s="371"/>
      <c r="O50" s="371"/>
      <c r="P50" s="371"/>
      <c r="Q50" s="371"/>
      <c r="R50" s="371">
        <f t="shared" si="16"/>
        <v>3000</v>
      </c>
      <c r="S50" s="371">
        <f t="shared" si="17"/>
        <v>3000</v>
      </c>
      <c r="T50" s="371"/>
      <c r="U50" s="367"/>
    </row>
    <row r="51" spans="1:21" s="368" customFormat="1" ht="11.4">
      <c r="A51" s="369" t="s">
        <v>1014</v>
      </c>
      <c r="B51" s="370">
        <f t="shared" si="15"/>
        <v>400000</v>
      </c>
      <c r="C51" s="371">
        <v>400000</v>
      </c>
      <c r="D51" s="371"/>
      <c r="E51" s="371"/>
      <c r="F51" s="371"/>
      <c r="G51" s="371"/>
      <c r="H51" s="371"/>
      <c r="I51" s="371"/>
      <c r="J51" s="371">
        <f t="shared" si="18"/>
        <v>400000</v>
      </c>
      <c r="K51" s="371"/>
      <c r="L51" s="371"/>
      <c r="M51" s="371"/>
      <c r="N51" s="371"/>
      <c r="O51" s="371"/>
      <c r="P51" s="371"/>
      <c r="Q51" s="371"/>
      <c r="R51" s="371">
        <f t="shared" si="16"/>
        <v>400000</v>
      </c>
      <c r="S51" s="371">
        <f t="shared" si="17"/>
        <v>400000</v>
      </c>
      <c r="T51" s="371"/>
      <c r="U51" s="367"/>
    </row>
    <row r="52" spans="1:21" s="368" customFormat="1" ht="22.8">
      <c r="A52" s="376" t="s">
        <v>2469</v>
      </c>
      <c r="B52" s="370">
        <f t="shared" si="15"/>
        <v>190000</v>
      </c>
      <c r="C52" s="371">
        <v>190000</v>
      </c>
      <c r="D52" s="371"/>
      <c r="E52" s="371"/>
      <c r="F52" s="371"/>
      <c r="G52" s="371"/>
      <c r="H52" s="371"/>
      <c r="I52" s="371"/>
      <c r="J52" s="371">
        <f t="shared" si="18"/>
        <v>190000</v>
      </c>
      <c r="K52" s="371"/>
      <c r="L52" s="371"/>
      <c r="M52" s="371"/>
      <c r="N52" s="371"/>
      <c r="O52" s="371"/>
      <c r="P52" s="371"/>
      <c r="Q52" s="371"/>
      <c r="R52" s="371">
        <f t="shared" si="16"/>
        <v>190000</v>
      </c>
      <c r="S52" s="371">
        <f t="shared" si="17"/>
        <v>190000</v>
      </c>
      <c r="T52" s="371"/>
      <c r="U52" s="367"/>
    </row>
    <row r="53" spans="1:21" s="378" customFormat="1">
      <c r="A53" s="373" t="s">
        <v>1016</v>
      </c>
      <c r="B53" s="374">
        <f>SUM(C53:D53)</f>
        <v>1599000</v>
      </c>
      <c r="C53" s="374">
        <f t="shared" ref="C53:T53" si="19">SUM(C45:C52)</f>
        <v>1599000</v>
      </c>
      <c r="D53" s="374">
        <f t="shared" si="19"/>
        <v>0</v>
      </c>
      <c r="E53" s="374">
        <f t="shared" si="19"/>
        <v>0</v>
      </c>
      <c r="F53" s="374">
        <f t="shared" si="19"/>
        <v>864000</v>
      </c>
      <c r="G53" s="374">
        <f t="shared" si="19"/>
        <v>0</v>
      </c>
      <c r="H53" s="374">
        <f t="shared" si="19"/>
        <v>0</v>
      </c>
      <c r="I53" s="374">
        <f t="shared" si="19"/>
        <v>0</v>
      </c>
      <c r="J53" s="374">
        <f t="shared" si="19"/>
        <v>735000</v>
      </c>
      <c r="K53" s="374">
        <f t="shared" si="19"/>
        <v>0</v>
      </c>
      <c r="L53" s="374">
        <f t="shared" si="19"/>
        <v>0</v>
      </c>
      <c r="M53" s="374">
        <f t="shared" si="19"/>
        <v>0</v>
      </c>
      <c r="N53" s="374">
        <f t="shared" si="19"/>
        <v>0</v>
      </c>
      <c r="O53" s="374">
        <f t="shared" si="19"/>
        <v>0</v>
      </c>
      <c r="P53" s="374">
        <f t="shared" si="19"/>
        <v>0</v>
      </c>
      <c r="Q53" s="374">
        <f t="shared" si="19"/>
        <v>0</v>
      </c>
      <c r="R53" s="370">
        <f t="shared" si="19"/>
        <v>1599000</v>
      </c>
      <c r="S53" s="374">
        <f t="shared" si="19"/>
        <v>1370860</v>
      </c>
      <c r="T53" s="374">
        <f t="shared" si="19"/>
        <v>0</v>
      </c>
      <c r="U53" s="377"/>
    </row>
    <row r="54" spans="1:21" s="368" customFormat="1" ht="11.4">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1017</v>
      </c>
      <c r="B55" s="370">
        <f t="shared" ref="B55:B60" si="20">SUM(C55+D55)</f>
        <v>0</v>
      </c>
      <c r="C55" s="371"/>
      <c r="D55" s="371"/>
      <c r="E55" s="371"/>
      <c r="F55" s="371"/>
      <c r="G55" s="371"/>
      <c r="H55" s="371"/>
      <c r="I55" s="371"/>
      <c r="J55" s="371"/>
      <c r="K55" s="371"/>
      <c r="L55" s="371"/>
      <c r="M55" s="371"/>
      <c r="N55" s="371"/>
      <c r="O55" s="371"/>
      <c r="P55" s="371"/>
      <c r="Q55" s="371"/>
      <c r="R55" s="371">
        <f t="shared" ref="R55:R60" si="21">SUM(E55:Q55)</f>
        <v>0</v>
      </c>
      <c r="S55" s="372"/>
      <c r="T55" s="372"/>
      <c r="U55" s="367"/>
    </row>
    <row r="56" spans="1:21" s="368" customFormat="1" ht="12" customHeight="1">
      <c r="A56" s="369" t="s">
        <v>1011</v>
      </c>
      <c r="B56" s="370">
        <f t="shared" si="20"/>
        <v>0</v>
      </c>
      <c r="C56" s="371"/>
      <c r="D56" s="371"/>
      <c r="E56" s="371"/>
      <c r="F56" s="371"/>
      <c r="G56" s="371"/>
      <c r="H56" s="371"/>
      <c r="I56" s="371"/>
      <c r="J56" s="371"/>
      <c r="K56" s="371"/>
      <c r="L56" s="371"/>
      <c r="M56" s="371"/>
      <c r="N56" s="371"/>
      <c r="O56" s="371"/>
      <c r="P56" s="371"/>
      <c r="Q56" s="371"/>
      <c r="R56" s="371">
        <f t="shared" si="21"/>
        <v>0</v>
      </c>
      <c r="S56" s="372"/>
      <c r="T56" s="372"/>
      <c r="U56" s="367"/>
    </row>
    <row r="57" spans="1:21" s="368" customFormat="1" ht="11.4">
      <c r="A57" s="369" t="s">
        <v>1015</v>
      </c>
      <c r="B57" s="370">
        <f t="shared" si="20"/>
        <v>0</v>
      </c>
      <c r="C57" s="371"/>
      <c r="D57" s="371"/>
      <c r="E57" s="371"/>
      <c r="F57" s="371"/>
      <c r="G57" s="371"/>
      <c r="H57" s="371"/>
      <c r="I57" s="371"/>
      <c r="J57" s="371"/>
      <c r="K57" s="371"/>
      <c r="L57" s="371"/>
      <c r="M57" s="371"/>
      <c r="N57" s="371"/>
      <c r="O57" s="371"/>
      <c r="P57" s="371"/>
      <c r="Q57" s="371"/>
      <c r="R57" s="371">
        <f t="shared" si="21"/>
        <v>0</v>
      </c>
      <c r="S57" s="372"/>
      <c r="T57" s="372"/>
      <c r="U57" s="367"/>
    </row>
    <row r="58" spans="1:21" s="368" customFormat="1" ht="11.4">
      <c r="A58" s="369" t="s">
        <v>1013</v>
      </c>
      <c r="B58" s="370">
        <f t="shared" si="20"/>
        <v>0</v>
      </c>
      <c r="C58" s="371"/>
      <c r="D58" s="371"/>
      <c r="E58" s="371"/>
      <c r="F58" s="371"/>
      <c r="G58" s="371"/>
      <c r="H58" s="371"/>
      <c r="I58" s="371"/>
      <c r="J58" s="371"/>
      <c r="K58" s="371"/>
      <c r="L58" s="371"/>
      <c r="M58" s="371"/>
      <c r="N58" s="371"/>
      <c r="O58" s="371"/>
      <c r="P58" s="371"/>
      <c r="Q58" s="371"/>
      <c r="R58" s="371">
        <f t="shared" si="21"/>
        <v>0</v>
      </c>
      <c r="S58" s="372"/>
      <c r="T58" s="372"/>
      <c r="U58" s="367"/>
    </row>
    <row r="59" spans="1:21" s="368" customFormat="1" ht="11.4">
      <c r="A59" s="369" t="s">
        <v>1014</v>
      </c>
      <c r="B59" s="370">
        <f t="shared" si="20"/>
        <v>0</v>
      </c>
      <c r="C59" s="371"/>
      <c r="D59" s="371"/>
      <c r="E59" s="371"/>
      <c r="F59" s="371"/>
      <c r="G59" s="371"/>
      <c r="H59" s="371"/>
      <c r="I59" s="371"/>
      <c r="J59" s="371"/>
      <c r="K59" s="371"/>
      <c r="L59" s="371"/>
      <c r="M59" s="371"/>
      <c r="N59" s="371"/>
      <c r="O59" s="371"/>
      <c r="P59" s="371"/>
      <c r="Q59" s="371"/>
      <c r="R59" s="371">
        <f t="shared" si="21"/>
        <v>0</v>
      </c>
      <c r="S59" s="372"/>
      <c r="T59" s="372"/>
      <c r="U59" s="367"/>
    </row>
    <row r="60" spans="1:21" s="368" customFormat="1" ht="11.4">
      <c r="A60" s="376" t="s">
        <v>2426</v>
      </c>
      <c r="B60" s="370">
        <f t="shared" si="20"/>
        <v>652000</v>
      </c>
      <c r="C60" s="371">
        <f>597000+55000</f>
        <v>652000</v>
      </c>
      <c r="D60" s="371"/>
      <c r="E60" s="371"/>
      <c r="F60" s="371">
        <v>55000</v>
      </c>
      <c r="G60" s="371"/>
      <c r="H60" s="371"/>
      <c r="I60" s="371"/>
      <c r="J60" s="371">
        <f>C60-F60</f>
        <v>597000</v>
      </c>
      <c r="K60" s="371"/>
      <c r="L60" s="371"/>
      <c r="M60" s="371"/>
      <c r="N60" s="371"/>
      <c r="O60" s="371"/>
      <c r="P60" s="371"/>
      <c r="Q60" s="371"/>
      <c r="R60" s="371">
        <f t="shared" si="21"/>
        <v>652000</v>
      </c>
      <c r="S60" s="372"/>
      <c r="T60" s="372"/>
      <c r="U60" s="367"/>
    </row>
    <row r="61" spans="1:21" s="368" customFormat="1" ht="13.95" customHeight="1">
      <c r="A61" s="373" t="s">
        <v>546</v>
      </c>
      <c r="B61" s="370">
        <f>SUM(C61:D61)</f>
        <v>652000</v>
      </c>
      <c r="C61" s="370">
        <f t="shared" ref="C61:R61" si="22">SUM(C55:C60)</f>
        <v>652000</v>
      </c>
      <c r="D61" s="370">
        <f t="shared" si="22"/>
        <v>0</v>
      </c>
      <c r="E61" s="370">
        <f t="shared" si="22"/>
        <v>0</v>
      </c>
      <c r="F61" s="370">
        <f t="shared" si="22"/>
        <v>55000</v>
      </c>
      <c r="G61" s="370">
        <f t="shared" si="22"/>
        <v>0</v>
      </c>
      <c r="H61" s="370">
        <f t="shared" si="22"/>
        <v>0</v>
      </c>
      <c r="I61" s="370">
        <f t="shared" si="22"/>
        <v>0</v>
      </c>
      <c r="J61" s="370">
        <f t="shared" si="22"/>
        <v>597000</v>
      </c>
      <c r="K61" s="370">
        <f t="shared" si="22"/>
        <v>0</v>
      </c>
      <c r="L61" s="370">
        <f t="shared" si="22"/>
        <v>0</v>
      </c>
      <c r="M61" s="370">
        <f t="shared" si="22"/>
        <v>0</v>
      </c>
      <c r="N61" s="370">
        <f t="shared" si="22"/>
        <v>0</v>
      </c>
      <c r="O61" s="370">
        <f t="shared" si="22"/>
        <v>0</v>
      </c>
      <c r="P61" s="370">
        <f t="shared" si="22"/>
        <v>0</v>
      </c>
      <c r="Q61" s="370">
        <f t="shared" si="22"/>
        <v>0</v>
      </c>
      <c r="R61" s="370">
        <f t="shared" si="22"/>
        <v>652000</v>
      </c>
      <c r="S61" s="372"/>
      <c r="T61" s="372"/>
      <c r="U61" s="367"/>
    </row>
    <row r="62" spans="1:21" s="368" customFormat="1" ht="11.4">
      <c r="A62" s="379" t="s">
        <v>547</v>
      </c>
      <c r="B62" s="370">
        <f>SUM(C62:D62)</f>
        <v>42031872</v>
      </c>
      <c r="C62" s="370">
        <f t="shared" ref="C62:R62" si="23">SUM(C8+C11+C13+C14+C15+C26+C27+C38+C42+C43+C53+C61)</f>
        <v>42031872</v>
      </c>
      <c r="D62" s="370">
        <f t="shared" si="23"/>
        <v>0</v>
      </c>
      <c r="E62" s="370">
        <f t="shared" si="23"/>
        <v>20515583</v>
      </c>
      <c r="F62" s="370">
        <f t="shared" si="23"/>
        <v>12672110</v>
      </c>
      <c r="G62" s="370">
        <f t="shared" si="23"/>
        <v>2580000</v>
      </c>
      <c r="H62" s="370">
        <f t="shared" si="23"/>
        <v>2746572</v>
      </c>
      <c r="I62" s="370">
        <f t="shared" si="23"/>
        <v>550000</v>
      </c>
      <c r="J62" s="370">
        <f t="shared" si="23"/>
        <v>2967607</v>
      </c>
      <c r="K62" s="370">
        <f t="shared" si="23"/>
        <v>0</v>
      </c>
      <c r="L62" s="370">
        <f t="shared" si="23"/>
        <v>0</v>
      </c>
      <c r="M62" s="370">
        <f t="shared" si="23"/>
        <v>0</v>
      </c>
      <c r="N62" s="370">
        <f t="shared" si="23"/>
        <v>0</v>
      </c>
      <c r="O62" s="370">
        <f t="shared" si="23"/>
        <v>0</v>
      </c>
      <c r="P62" s="370">
        <f t="shared" si="23"/>
        <v>0</v>
      </c>
      <c r="Q62" s="370">
        <f t="shared" si="23"/>
        <v>0</v>
      </c>
      <c r="R62" s="370">
        <f t="shared" si="23"/>
        <v>42031872</v>
      </c>
      <c r="S62" s="370">
        <f>SUM(S10+S13+S14+S15+S26+S27+S38+S42+S43+S53)</f>
        <v>31690454</v>
      </c>
      <c r="T62" s="370">
        <f>SUM(T11+T13+T14+T15+T26+T27+T38+T42+T43+T53)</f>
        <v>0</v>
      </c>
      <c r="U62" s="367"/>
    </row>
    <row r="63" spans="1:21" s="368" customFormat="1" ht="22.8">
      <c r="A63" s="365" t="s">
        <v>2164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311</v>
      </c>
      <c r="B64" s="370">
        <f>SUM(C64+D64)</f>
        <v>120000</v>
      </c>
      <c r="C64" s="371">
        <v>120000</v>
      </c>
      <c r="D64" s="371"/>
      <c r="E64" s="371"/>
      <c r="F64" s="371"/>
      <c r="G64" s="371"/>
      <c r="H64" s="371"/>
      <c r="I64" s="371"/>
      <c r="J64" s="371">
        <f>C64</f>
        <v>120000</v>
      </c>
      <c r="K64" s="371"/>
      <c r="L64" s="371"/>
      <c r="M64" s="371"/>
      <c r="N64" s="371"/>
      <c r="O64" s="371"/>
      <c r="P64" s="371"/>
      <c r="Q64" s="371"/>
      <c r="R64" s="371">
        <f>SUM(E64:Q64)</f>
        <v>120000</v>
      </c>
      <c r="S64" s="371">
        <v>80000</v>
      </c>
      <c r="T64" s="371"/>
      <c r="U64" s="367"/>
    </row>
    <row r="65" spans="1:21" s="368" customFormat="1" ht="22.8">
      <c r="A65" s="369" t="s">
        <v>2165</v>
      </c>
      <c r="B65" s="370">
        <f>SUM(C65+D65)</f>
        <v>0</v>
      </c>
      <c r="C65" s="371"/>
      <c r="D65" s="371"/>
      <c r="E65" s="371"/>
      <c r="F65" s="371"/>
      <c r="G65" s="371"/>
      <c r="H65" s="371"/>
      <c r="I65" s="371"/>
      <c r="J65" s="371">
        <f t="shared" ref="J65:J68" si="24">C65</f>
        <v>0</v>
      </c>
      <c r="K65" s="371"/>
      <c r="L65" s="371"/>
      <c r="M65" s="371"/>
      <c r="N65" s="371"/>
      <c r="O65" s="371"/>
      <c r="P65" s="371"/>
      <c r="Q65" s="371"/>
      <c r="R65" s="371">
        <f>SUM(E65:Q65)</f>
        <v>0</v>
      </c>
      <c r="S65" s="371"/>
      <c r="T65" s="371"/>
      <c r="U65" s="367"/>
    </row>
    <row r="66" spans="1:21" s="368" customFormat="1" ht="22.8">
      <c r="A66" s="369" t="s">
        <v>2166</v>
      </c>
      <c r="B66" s="370">
        <f>SUM(C66+D66)</f>
        <v>0</v>
      </c>
      <c r="C66" s="371"/>
      <c r="D66" s="371"/>
      <c r="E66" s="371"/>
      <c r="F66" s="371"/>
      <c r="G66" s="371"/>
      <c r="H66" s="371"/>
      <c r="I66" s="371"/>
      <c r="J66" s="371">
        <f t="shared" si="24"/>
        <v>0</v>
      </c>
      <c r="K66" s="371"/>
      <c r="L66" s="371"/>
      <c r="M66" s="371"/>
      <c r="N66" s="371"/>
      <c r="O66" s="371"/>
      <c r="P66" s="371"/>
      <c r="Q66" s="371"/>
      <c r="R66" s="371">
        <f>SUM(E66:Q66)</f>
        <v>0</v>
      </c>
      <c r="S66" s="371"/>
      <c r="T66" s="371"/>
      <c r="U66" s="367"/>
    </row>
    <row r="67" spans="1:21" s="368" customFormat="1" ht="11.4">
      <c r="A67" s="369" t="s">
        <v>2167</v>
      </c>
      <c r="B67" s="370">
        <f>SUM(C67+D67)</f>
        <v>0</v>
      </c>
      <c r="C67" s="371"/>
      <c r="D67" s="371"/>
      <c r="E67" s="371"/>
      <c r="F67" s="371"/>
      <c r="G67" s="371"/>
      <c r="H67" s="371"/>
      <c r="I67" s="371"/>
      <c r="J67" s="371">
        <f t="shared" si="24"/>
        <v>0</v>
      </c>
      <c r="K67" s="371"/>
      <c r="L67" s="371"/>
      <c r="M67" s="371"/>
      <c r="N67" s="371"/>
      <c r="O67" s="371"/>
      <c r="P67" s="371"/>
      <c r="Q67" s="371"/>
      <c r="R67" s="371">
        <f>SUM(E67:Q67)</f>
        <v>0</v>
      </c>
      <c r="S67" s="371"/>
      <c r="T67" s="371"/>
      <c r="U67" s="367"/>
    </row>
    <row r="68" spans="1:21" s="368" customFormat="1" ht="11.4">
      <c r="A68" s="376" t="s">
        <v>2427</v>
      </c>
      <c r="B68" s="370">
        <f>SUM(C68+D68)</f>
        <v>200000</v>
      </c>
      <c r="C68" s="371">
        <v>200000</v>
      </c>
      <c r="D68" s="371"/>
      <c r="E68" s="371"/>
      <c r="F68" s="371"/>
      <c r="G68" s="371"/>
      <c r="H68" s="371"/>
      <c r="I68" s="371"/>
      <c r="J68" s="371">
        <f t="shared" si="24"/>
        <v>200000</v>
      </c>
      <c r="K68" s="371"/>
      <c r="L68" s="371"/>
      <c r="M68" s="371"/>
      <c r="N68" s="371"/>
      <c r="O68" s="371"/>
      <c r="P68" s="371"/>
      <c r="Q68" s="371"/>
      <c r="R68" s="371">
        <f>SUM(E68:Q68)</f>
        <v>200000</v>
      </c>
      <c r="S68" s="371">
        <v>15000</v>
      </c>
      <c r="T68" s="371"/>
      <c r="U68" s="367"/>
    </row>
    <row r="69" spans="1:21" s="368" customFormat="1">
      <c r="A69" s="373" t="s">
        <v>2168</v>
      </c>
      <c r="B69" s="370">
        <f>SUM(C69:D69)</f>
        <v>320000</v>
      </c>
      <c r="C69" s="370">
        <f>SUM(C63:C68)</f>
        <v>320000</v>
      </c>
      <c r="D69" s="370">
        <f>SUM(D63:D68)</f>
        <v>0</v>
      </c>
      <c r="E69" s="370">
        <f t="shared" ref="E69:T69" si="25">SUM(E64:E68)</f>
        <v>0</v>
      </c>
      <c r="F69" s="370">
        <f t="shared" si="25"/>
        <v>0</v>
      </c>
      <c r="G69" s="370">
        <f t="shared" si="25"/>
        <v>0</v>
      </c>
      <c r="H69" s="370">
        <f t="shared" si="25"/>
        <v>0</v>
      </c>
      <c r="I69" s="370">
        <f t="shared" si="25"/>
        <v>0</v>
      </c>
      <c r="J69" s="370">
        <f t="shared" si="25"/>
        <v>320000</v>
      </c>
      <c r="K69" s="370">
        <f t="shared" si="25"/>
        <v>0</v>
      </c>
      <c r="L69" s="370">
        <f t="shared" si="25"/>
        <v>0</v>
      </c>
      <c r="M69" s="370">
        <f t="shared" si="25"/>
        <v>0</v>
      </c>
      <c r="N69" s="370">
        <f t="shared" si="25"/>
        <v>0</v>
      </c>
      <c r="O69" s="370">
        <f t="shared" si="25"/>
        <v>0</v>
      </c>
      <c r="P69" s="370">
        <f t="shared" si="25"/>
        <v>0</v>
      </c>
      <c r="Q69" s="370">
        <f t="shared" si="25"/>
        <v>0</v>
      </c>
      <c r="R69" s="370">
        <f t="shared" si="25"/>
        <v>320000</v>
      </c>
      <c r="S69" s="374">
        <f t="shared" si="25"/>
        <v>95000</v>
      </c>
      <c r="T69" s="374">
        <f t="shared" si="25"/>
        <v>0</v>
      </c>
      <c r="U69" s="367"/>
    </row>
    <row r="70" spans="1:21" s="368" customFormat="1" ht="11.4">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4">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4">
      <c r="A73" s="973" t="s">
        <v>1340</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1.4">
      <c r="A74" s="369" t="s">
        <v>315</v>
      </c>
      <c r="B74" s="370">
        <f>SUM(C74+D74)</f>
        <v>488000</v>
      </c>
      <c r="C74" s="371">
        <v>488000</v>
      </c>
      <c r="D74" s="371"/>
      <c r="E74" s="371"/>
      <c r="F74" s="371"/>
      <c r="G74" s="371"/>
      <c r="H74" s="371"/>
      <c r="I74" s="371"/>
      <c r="J74" s="371">
        <f>C74</f>
        <v>488000</v>
      </c>
      <c r="K74" s="371"/>
      <c r="L74" s="371"/>
      <c r="M74" s="371"/>
      <c r="N74" s="371"/>
      <c r="O74" s="371"/>
      <c r="P74" s="371"/>
      <c r="Q74" s="371"/>
      <c r="R74" s="371">
        <f>SUM(E74:Q74)</f>
        <v>488000</v>
      </c>
      <c r="S74" s="372"/>
      <c r="T74" s="372"/>
      <c r="U74" s="367"/>
    </row>
    <row r="75" spans="1:21" s="368" customFormat="1" ht="11.4">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488000</v>
      </c>
      <c r="C76" s="370">
        <f t="shared" ref="C76:Q76" si="26">SUM(C71:C75)</f>
        <v>488000</v>
      </c>
      <c r="D76" s="370">
        <f t="shared" si="26"/>
        <v>0</v>
      </c>
      <c r="E76" s="370">
        <f>SUM(E71:E75)</f>
        <v>0</v>
      </c>
      <c r="F76" s="370">
        <f>SUM(F71:F75)</f>
        <v>0</v>
      </c>
      <c r="G76" s="370">
        <f>SUM(G71:G75)</f>
        <v>0</v>
      </c>
      <c r="H76" s="370">
        <f t="shared" si="26"/>
        <v>0</v>
      </c>
      <c r="I76" s="370">
        <f t="shared" si="26"/>
        <v>0</v>
      </c>
      <c r="J76" s="370">
        <f t="shared" si="26"/>
        <v>488000</v>
      </c>
      <c r="K76" s="370">
        <f t="shared" si="26"/>
        <v>0</v>
      </c>
      <c r="L76" s="370">
        <f t="shared" si="26"/>
        <v>0</v>
      </c>
      <c r="M76" s="370">
        <f t="shared" si="26"/>
        <v>0</v>
      </c>
      <c r="N76" s="370">
        <f t="shared" si="26"/>
        <v>0</v>
      </c>
      <c r="O76" s="370">
        <f t="shared" si="26"/>
        <v>0</v>
      </c>
      <c r="P76" s="370">
        <f t="shared" si="26"/>
        <v>0</v>
      </c>
      <c r="Q76" s="370">
        <f t="shared" si="26"/>
        <v>0</v>
      </c>
      <c r="R76" s="370">
        <f>SUM(R71:R75)</f>
        <v>488000</v>
      </c>
      <c r="S76" s="372"/>
      <c r="T76" s="372"/>
      <c r="U76" s="367"/>
    </row>
    <row r="77" spans="1:21" s="368" customFormat="1" ht="11.85"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1906</v>
      </c>
      <c r="B78" s="370">
        <f>SUM(C78+D78)</f>
        <v>2016000</v>
      </c>
      <c r="C78" s="371">
        <v>2016000</v>
      </c>
      <c r="D78" s="371"/>
      <c r="E78" s="371"/>
      <c r="F78" s="371"/>
      <c r="G78" s="371"/>
      <c r="H78" s="371"/>
      <c r="I78" s="371"/>
      <c r="J78" s="371">
        <f>C78</f>
        <v>2016000</v>
      </c>
      <c r="K78" s="371"/>
      <c r="L78" s="371"/>
      <c r="M78" s="371"/>
      <c r="N78" s="371"/>
      <c r="O78" s="371"/>
      <c r="P78" s="371"/>
      <c r="Q78" s="371"/>
      <c r="R78" s="371">
        <f>SUM(E78:Q78)</f>
        <v>2016000</v>
      </c>
      <c r="S78" s="371">
        <f>R78</f>
        <v>2016000</v>
      </c>
      <c r="T78" s="371"/>
      <c r="U78" s="367"/>
    </row>
    <row r="79" spans="1:21" s="368" customFormat="1" ht="11.4">
      <c r="A79" s="369" t="s">
        <v>594</v>
      </c>
      <c r="B79" s="370">
        <f>SUM(C79+D79)</f>
        <v>375572</v>
      </c>
      <c r="C79" s="371">
        <v>375572</v>
      </c>
      <c r="D79" s="371"/>
      <c r="E79" s="371"/>
      <c r="F79" s="371"/>
      <c r="G79" s="371"/>
      <c r="H79" s="371"/>
      <c r="I79" s="371"/>
      <c r="J79" s="371">
        <f>C79-K79</f>
        <v>375572</v>
      </c>
      <c r="K79" s="371"/>
      <c r="L79" s="371"/>
      <c r="M79" s="371"/>
      <c r="N79" s="371"/>
      <c r="O79" s="371"/>
      <c r="P79" s="371"/>
      <c r="Q79" s="371"/>
      <c r="R79" s="371">
        <f>SUM(E79:Q79)</f>
        <v>375572</v>
      </c>
      <c r="S79" s="371">
        <f>R79</f>
        <v>375572</v>
      </c>
      <c r="T79" s="371"/>
      <c r="U79" s="367"/>
    </row>
    <row r="80" spans="1:21" s="368" customFormat="1">
      <c r="A80" s="373" t="s">
        <v>1907</v>
      </c>
      <c r="B80" s="370">
        <f>SUM(C80:D80)</f>
        <v>2391572</v>
      </c>
      <c r="C80" s="1074">
        <f>SUM(C78:C79)</f>
        <v>2391572</v>
      </c>
      <c r="D80" s="1074">
        <f t="shared" ref="D80:R80" si="27">SUM(D78:D79)</f>
        <v>0</v>
      </c>
      <c r="E80" s="1074">
        <f t="shared" si="27"/>
        <v>0</v>
      </c>
      <c r="F80" s="1074">
        <f t="shared" si="27"/>
        <v>0</v>
      </c>
      <c r="G80" s="1074">
        <f t="shared" si="27"/>
        <v>0</v>
      </c>
      <c r="H80" s="1074">
        <f t="shared" si="27"/>
        <v>0</v>
      </c>
      <c r="I80" s="1074">
        <f t="shared" si="27"/>
        <v>0</v>
      </c>
      <c r="J80" s="1074">
        <f t="shared" si="27"/>
        <v>2391572</v>
      </c>
      <c r="K80" s="1074">
        <f t="shared" si="27"/>
        <v>0</v>
      </c>
      <c r="L80" s="1074">
        <f t="shared" si="27"/>
        <v>0</v>
      </c>
      <c r="M80" s="1074">
        <f t="shared" si="27"/>
        <v>0</v>
      </c>
      <c r="N80" s="1074">
        <f t="shared" si="27"/>
        <v>0</v>
      </c>
      <c r="O80" s="1074">
        <f t="shared" si="27"/>
        <v>0</v>
      </c>
      <c r="P80" s="1074">
        <f t="shared" si="27"/>
        <v>0</v>
      </c>
      <c r="Q80" s="1074">
        <f t="shared" si="27"/>
        <v>0</v>
      </c>
      <c r="R80" s="1074">
        <f t="shared" si="27"/>
        <v>2391572</v>
      </c>
      <c r="S80" s="1074">
        <f>SUM(S78:S79)</f>
        <v>2391572</v>
      </c>
      <c r="T80" s="1074">
        <f>SUM(T78:T79)</f>
        <v>0</v>
      </c>
      <c r="U80" s="367"/>
    </row>
    <row r="81" spans="1:21" s="368" customFormat="1" ht="11.4">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571</v>
      </c>
      <c r="B82" s="370">
        <f>SUM(C82+D82)</f>
        <v>165000</v>
      </c>
      <c r="C82" s="371">
        <v>165000</v>
      </c>
      <c r="D82" s="371"/>
      <c r="E82" s="371"/>
      <c r="F82" s="371"/>
      <c r="G82" s="371"/>
      <c r="H82" s="371"/>
      <c r="I82" s="371"/>
      <c r="J82" s="371"/>
      <c r="K82" s="371">
        <f>C82</f>
        <v>165000</v>
      </c>
      <c r="L82" s="371"/>
      <c r="M82" s="371"/>
      <c r="N82" s="371"/>
      <c r="O82" s="371"/>
      <c r="P82" s="371"/>
      <c r="Q82" s="371"/>
      <c r="R82" s="371">
        <f>SUM(E82:Q82)</f>
        <v>165000</v>
      </c>
      <c r="S82" s="372"/>
      <c r="T82" s="372"/>
      <c r="U82" s="367"/>
    </row>
    <row r="83" spans="1:21" s="368" customFormat="1" ht="11.4">
      <c r="A83" s="369" t="s">
        <v>572</v>
      </c>
      <c r="B83" s="370">
        <f t="shared" ref="B83:B93" si="28">SUM(C83+D83)</f>
        <v>9300</v>
      </c>
      <c r="C83" s="371">
        <v>9300</v>
      </c>
      <c r="D83" s="371"/>
      <c r="E83" s="371"/>
      <c r="F83" s="371"/>
      <c r="G83" s="371"/>
      <c r="H83" s="371"/>
      <c r="I83" s="371"/>
      <c r="J83" s="371"/>
      <c r="K83" s="371">
        <f t="shared" ref="K83:K94" si="29">C83</f>
        <v>9300</v>
      </c>
      <c r="L83" s="371"/>
      <c r="M83" s="371"/>
      <c r="N83" s="371"/>
      <c r="O83" s="371"/>
      <c r="P83" s="371"/>
      <c r="Q83" s="371"/>
      <c r="R83" s="371">
        <f t="shared" ref="R83:R93" si="30">SUM(E83:Q83)</f>
        <v>9300</v>
      </c>
      <c r="S83" s="371">
        <f>R83</f>
        <v>9300</v>
      </c>
      <c r="T83" s="371"/>
      <c r="U83" s="367"/>
    </row>
    <row r="84" spans="1:21" s="368" customFormat="1" ht="11.4">
      <c r="A84" s="369" t="s">
        <v>573</v>
      </c>
      <c r="B84" s="370">
        <f t="shared" si="28"/>
        <v>1670124</v>
      </c>
      <c r="C84" s="371">
        <v>1670124</v>
      </c>
      <c r="D84" s="371"/>
      <c r="E84" s="371"/>
      <c r="F84" s="371"/>
      <c r="G84" s="371"/>
      <c r="H84" s="371"/>
      <c r="I84" s="371"/>
      <c r="J84" s="371">
        <v>832821</v>
      </c>
      <c r="K84" s="371">
        <f>C84-J84</f>
        <v>837303</v>
      </c>
      <c r="L84" s="371"/>
      <c r="M84" s="371"/>
      <c r="N84" s="371"/>
      <c r="O84" s="371"/>
      <c r="P84" s="371"/>
      <c r="Q84" s="371"/>
      <c r="R84" s="371">
        <f t="shared" si="30"/>
        <v>1670124</v>
      </c>
      <c r="S84" s="371">
        <f t="shared" ref="S84:S86" si="31">R84</f>
        <v>1670124</v>
      </c>
      <c r="T84" s="371"/>
      <c r="U84" s="367"/>
    </row>
    <row r="85" spans="1:21" s="368" customFormat="1" ht="11.4">
      <c r="A85" s="369" t="s">
        <v>574</v>
      </c>
      <c r="B85" s="370">
        <f t="shared" si="28"/>
        <v>861423</v>
      </c>
      <c r="C85" s="371">
        <v>861423</v>
      </c>
      <c r="D85" s="371"/>
      <c r="E85" s="371"/>
      <c r="F85" s="371"/>
      <c r="G85" s="371"/>
      <c r="H85" s="371"/>
      <c r="I85" s="371"/>
      <c r="J85" s="371"/>
      <c r="K85" s="371">
        <f>C85</f>
        <v>861423</v>
      </c>
      <c r="L85" s="371"/>
      <c r="M85" s="371"/>
      <c r="N85" s="371"/>
      <c r="O85" s="371"/>
      <c r="P85" s="371"/>
      <c r="Q85" s="371"/>
      <c r="R85" s="371">
        <f t="shared" si="30"/>
        <v>861423</v>
      </c>
      <c r="S85" s="371">
        <f t="shared" si="31"/>
        <v>861423</v>
      </c>
      <c r="T85" s="371"/>
      <c r="U85" s="367"/>
    </row>
    <row r="86" spans="1:21" s="368" customFormat="1" ht="11.4">
      <c r="A86" s="369" t="s">
        <v>575</v>
      </c>
      <c r="B86" s="370">
        <f t="shared" si="28"/>
        <v>0</v>
      </c>
      <c r="C86" s="371"/>
      <c r="D86" s="371"/>
      <c r="E86" s="371"/>
      <c r="F86" s="371"/>
      <c r="G86" s="371"/>
      <c r="H86" s="371"/>
      <c r="I86" s="371"/>
      <c r="J86" s="371"/>
      <c r="K86" s="371">
        <f t="shared" si="29"/>
        <v>0</v>
      </c>
      <c r="L86" s="371"/>
      <c r="M86" s="371"/>
      <c r="N86" s="371"/>
      <c r="O86" s="371"/>
      <c r="P86" s="371"/>
      <c r="Q86" s="371"/>
      <c r="R86" s="371">
        <f t="shared" si="30"/>
        <v>0</v>
      </c>
      <c r="S86" s="371">
        <f t="shared" si="31"/>
        <v>0</v>
      </c>
      <c r="T86" s="371"/>
      <c r="U86" s="367"/>
    </row>
    <row r="87" spans="1:21" s="368" customFormat="1" ht="11.4">
      <c r="A87" s="369" t="s">
        <v>576</v>
      </c>
      <c r="B87" s="370">
        <f t="shared" si="28"/>
        <v>25000</v>
      </c>
      <c r="C87" s="371">
        <v>25000</v>
      </c>
      <c r="D87" s="371"/>
      <c r="E87" s="371"/>
      <c r="F87" s="371"/>
      <c r="G87" s="371"/>
      <c r="H87" s="371"/>
      <c r="I87" s="371"/>
      <c r="J87" s="371"/>
      <c r="K87" s="371">
        <f>C87</f>
        <v>25000</v>
      </c>
      <c r="L87" s="371"/>
      <c r="M87" s="371"/>
      <c r="N87" s="371"/>
      <c r="O87" s="371"/>
      <c r="P87" s="371"/>
      <c r="Q87" s="371"/>
      <c r="R87" s="371">
        <f t="shared" si="30"/>
        <v>25000</v>
      </c>
      <c r="S87" s="372"/>
      <c r="T87" s="372"/>
      <c r="U87" s="367"/>
    </row>
    <row r="88" spans="1:21" s="368" customFormat="1" ht="11.4">
      <c r="A88" s="369" t="s">
        <v>577</v>
      </c>
      <c r="B88" s="370">
        <f t="shared" si="28"/>
        <v>384000</v>
      </c>
      <c r="C88" s="371">
        <v>384000</v>
      </c>
      <c r="D88" s="371"/>
      <c r="E88" s="371"/>
      <c r="F88" s="371"/>
      <c r="G88" s="371"/>
      <c r="H88" s="371"/>
      <c r="I88" s="371"/>
      <c r="J88" s="371"/>
      <c r="K88" s="371">
        <f>C88</f>
        <v>384000</v>
      </c>
      <c r="L88" s="371"/>
      <c r="M88" s="371"/>
      <c r="N88" s="371"/>
      <c r="O88" s="371"/>
      <c r="P88" s="371"/>
      <c r="Q88" s="371"/>
      <c r="R88" s="371">
        <f t="shared" si="30"/>
        <v>384000</v>
      </c>
      <c r="S88" s="371">
        <f>R88</f>
        <v>384000</v>
      </c>
      <c r="T88" s="371"/>
      <c r="U88" s="367"/>
    </row>
    <row r="89" spans="1:21" s="368" customFormat="1" ht="11.4">
      <c r="A89" s="369" t="s">
        <v>578</v>
      </c>
      <c r="B89" s="370">
        <f t="shared" si="28"/>
        <v>7000</v>
      </c>
      <c r="C89" s="371">
        <v>7000</v>
      </c>
      <c r="D89" s="371"/>
      <c r="E89" s="371"/>
      <c r="F89" s="371"/>
      <c r="G89" s="371"/>
      <c r="H89" s="371"/>
      <c r="I89" s="371"/>
      <c r="J89" s="371"/>
      <c r="K89" s="371">
        <f t="shared" si="29"/>
        <v>7000</v>
      </c>
      <c r="L89" s="371"/>
      <c r="M89" s="371"/>
      <c r="N89" s="371"/>
      <c r="O89" s="371"/>
      <c r="P89" s="371"/>
      <c r="Q89" s="371"/>
      <c r="R89" s="371">
        <f t="shared" si="30"/>
        <v>7000</v>
      </c>
      <c r="S89" s="371">
        <f t="shared" ref="S89:S93" si="32">R89</f>
        <v>7000</v>
      </c>
      <c r="T89" s="371"/>
      <c r="U89" s="367"/>
    </row>
    <row r="90" spans="1:21" s="368" customFormat="1" ht="11.4">
      <c r="A90" s="380" t="s">
        <v>1422</v>
      </c>
      <c r="B90" s="370">
        <f t="shared" si="28"/>
        <v>30000</v>
      </c>
      <c r="C90" s="371">
        <v>30000</v>
      </c>
      <c r="D90" s="371"/>
      <c r="E90" s="371"/>
      <c r="F90" s="371"/>
      <c r="G90" s="371"/>
      <c r="H90" s="371"/>
      <c r="I90" s="371"/>
      <c r="J90" s="371"/>
      <c r="K90" s="371">
        <f t="shared" si="29"/>
        <v>30000</v>
      </c>
      <c r="L90" s="371"/>
      <c r="M90" s="371"/>
      <c r="N90" s="371"/>
      <c r="O90" s="371"/>
      <c r="P90" s="371"/>
      <c r="Q90" s="371"/>
      <c r="R90" s="371">
        <f t="shared" si="30"/>
        <v>30000</v>
      </c>
      <c r="S90" s="371">
        <f t="shared" si="32"/>
        <v>30000</v>
      </c>
      <c r="T90" s="371"/>
      <c r="U90" s="367"/>
    </row>
    <row r="91" spans="1:21" s="368" customFormat="1" ht="11.4">
      <c r="A91" s="380" t="s">
        <v>1905</v>
      </c>
      <c r="B91" s="370">
        <f t="shared" si="28"/>
        <v>10000</v>
      </c>
      <c r="C91" s="371">
        <v>10000</v>
      </c>
      <c r="D91" s="371"/>
      <c r="E91" s="371"/>
      <c r="F91" s="371"/>
      <c r="G91" s="371"/>
      <c r="H91" s="371"/>
      <c r="I91" s="371"/>
      <c r="J91" s="371"/>
      <c r="K91" s="371">
        <f t="shared" si="29"/>
        <v>10000</v>
      </c>
      <c r="L91" s="371"/>
      <c r="M91" s="371"/>
      <c r="N91" s="371"/>
      <c r="O91" s="371"/>
      <c r="P91" s="371"/>
      <c r="Q91" s="371"/>
      <c r="R91" s="371">
        <f t="shared" si="30"/>
        <v>10000</v>
      </c>
      <c r="S91" s="371">
        <f t="shared" si="32"/>
        <v>10000</v>
      </c>
      <c r="T91" s="371"/>
      <c r="U91" s="367"/>
    </row>
    <row r="92" spans="1:21" s="368" customFormat="1" ht="11.4">
      <c r="A92" s="376" t="s">
        <v>2428</v>
      </c>
      <c r="B92" s="370">
        <f t="shared" si="28"/>
        <v>50000</v>
      </c>
      <c r="C92" s="371">
        <v>50000</v>
      </c>
      <c r="D92" s="371"/>
      <c r="E92" s="371"/>
      <c r="F92" s="371"/>
      <c r="G92" s="371"/>
      <c r="H92" s="371"/>
      <c r="I92" s="371"/>
      <c r="J92" s="371"/>
      <c r="K92" s="371">
        <f t="shared" si="29"/>
        <v>50000</v>
      </c>
      <c r="L92" s="371"/>
      <c r="M92" s="371"/>
      <c r="N92" s="371"/>
      <c r="O92" s="371"/>
      <c r="P92" s="371"/>
      <c r="Q92" s="371"/>
      <c r="R92" s="371">
        <f t="shared" si="30"/>
        <v>50000</v>
      </c>
      <c r="S92" s="371"/>
      <c r="T92" s="371"/>
      <c r="U92" s="367"/>
    </row>
    <row r="93" spans="1:21" s="368" customFormat="1" ht="11.4">
      <c r="A93" s="376" t="s">
        <v>2429</v>
      </c>
      <c r="B93" s="370">
        <f t="shared" si="28"/>
        <v>260000</v>
      </c>
      <c r="C93" s="371">
        <v>260000</v>
      </c>
      <c r="D93" s="371"/>
      <c r="E93" s="371"/>
      <c r="F93" s="371"/>
      <c r="G93" s="371"/>
      <c r="H93" s="371"/>
      <c r="I93" s="371"/>
      <c r="J93" s="371"/>
      <c r="K93" s="371">
        <f t="shared" si="29"/>
        <v>260000</v>
      </c>
      <c r="L93" s="371"/>
      <c r="M93" s="371"/>
      <c r="N93" s="371"/>
      <c r="O93" s="371"/>
      <c r="P93" s="371"/>
      <c r="Q93" s="371"/>
      <c r="R93" s="371">
        <f t="shared" si="30"/>
        <v>260000</v>
      </c>
      <c r="S93" s="371">
        <f t="shared" si="32"/>
        <v>260000</v>
      </c>
      <c r="T93" s="371"/>
      <c r="U93" s="367"/>
    </row>
    <row r="94" spans="1:21" s="368" customFormat="1" ht="11.4">
      <c r="A94" s="376" t="s">
        <v>2430</v>
      </c>
      <c r="B94" s="370">
        <f>SUM(C94+D94)</f>
        <v>4000</v>
      </c>
      <c r="C94" s="371">
        <v>4000</v>
      </c>
      <c r="D94" s="371"/>
      <c r="E94" s="371"/>
      <c r="F94" s="371"/>
      <c r="G94" s="371"/>
      <c r="H94" s="371"/>
      <c r="I94" s="371"/>
      <c r="J94" s="371"/>
      <c r="K94" s="371">
        <f t="shared" si="29"/>
        <v>4000</v>
      </c>
      <c r="L94" s="371"/>
      <c r="M94" s="371"/>
      <c r="N94" s="371"/>
      <c r="O94" s="371"/>
      <c r="P94" s="371"/>
      <c r="Q94" s="371"/>
      <c r="R94" s="371">
        <f>SUM(E94:Q94)</f>
        <v>4000</v>
      </c>
      <c r="S94" s="371"/>
      <c r="T94" s="371"/>
      <c r="U94" s="367"/>
    </row>
    <row r="95" spans="1:21" s="368" customFormat="1">
      <c r="A95" s="373" t="s">
        <v>579</v>
      </c>
      <c r="B95" s="370">
        <f>SUM(C95:D95)</f>
        <v>3475847</v>
      </c>
      <c r="C95" s="370">
        <f t="shared" ref="C95:R95" si="33">SUM(C82:C94)</f>
        <v>3475847</v>
      </c>
      <c r="D95" s="370">
        <f t="shared" si="33"/>
        <v>0</v>
      </c>
      <c r="E95" s="370">
        <f t="shared" si="33"/>
        <v>0</v>
      </c>
      <c r="F95" s="370">
        <f t="shared" si="33"/>
        <v>0</v>
      </c>
      <c r="G95" s="370">
        <f t="shared" si="33"/>
        <v>0</v>
      </c>
      <c r="H95" s="370">
        <f t="shared" si="33"/>
        <v>0</v>
      </c>
      <c r="I95" s="370">
        <f t="shared" si="33"/>
        <v>0</v>
      </c>
      <c r="J95" s="370">
        <f t="shared" si="33"/>
        <v>832821</v>
      </c>
      <c r="K95" s="370">
        <f t="shared" si="33"/>
        <v>2643026</v>
      </c>
      <c r="L95" s="370">
        <f t="shared" si="33"/>
        <v>0</v>
      </c>
      <c r="M95" s="370">
        <f t="shared" si="33"/>
        <v>0</v>
      </c>
      <c r="N95" s="370">
        <f t="shared" si="33"/>
        <v>0</v>
      </c>
      <c r="O95" s="370">
        <f t="shared" si="33"/>
        <v>0</v>
      </c>
      <c r="P95" s="370">
        <f t="shared" si="33"/>
        <v>0</v>
      </c>
      <c r="Q95" s="370">
        <f t="shared" si="33"/>
        <v>0</v>
      </c>
      <c r="R95" s="370">
        <f t="shared" si="33"/>
        <v>3475847</v>
      </c>
      <c r="S95" s="374">
        <f>SUM(S83:S86,S88:S94)</f>
        <v>3231847</v>
      </c>
      <c r="T95" s="370">
        <f>SUM(T83:T86,T88:T94)</f>
        <v>0</v>
      </c>
      <c r="U95" s="367"/>
    </row>
    <row r="96" spans="1:21" s="368" customFormat="1">
      <c r="A96" s="373" t="s">
        <v>580</v>
      </c>
      <c r="B96" s="370">
        <f>SUM(C96:D96)</f>
        <v>48707291</v>
      </c>
      <c r="C96" s="370">
        <f t="shared" ref="C96:R96" si="34">SUM(C62+C69+C76+C80+C95)</f>
        <v>48707291</v>
      </c>
      <c r="D96" s="370">
        <f t="shared" si="34"/>
        <v>0</v>
      </c>
      <c r="E96" s="370">
        <f t="shared" si="34"/>
        <v>20515583</v>
      </c>
      <c r="F96" s="370">
        <f t="shared" si="34"/>
        <v>12672110</v>
      </c>
      <c r="G96" s="370">
        <f t="shared" si="34"/>
        <v>2580000</v>
      </c>
      <c r="H96" s="370">
        <f t="shared" si="34"/>
        <v>2746572</v>
      </c>
      <c r="I96" s="370">
        <f t="shared" si="34"/>
        <v>550000</v>
      </c>
      <c r="J96" s="370">
        <f t="shared" si="34"/>
        <v>7000000</v>
      </c>
      <c r="K96" s="370">
        <f t="shared" si="34"/>
        <v>2643026</v>
      </c>
      <c r="L96" s="370">
        <f t="shared" si="34"/>
        <v>0</v>
      </c>
      <c r="M96" s="370">
        <f t="shared" si="34"/>
        <v>0</v>
      </c>
      <c r="N96" s="370">
        <f t="shared" si="34"/>
        <v>0</v>
      </c>
      <c r="O96" s="370">
        <f t="shared" si="34"/>
        <v>0</v>
      </c>
      <c r="P96" s="370">
        <f t="shared" si="34"/>
        <v>0</v>
      </c>
      <c r="Q96" s="370">
        <f t="shared" si="34"/>
        <v>0</v>
      </c>
      <c r="R96" s="370">
        <f t="shared" si="34"/>
        <v>48707291</v>
      </c>
      <c r="S96" s="374">
        <f>SUM(+S62+S69+S80+S95)</f>
        <v>37408873</v>
      </c>
      <c r="T96" s="374">
        <f>SUM(T62+T69+T80+T95)</f>
        <v>0</v>
      </c>
      <c r="U96" s="367"/>
    </row>
    <row r="97" spans="1:21" s="368" customFormat="1" ht="11.4">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582</v>
      </c>
      <c r="B98" s="370">
        <f>SUM(C98+D98)</f>
        <v>2200000</v>
      </c>
      <c r="C98" s="371">
        <v>2200000</v>
      </c>
      <c r="D98" s="371"/>
      <c r="E98" s="371"/>
      <c r="F98" s="371">
        <f>C98</f>
        <v>2200000</v>
      </c>
      <c r="G98" s="371"/>
      <c r="H98" s="371"/>
      <c r="I98" s="371"/>
      <c r="J98" s="371"/>
      <c r="K98" s="371"/>
      <c r="L98" s="371"/>
      <c r="M98" s="371"/>
      <c r="N98" s="371"/>
      <c r="O98" s="371"/>
      <c r="P98" s="371"/>
      <c r="Q98" s="371"/>
      <c r="R98" s="371">
        <f>SUM(E98:Q98)</f>
        <v>2200000</v>
      </c>
      <c r="S98" s="371">
        <f>R98</f>
        <v>2200000</v>
      </c>
      <c r="T98" s="371"/>
      <c r="U98" s="367"/>
    </row>
    <row r="99" spans="1:21" s="368" customFormat="1" ht="11.4">
      <c r="A99" s="369" t="s">
        <v>2169</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1341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35">SUM(C98:C102)</f>
        <v>2200000</v>
      </c>
      <c r="D103" s="370">
        <f t="shared" si="35"/>
        <v>0</v>
      </c>
      <c r="E103" s="370">
        <f t="shared" si="35"/>
        <v>0</v>
      </c>
      <c r="F103" s="370">
        <f t="shared" si="35"/>
        <v>2200000</v>
      </c>
      <c r="G103" s="370">
        <f t="shared" si="35"/>
        <v>0</v>
      </c>
      <c r="H103" s="370">
        <f t="shared" si="35"/>
        <v>0</v>
      </c>
      <c r="I103" s="370">
        <f t="shared" si="35"/>
        <v>0</v>
      </c>
      <c r="J103" s="370">
        <f t="shared" si="35"/>
        <v>0</v>
      </c>
      <c r="K103" s="370">
        <f t="shared" si="35"/>
        <v>0</v>
      </c>
      <c r="L103" s="370">
        <f t="shared" si="35"/>
        <v>0</v>
      </c>
      <c r="M103" s="370">
        <f t="shared" si="35"/>
        <v>0</v>
      </c>
      <c r="N103" s="370">
        <f t="shared" si="35"/>
        <v>0</v>
      </c>
      <c r="O103" s="370">
        <f t="shared" si="35"/>
        <v>0</v>
      </c>
      <c r="P103" s="370">
        <f t="shared" si="35"/>
        <v>0</v>
      </c>
      <c r="Q103" s="370">
        <f t="shared" si="35"/>
        <v>0</v>
      </c>
      <c r="R103" s="370">
        <f t="shared" si="35"/>
        <v>2200000</v>
      </c>
      <c r="S103" s="374">
        <f t="shared" si="35"/>
        <v>2200000</v>
      </c>
      <c r="T103" s="374">
        <f t="shared" si="35"/>
        <v>0</v>
      </c>
      <c r="U103" s="367"/>
    </row>
    <row r="104" spans="1:21" s="368" customFormat="1">
      <c r="A104" s="373" t="s">
        <v>1251</v>
      </c>
      <c r="B104" s="374">
        <f>SUM(C104:D104)</f>
        <v>50907291</v>
      </c>
      <c r="C104" s="374">
        <f t="shared" ref="C104:R104" si="36">SUM(C96+C103)</f>
        <v>50907291</v>
      </c>
      <c r="D104" s="374">
        <f t="shared" si="36"/>
        <v>0</v>
      </c>
      <c r="E104" s="374">
        <f t="shared" si="36"/>
        <v>20515583</v>
      </c>
      <c r="F104" s="374">
        <f t="shared" si="36"/>
        <v>14872110</v>
      </c>
      <c r="G104" s="374">
        <f t="shared" si="36"/>
        <v>2580000</v>
      </c>
      <c r="H104" s="374">
        <f t="shared" si="36"/>
        <v>2746572</v>
      </c>
      <c r="I104" s="374">
        <f t="shared" si="36"/>
        <v>550000</v>
      </c>
      <c r="J104" s="374">
        <f t="shared" si="36"/>
        <v>7000000</v>
      </c>
      <c r="K104" s="374">
        <f t="shared" si="36"/>
        <v>2643026</v>
      </c>
      <c r="L104" s="374">
        <f t="shared" si="36"/>
        <v>0</v>
      </c>
      <c r="M104" s="374">
        <f t="shared" si="36"/>
        <v>0</v>
      </c>
      <c r="N104" s="374">
        <f t="shared" si="36"/>
        <v>0</v>
      </c>
      <c r="O104" s="374">
        <f t="shared" si="36"/>
        <v>0</v>
      </c>
      <c r="P104" s="374">
        <f t="shared" si="36"/>
        <v>0</v>
      </c>
      <c r="Q104" s="374">
        <f t="shared" si="36"/>
        <v>0</v>
      </c>
      <c r="R104" s="370">
        <f t="shared" si="36"/>
        <v>50907291</v>
      </c>
      <c r="S104" s="374">
        <f>S96+S103</f>
        <v>39608873</v>
      </c>
      <c r="T104" s="374">
        <f>T96+T103</f>
        <v>0</v>
      </c>
      <c r="U104" s="367"/>
    </row>
    <row r="105" spans="1:21" s="383" customFormat="1">
      <c r="A105" s="1261" t="s">
        <v>1418</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39608873</v>
      </c>
      <c r="T106" s="388">
        <f>T104+T105</f>
        <v>0</v>
      </c>
      <c r="U106" s="386"/>
    </row>
    <row r="107" spans="1:21" s="389" customFormat="1">
      <c r="A107" s="387" t="s">
        <v>1195</v>
      </c>
      <c r="B107" s="382"/>
      <c r="C107" s="382"/>
      <c r="D107" s="382"/>
      <c r="E107" s="632">
        <f>Application!AO645</f>
        <v>20515583</v>
      </c>
      <c r="F107" s="632">
        <f>Application!AO632</f>
        <v>14872110</v>
      </c>
      <c r="G107" s="632">
        <f>Application!AO633</f>
        <v>2580000</v>
      </c>
      <c r="H107" s="632">
        <f>Application!AO634</f>
        <v>2746572</v>
      </c>
      <c r="I107" s="632">
        <f>Application!AO635</f>
        <v>550000</v>
      </c>
      <c r="J107" s="632">
        <f>Application!AO636</f>
        <v>7000000</v>
      </c>
      <c r="K107" s="632">
        <f>Application!AO637</f>
        <v>2643026</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2">
      <c r="A109" s="738" t="s">
        <v>1314</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2">
      <c r="A110" s="551" t="s">
        <v>1315</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2">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6">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2">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6">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6">
      <c r="A115" s="457"/>
      <c r="U115" s="386"/>
    </row>
    <row r="116" spans="1:21" s="389" customFormat="1">
      <c r="A116" s="866"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1419</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1421</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6">
      <c r="A120" s="457"/>
      <c r="U120" s="386"/>
    </row>
    <row r="121" spans="1:21" s="855" customFormat="1" ht="15.6">
      <c r="A121" s="854" t="s">
        <v>1410</v>
      </c>
      <c r="U121" s="856"/>
    </row>
    <row r="122" spans="1:21" s="383" customFormat="1" ht="11.4">
      <c r="A122" s="384" t="s">
        <v>1394</v>
      </c>
      <c r="D122" s="2219" t="s">
        <v>1395</v>
      </c>
      <c r="E122" s="2219"/>
      <c r="F122" s="2219"/>
      <c r="U122" s="386"/>
    </row>
    <row r="123" spans="1:21" s="383" customFormat="1" ht="11.4">
      <c r="A123" s="383" t="s">
        <v>1396</v>
      </c>
      <c r="B123" s="844"/>
      <c r="D123" s="2209" t="s">
        <v>1423</v>
      </c>
      <c r="E123" s="2210"/>
      <c r="F123" s="2210"/>
      <c r="G123" s="2210"/>
      <c r="H123" s="2210"/>
      <c r="I123" s="2210"/>
      <c r="J123" s="2210"/>
      <c r="K123" s="2210"/>
      <c r="L123" s="2210"/>
      <c r="M123" s="2210"/>
      <c r="N123" s="2210"/>
      <c r="O123" s="2210"/>
      <c r="P123" s="2210"/>
      <c r="Q123" s="2210"/>
      <c r="R123" s="2210"/>
      <c r="S123" s="2210"/>
      <c r="U123" s="386"/>
    </row>
    <row r="124" spans="1:21" s="383" customFormat="1" ht="13.2">
      <c r="A124" s="847" t="s">
        <v>1397</v>
      </c>
      <c r="B124" s="844"/>
      <c r="C124" s="847"/>
      <c r="D124" s="2210"/>
      <c r="E124" s="2210"/>
      <c r="F124" s="2210"/>
      <c r="G124" s="2210"/>
      <c r="H124" s="2210"/>
      <c r="I124" s="2210"/>
      <c r="J124" s="2210"/>
      <c r="K124" s="2210"/>
      <c r="L124" s="2210"/>
      <c r="M124" s="2210"/>
      <c r="N124" s="2210"/>
      <c r="O124" s="2210"/>
      <c r="P124" s="2210"/>
      <c r="Q124" s="2210"/>
      <c r="R124" s="2210"/>
      <c r="S124" s="2210"/>
      <c r="U124" s="386"/>
    </row>
    <row r="125" spans="1:21" s="383" customFormat="1" ht="13.2">
      <c r="A125" s="847" t="s">
        <v>1398</v>
      </c>
      <c r="B125" s="844"/>
      <c r="C125" s="847"/>
      <c r="D125" s="2210"/>
      <c r="E125" s="2210"/>
      <c r="F125" s="2210"/>
      <c r="G125" s="2210"/>
      <c r="H125" s="2210"/>
      <c r="I125" s="2210"/>
      <c r="J125" s="2210"/>
      <c r="K125" s="2210"/>
      <c r="L125" s="2210"/>
      <c r="M125" s="2210"/>
      <c r="N125" s="2210"/>
      <c r="O125" s="2210"/>
      <c r="P125" s="2210"/>
      <c r="Q125" s="2210"/>
      <c r="R125" s="2210"/>
      <c r="S125" s="2210"/>
      <c r="U125" s="386"/>
    </row>
    <row r="126" spans="1:21" s="383" customFormat="1" ht="13.2">
      <c r="A126" s="847" t="s">
        <v>1399</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3.2">
      <c r="A127" s="847" t="s">
        <v>1400</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3.2">
      <c r="A128" s="847" t="s">
        <v>1401</v>
      </c>
      <c r="B128" s="844"/>
      <c r="C128" s="847"/>
      <c r="D128" s="2217"/>
      <c r="E128" s="2217"/>
      <c r="F128" s="2217"/>
      <c r="G128" s="2217"/>
      <c r="H128" s="2217"/>
      <c r="I128" s="847"/>
      <c r="J128" s="2208"/>
      <c r="K128" s="2208"/>
      <c r="L128" s="847"/>
      <c r="M128" s="847"/>
      <c r="N128" s="847"/>
      <c r="O128" s="847"/>
      <c r="P128" s="847"/>
      <c r="Q128" s="847"/>
      <c r="R128" s="847"/>
      <c r="S128" s="847"/>
      <c r="U128" s="386"/>
    </row>
    <row r="129" spans="1:21" s="383" customFormat="1" ht="13.2">
      <c r="A129" s="847" t="s">
        <v>545</v>
      </c>
      <c r="B129" s="844"/>
      <c r="C129" s="847"/>
      <c r="D129" s="2218" t="s">
        <v>1402</v>
      </c>
      <c r="E129" s="2218"/>
      <c r="F129" s="2218"/>
      <c r="G129" s="2218"/>
      <c r="H129" s="2218"/>
      <c r="I129" s="847"/>
      <c r="J129" s="847" t="s">
        <v>1403</v>
      </c>
      <c r="K129" s="847"/>
      <c r="L129" s="847"/>
      <c r="M129" s="847"/>
      <c r="N129" s="847"/>
      <c r="O129" s="847"/>
      <c r="P129" s="847"/>
      <c r="Q129" s="847"/>
      <c r="R129" s="847"/>
      <c r="S129" s="847"/>
      <c r="U129" s="386"/>
    </row>
    <row r="130" spans="1:21" s="383" customFormat="1" ht="13.2">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2">
      <c r="A131" s="848" t="s">
        <v>1404</v>
      </c>
      <c r="B131" s="845">
        <f>SUM(B123:B129)</f>
        <v>0</v>
      </c>
      <c r="C131" s="847"/>
      <c r="D131" s="2136"/>
      <c r="E131" s="2136"/>
      <c r="F131" s="2136"/>
      <c r="G131" s="2136"/>
      <c r="H131" s="2136"/>
      <c r="I131" s="847"/>
      <c r="J131" s="2136"/>
      <c r="K131" s="2136"/>
      <c r="L131" s="2136"/>
      <c r="M131" s="2136"/>
      <c r="N131" s="847"/>
      <c r="O131" s="847"/>
      <c r="P131" s="847"/>
      <c r="Q131" s="847"/>
      <c r="R131" s="847"/>
      <c r="S131" s="847"/>
      <c r="U131" s="386"/>
    </row>
    <row r="132" spans="1:21" s="383" customFormat="1" ht="13.2">
      <c r="A132" s="849"/>
      <c r="B132" s="847"/>
      <c r="C132" s="847"/>
      <c r="D132" s="2211" t="s">
        <v>1405</v>
      </c>
      <c r="E132" s="2211"/>
      <c r="F132" s="2211"/>
      <c r="G132" s="2211"/>
      <c r="H132" s="2211"/>
      <c r="I132" s="847"/>
      <c r="J132" s="2211" t="s">
        <v>1406</v>
      </c>
      <c r="K132" s="2211"/>
      <c r="L132" s="2211"/>
      <c r="M132" s="2211"/>
      <c r="N132" s="847"/>
      <c r="O132" s="847"/>
      <c r="P132" s="847"/>
      <c r="Q132" s="847"/>
      <c r="R132" s="847"/>
      <c r="S132" s="847"/>
      <c r="U132" s="386"/>
    </row>
    <row r="133" spans="1:21" s="383" customFormat="1" ht="13.2">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3.2">
      <c r="A134" s="850" t="s">
        <v>1407</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2">
      <c r="A135" s="551" t="s">
        <v>1408</v>
      </c>
      <c r="B135" s="847"/>
      <c r="C135" s="847"/>
      <c r="D135" s="847"/>
      <c r="E135" s="847"/>
      <c r="F135" s="847"/>
      <c r="G135" s="847"/>
      <c r="H135" s="847"/>
      <c r="I135" s="847"/>
      <c r="J135" s="847"/>
      <c r="K135" s="847"/>
      <c r="L135" s="847"/>
      <c r="M135" s="847"/>
      <c r="N135" s="851"/>
      <c r="O135" s="847"/>
      <c r="P135" s="847"/>
      <c r="Q135" s="847"/>
      <c r="R135" s="847"/>
      <c r="S135" s="847"/>
      <c r="U135" s="386"/>
    </row>
    <row r="136" spans="1:21" ht="13.2">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12"/>
      <c r="B138" s="2213"/>
      <c r="C138" s="2213"/>
      <c r="D138" s="547"/>
      <c r="E138" s="2208"/>
      <c r="F138" s="2208"/>
      <c r="G138" s="847"/>
      <c r="H138" s="847"/>
      <c r="I138" s="847"/>
      <c r="J138" s="847"/>
      <c r="K138" s="847"/>
      <c r="L138" s="847"/>
      <c r="M138" s="847"/>
      <c r="N138" s="847"/>
      <c r="O138" s="847"/>
      <c r="P138" s="847"/>
      <c r="Q138" s="847"/>
      <c r="R138" s="847"/>
      <c r="S138" s="847"/>
    </row>
    <row r="139" spans="1:21" ht="12" customHeight="1">
      <c r="A139" s="2206" t="s">
        <v>1409</v>
      </c>
      <c r="B139" s="2207"/>
      <c r="C139" s="2207"/>
      <c r="D139" s="547"/>
      <c r="E139" s="847" t="s">
        <v>1403</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5" priority="233" stopIfTrue="1">
      <formula>T9&gt;C9</formula>
    </cfRule>
  </conditionalFormatting>
  <conditionalFormatting sqref="T10">
    <cfRule type="expression" dxfId="114" priority="232" stopIfTrue="1">
      <formula>(T10+S10)&gt;C10</formula>
    </cfRule>
  </conditionalFormatting>
  <conditionalFormatting sqref="R8">
    <cfRule type="cellIs" dxfId="113" priority="212" stopIfTrue="1" operator="notEqual">
      <formula>$B8</formula>
    </cfRule>
    <cfRule type="cellIs" priority="215" stopIfTrue="1" operator="notEqual">
      <formula>$B8</formula>
    </cfRule>
  </conditionalFormatting>
  <conditionalFormatting sqref="R45:R52 R56:R60 R82:R94 R98:R102 R4:R7">
    <cfRule type="cellIs" dxfId="112" priority="214" stopIfTrue="1" operator="notEqual">
      <formula>$B4</formula>
    </cfRule>
  </conditionalFormatting>
  <conditionalFormatting sqref="R9:R10">
    <cfRule type="cellIs" dxfId="111" priority="213" stopIfTrue="1" operator="notEqual">
      <formula>$B9</formula>
    </cfRule>
  </conditionalFormatting>
  <conditionalFormatting sqref="R11:R12">
    <cfRule type="cellIs" dxfId="110" priority="210" stopIfTrue="1" operator="notEqual">
      <formula>$B11</formula>
    </cfRule>
    <cfRule type="cellIs" priority="211" stopIfTrue="1" operator="notEqual">
      <formula>$B11</formula>
    </cfRule>
  </conditionalFormatting>
  <conditionalFormatting sqref="R13:R15">
    <cfRule type="cellIs" dxfId="109" priority="209" stopIfTrue="1" operator="notEqual">
      <formula>$B13</formula>
    </cfRule>
  </conditionalFormatting>
  <conditionalFormatting sqref="R26">
    <cfRule type="cellIs" dxfId="108" priority="207" stopIfTrue="1" operator="notEqual">
      <formula>$B26</formula>
    </cfRule>
    <cfRule type="cellIs" priority="208" stopIfTrue="1" operator="notEqual">
      <formula>$B26</formula>
    </cfRule>
  </conditionalFormatting>
  <conditionalFormatting sqref="R17:R25">
    <cfRule type="cellIs" dxfId="107" priority="206" stopIfTrue="1" operator="notEqual">
      <formula>$B17</formula>
    </cfRule>
  </conditionalFormatting>
  <conditionalFormatting sqref="R27">
    <cfRule type="cellIs" dxfId="106" priority="205" stopIfTrue="1" operator="notEqual">
      <formula>$B27</formula>
    </cfRule>
  </conditionalFormatting>
  <conditionalFormatting sqref="R38">
    <cfRule type="cellIs" dxfId="105" priority="203" stopIfTrue="1" operator="notEqual">
      <formula>$B38</formula>
    </cfRule>
    <cfRule type="cellIs" priority="204" stopIfTrue="1" operator="notEqual">
      <formula>$B38</formula>
    </cfRule>
  </conditionalFormatting>
  <conditionalFormatting sqref="R29:R37">
    <cfRule type="cellIs" dxfId="104" priority="202" stopIfTrue="1" operator="notEqual">
      <formula>$B29</formula>
    </cfRule>
  </conditionalFormatting>
  <conditionalFormatting sqref="R42">
    <cfRule type="cellIs" dxfId="103" priority="200" stopIfTrue="1" operator="notEqual">
      <formula>$B42</formula>
    </cfRule>
    <cfRule type="cellIs" priority="201" stopIfTrue="1" operator="notEqual">
      <formula>$B42</formula>
    </cfRule>
  </conditionalFormatting>
  <conditionalFormatting sqref="R40:R41">
    <cfRule type="cellIs" dxfId="102" priority="199" stopIfTrue="1" operator="notEqual">
      <formula>$B40</formula>
    </cfRule>
  </conditionalFormatting>
  <conditionalFormatting sqref="R43">
    <cfRule type="cellIs" dxfId="101" priority="198" stopIfTrue="1" operator="notEqual">
      <formula>$B43</formula>
    </cfRule>
  </conditionalFormatting>
  <conditionalFormatting sqref="R53">
    <cfRule type="cellIs" dxfId="100" priority="195" stopIfTrue="1" operator="notEqual">
      <formula>$B53</formula>
    </cfRule>
    <cfRule type="cellIs" priority="196" stopIfTrue="1" operator="notEqual">
      <formula>$B53</formula>
    </cfRule>
  </conditionalFormatting>
  <conditionalFormatting sqref="R55">
    <cfRule type="cellIs" dxfId="99" priority="193" stopIfTrue="1" operator="notEqual">
      <formula>$B55</formula>
    </cfRule>
  </conditionalFormatting>
  <conditionalFormatting sqref="R61:R62">
    <cfRule type="cellIs" dxfId="98" priority="191" stopIfTrue="1" operator="notEqual">
      <formula>$B61</formula>
    </cfRule>
    <cfRule type="cellIs" priority="192" stopIfTrue="1" operator="notEqual">
      <formula>$B61</formula>
    </cfRule>
  </conditionalFormatting>
  <conditionalFormatting sqref="R64:R68">
    <cfRule type="cellIs" dxfId="97" priority="190" stopIfTrue="1" operator="notEqual">
      <formula>$B64</formula>
    </cfRule>
  </conditionalFormatting>
  <conditionalFormatting sqref="R69">
    <cfRule type="cellIs" dxfId="96" priority="188" stopIfTrue="1" operator="notEqual">
      <formula>$B69</formula>
    </cfRule>
    <cfRule type="cellIs" priority="189" stopIfTrue="1" operator="notEqual">
      <formula>$B69</formula>
    </cfRule>
  </conditionalFormatting>
  <conditionalFormatting sqref="R71:R75">
    <cfRule type="cellIs" dxfId="95" priority="187" stopIfTrue="1" operator="notEqual">
      <formula>$B71</formula>
    </cfRule>
  </conditionalFormatting>
  <conditionalFormatting sqref="R76">
    <cfRule type="cellIs" dxfId="94" priority="185" stopIfTrue="1" operator="notEqual">
      <formula>$B76</formula>
    </cfRule>
    <cfRule type="cellIs" priority="186" stopIfTrue="1" operator="notEqual">
      <formula>$B76</formula>
    </cfRule>
  </conditionalFormatting>
  <conditionalFormatting sqref="R78:R79">
    <cfRule type="cellIs" dxfId="93" priority="184" stopIfTrue="1" operator="notEqual">
      <formula>$B78</formula>
    </cfRule>
  </conditionalFormatting>
  <conditionalFormatting sqref="R95:R96">
    <cfRule type="cellIs" dxfId="92" priority="181" stopIfTrue="1" operator="notEqual">
      <formula>$B95</formula>
    </cfRule>
    <cfRule type="cellIs" priority="182" stopIfTrue="1" operator="notEqual">
      <formula>$B95</formula>
    </cfRule>
  </conditionalFormatting>
  <conditionalFormatting sqref="R103:R104">
    <cfRule type="cellIs" dxfId="91" priority="178" stopIfTrue="1" operator="notEqual">
      <formula>$B103</formula>
    </cfRule>
    <cfRule type="cellIs" priority="179" stopIfTrue="1" operator="notEqual">
      <formula>$B103</formula>
    </cfRule>
  </conditionalFormatting>
  <conditionalFormatting sqref="E104:Q104">
    <cfRule type="cellIs" dxfId="90" priority="177" stopIfTrue="1" operator="notEqual">
      <formula>E$107</formula>
    </cfRule>
  </conditionalFormatting>
  <conditionalFormatting sqref="S43">
    <cfRule type="expression" dxfId="89" priority="70" stopIfTrue="1">
      <formula>(S43+T43)&gt;C43</formula>
    </cfRule>
  </conditionalFormatting>
  <conditionalFormatting sqref="S10">
    <cfRule type="expression" dxfId="88" priority="113" stopIfTrue="1">
      <formula>(S10+T10)&gt;C10</formula>
    </cfRule>
  </conditionalFormatting>
  <conditionalFormatting sqref="S29:S33">
    <cfRule type="expression" dxfId="87" priority="90" stopIfTrue="1">
      <formula>(S29+T29)&gt;C29</formula>
    </cfRule>
  </conditionalFormatting>
  <conditionalFormatting sqref="S23:S24">
    <cfRule type="expression" dxfId="86" priority="94" stopIfTrue="1">
      <formula>(S23+T23)&gt;C23</formula>
    </cfRule>
  </conditionalFormatting>
  <conditionalFormatting sqref="T13">
    <cfRule type="expression" dxfId="85" priority="112" stopIfTrue="1">
      <formula>(T13+S13)&gt;C13</formula>
    </cfRule>
  </conditionalFormatting>
  <conditionalFormatting sqref="T14">
    <cfRule type="expression" dxfId="84" priority="111" stopIfTrue="1">
      <formula>(T14+S14)&gt;C14</formula>
    </cfRule>
  </conditionalFormatting>
  <conditionalFormatting sqref="T17">
    <cfRule type="expression" dxfId="83" priority="110" stopIfTrue="1">
      <formula>(T17+S17)&gt;C17</formula>
    </cfRule>
  </conditionalFormatting>
  <conditionalFormatting sqref="T18">
    <cfRule type="expression" dxfId="82" priority="109" stopIfTrue="1">
      <formula>(T18+S18)&gt;C18</formula>
    </cfRule>
  </conditionalFormatting>
  <conditionalFormatting sqref="T19">
    <cfRule type="expression" dxfId="81" priority="108" stopIfTrue="1">
      <formula>(T19+S19)&gt;C19</formula>
    </cfRule>
  </conditionalFormatting>
  <conditionalFormatting sqref="T20">
    <cfRule type="expression" dxfId="80" priority="107" stopIfTrue="1">
      <formula>(T20+S20)&gt;C20</formula>
    </cfRule>
  </conditionalFormatting>
  <conditionalFormatting sqref="T21">
    <cfRule type="expression" dxfId="79" priority="106" stopIfTrue="1">
      <formula>(T21+S21)&gt;C21</formula>
    </cfRule>
  </conditionalFormatting>
  <conditionalFormatting sqref="T22">
    <cfRule type="expression" dxfId="78" priority="105" stopIfTrue="1">
      <formula>(T22+S22)&gt;C22</formula>
    </cfRule>
  </conditionalFormatting>
  <conditionalFormatting sqref="T23:T24">
    <cfRule type="expression" dxfId="77" priority="104" stopIfTrue="1">
      <formula>(T23+S23)&gt;C23</formula>
    </cfRule>
  </conditionalFormatting>
  <conditionalFormatting sqref="T25">
    <cfRule type="expression" dxfId="76" priority="103" stopIfTrue="1">
      <formula>(T25+S25)&gt;C25</formula>
    </cfRule>
  </conditionalFormatting>
  <conditionalFormatting sqref="S13">
    <cfRule type="expression" dxfId="75" priority="102" stopIfTrue="1">
      <formula>(S13+T13)&gt;C13</formula>
    </cfRule>
  </conditionalFormatting>
  <conditionalFormatting sqref="S14">
    <cfRule type="expression" dxfId="74" priority="101" stopIfTrue="1">
      <formula>(S14+T14)&gt;C14</formula>
    </cfRule>
  </conditionalFormatting>
  <conditionalFormatting sqref="S17">
    <cfRule type="expression" dxfId="73" priority="100" stopIfTrue="1">
      <formula>(S17+T17)&gt;C17</formula>
    </cfRule>
  </conditionalFormatting>
  <conditionalFormatting sqref="S18">
    <cfRule type="expression" dxfId="72" priority="99" stopIfTrue="1">
      <formula>(S18+T18)&gt;C18</formula>
    </cfRule>
  </conditionalFormatting>
  <conditionalFormatting sqref="S19">
    <cfRule type="expression" dxfId="71" priority="98" stopIfTrue="1">
      <formula>(S19+T19)&gt;C19</formula>
    </cfRule>
  </conditionalFormatting>
  <conditionalFormatting sqref="S20">
    <cfRule type="expression" dxfId="70" priority="97" stopIfTrue="1">
      <formula>(S20+T20)&gt;C20</formula>
    </cfRule>
  </conditionalFormatting>
  <conditionalFormatting sqref="S21">
    <cfRule type="expression" dxfId="69" priority="96" stopIfTrue="1">
      <formula>(S21+T21)&gt;C21</formula>
    </cfRule>
  </conditionalFormatting>
  <conditionalFormatting sqref="S22">
    <cfRule type="expression" dxfId="68" priority="95" stopIfTrue="1">
      <formula>(S22+T22)&gt;C22</formula>
    </cfRule>
  </conditionalFormatting>
  <conditionalFormatting sqref="S25">
    <cfRule type="expression" dxfId="67" priority="93" stopIfTrue="1">
      <formula>(S25+T25)&gt;C25</formula>
    </cfRule>
  </conditionalFormatting>
  <conditionalFormatting sqref="S27">
    <cfRule type="expression" dxfId="66" priority="92" stopIfTrue="1">
      <formula>(S27+T27)&gt;C27</formula>
    </cfRule>
  </conditionalFormatting>
  <conditionalFormatting sqref="T27">
    <cfRule type="expression" dxfId="65" priority="91" stopIfTrue="1">
      <formula>(T27+S27)&gt;C27</formula>
    </cfRule>
  </conditionalFormatting>
  <conditionalFormatting sqref="S34:S37">
    <cfRule type="expression" dxfId="64" priority="85" stopIfTrue="1">
      <formula>(S34+T34)&gt;C34</formula>
    </cfRule>
  </conditionalFormatting>
  <conditionalFormatting sqref="T29">
    <cfRule type="expression" dxfId="63" priority="82" stopIfTrue="1">
      <formula>(T29+S29)&gt;C29</formula>
    </cfRule>
  </conditionalFormatting>
  <conditionalFormatting sqref="T30">
    <cfRule type="expression" dxfId="62" priority="81" stopIfTrue="1">
      <formula>(T30+S30)&gt;C30</formula>
    </cfRule>
  </conditionalFormatting>
  <conditionalFormatting sqref="T31">
    <cfRule type="expression" dxfId="61" priority="80" stopIfTrue="1">
      <formula>(T31+S31)&gt;C31</formula>
    </cfRule>
  </conditionalFormatting>
  <conditionalFormatting sqref="T32">
    <cfRule type="expression" dxfId="60" priority="79" stopIfTrue="1">
      <formula>(T32+S32)&gt;C32</formula>
    </cfRule>
  </conditionalFormatting>
  <conditionalFormatting sqref="T33">
    <cfRule type="expression" dxfId="59" priority="78" stopIfTrue="1">
      <formula>(T33+S33)&gt;C33</formula>
    </cfRule>
  </conditionalFormatting>
  <conditionalFormatting sqref="T34">
    <cfRule type="expression" dxfId="58" priority="77" stopIfTrue="1">
      <formula>(T34+S34)&gt;C34</formula>
    </cfRule>
  </conditionalFormatting>
  <conditionalFormatting sqref="T35:T36">
    <cfRule type="expression" dxfId="57" priority="76" stopIfTrue="1">
      <formula>(T35+S35)&gt;C35</formula>
    </cfRule>
  </conditionalFormatting>
  <conditionalFormatting sqref="T37">
    <cfRule type="expression" dxfId="56" priority="75" stopIfTrue="1">
      <formula>(T37+S37)&gt;C37</formula>
    </cfRule>
  </conditionalFormatting>
  <conditionalFormatting sqref="T40">
    <cfRule type="expression" dxfId="55" priority="74" stopIfTrue="1">
      <formula>(T40+S40)&gt;C40</formula>
    </cfRule>
  </conditionalFormatting>
  <conditionalFormatting sqref="T41">
    <cfRule type="expression" dxfId="54" priority="73" stopIfTrue="1">
      <formula>(T41+S41)&gt;C41</formula>
    </cfRule>
  </conditionalFormatting>
  <conditionalFormatting sqref="S40">
    <cfRule type="expression" dxfId="53" priority="72" stopIfTrue="1">
      <formula>(S40+T40)&gt;C40</formula>
    </cfRule>
  </conditionalFormatting>
  <conditionalFormatting sqref="S41">
    <cfRule type="expression" dxfId="52" priority="71" stopIfTrue="1">
      <formula>(S41+T41)&gt;C41</formula>
    </cfRule>
  </conditionalFormatting>
  <conditionalFormatting sqref="T43">
    <cfRule type="expression" dxfId="51" priority="69" stopIfTrue="1">
      <formula>(T43+S43)&gt;C43</formula>
    </cfRule>
  </conditionalFormatting>
  <conditionalFormatting sqref="S45:S52">
    <cfRule type="expression" dxfId="50" priority="68" stopIfTrue="1">
      <formula>(S45+T45)&gt;C45</formula>
    </cfRule>
  </conditionalFormatting>
  <conditionalFormatting sqref="T45">
    <cfRule type="expression" dxfId="49" priority="59" stopIfTrue="1">
      <formula>(T45+S45)&gt;C45</formula>
    </cfRule>
  </conditionalFormatting>
  <conditionalFormatting sqref="T46">
    <cfRule type="expression" dxfId="48" priority="58" stopIfTrue="1">
      <formula>(T46+S46)&gt;C46</formula>
    </cfRule>
  </conditionalFormatting>
  <conditionalFormatting sqref="T47">
    <cfRule type="expression" dxfId="47" priority="57" stopIfTrue="1">
      <formula>(T47+S47)&gt;C47</formula>
    </cfRule>
  </conditionalFormatting>
  <conditionalFormatting sqref="T48">
    <cfRule type="expression" dxfId="46" priority="56" stopIfTrue="1">
      <formula>(T48+S48)&gt;C48</formula>
    </cfRule>
  </conditionalFormatting>
  <conditionalFormatting sqref="T49">
    <cfRule type="expression" dxfId="45" priority="55" stopIfTrue="1">
      <formula>(T49+S49)&gt;C49</formula>
    </cfRule>
  </conditionalFormatting>
  <conditionalFormatting sqref="T50">
    <cfRule type="expression" dxfId="44" priority="54" stopIfTrue="1">
      <formula>(T50+S50)&gt;C50</formula>
    </cfRule>
  </conditionalFormatting>
  <conditionalFormatting sqref="T51">
    <cfRule type="expression" dxfId="43" priority="53" stopIfTrue="1">
      <formula>(T51+S51)&gt;C51</formula>
    </cfRule>
  </conditionalFormatting>
  <conditionalFormatting sqref="T52">
    <cfRule type="expression" dxfId="42" priority="51" stopIfTrue="1">
      <formula>(T52+S52)&gt;C52</formula>
    </cfRule>
  </conditionalFormatting>
  <conditionalFormatting sqref="T64:T67">
    <cfRule type="expression" dxfId="41" priority="50" stopIfTrue="1">
      <formula>(T64+S64)&gt;C64</formula>
    </cfRule>
  </conditionalFormatting>
  <conditionalFormatting sqref="T68">
    <cfRule type="expression" dxfId="40" priority="49" stopIfTrue="1">
      <formula>(T68+S68)&gt;C68</formula>
    </cfRule>
  </conditionalFormatting>
  <conditionalFormatting sqref="S64:S67">
    <cfRule type="expression" dxfId="39" priority="48" stopIfTrue="1">
      <formula>(S64+T64)&gt;C64</formula>
    </cfRule>
  </conditionalFormatting>
  <conditionalFormatting sqref="S68">
    <cfRule type="expression" dxfId="38" priority="47" stopIfTrue="1">
      <formula>(S68+T68)&gt;C68</formula>
    </cfRule>
  </conditionalFormatting>
  <conditionalFormatting sqref="T78">
    <cfRule type="expression" dxfId="37" priority="46" stopIfTrue="1">
      <formula>(T78+S78)&gt;C78</formula>
    </cfRule>
  </conditionalFormatting>
  <conditionalFormatting sqref="T79">
    <cfRule type="expression" dxfId="36" priority="45" stopIfTrue="1">
      <formula>(T79+S79)&gt;C79</formula>
    </cfRule>
  </conditionalFormatting>
  <conditionalFormatting sqref="S78:S79">
    <cfRule type="expression" dxfId="35" priority="44" stopIfTrue="1">
      <formula>(S78+T78)&gt;C78</formula>
    </cfRule>
  </conditionalFormatting>
  <conditionalFormatting sqref="S83:S86">
    <cfRule type="expression" dxfId="34" priority="42" stopIfTrue="1">
      <formula>(S83+T83)&gt;C83</formula>
    </cfRule>
  </conditionalFormatting>
  <conditionalFormatting sqref="T83">
    <cfRule type="expression" dxfId="33" priority="38" stopIfTrue="1">
      <formula>(T83+S83)&gt;C83</formula>
    </cfRule>
  </conditionalFormatting>
  <conditionalFormatting sqref="T84">
    <cfRule type="expression" dxfId="32" priority="37" stopIfTrue="1">
      <formula>(T84+S84)&gt;C84</formula>
    </cfRule>
  </conditionalFormatting>
  <conditionalFormatting sqref="T85">
    <cfRule type="expression" dxfId="31" priority="36" stopIfTrue="1">
      <formula>(T85+S85)&gt;C85</formula>
    </cfRule>
  </conditionalFormatting>
  <conditionalFormatting sqref="T86">
    <cfRule type="expression" dxfId="30" priority="35" stopIfTrue="1">
      <formula>(T86+S86)&gt;C86</formula>
    </cfRule>
  </conditionalFormatting>
  <conditionalFormatting sqref="S88:S94">
    <cfRule type="expression" dxfId="29" priority="34" stopIfTrue="1">
      <formula>(S88+T88)&gt;C88</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40" workbookViewId="0">
      <selection activeCell="AL46" sqref="AL46"/>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65" t="s">
        <v>1911</v>
      </c>
      <c r="B1" s="2266"/>
      <c r="C1" s="2266"/>
      <c r="D1" s="2266"/>
      <c r="E1" s="2266"/>
      <c r="F1" s="2266"/>
      <c r="G1" s="2266"/>
      <c r="H1" s="2266"/>
      <c r="I1" s="2266"/>
      <c r="J1" s="2266"/>
      <c r="K1" s="2266"/>
      <c r="L1" s="2266"/>
      <c r="M1" s="2266"/>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c r="AL1" s="2266"/>
      <c r="AM1" s="2266"/>
      <c r="AN1" s="2266"/>
    </row>
    <row r="2" spans="1:40" ht="13.8" thickBot="1">
      <c r="A2" s="2267"/>
      <c r="B2" s="2267"/>
      <c r="C2" s="2267"/>
      <c r="D2" s="2267"/>
      <c r="E2" s="2267"/>
      <c r="F2" s="2267"/>
      <c r="G2" s="2267"/>
      <c r="H2" s="2267"/>
      <c r="I2" s="2267"/>
      <c r="J2" s="2267"/>
      <c r="K2" s="2267"/>
      <c r="L2" s="2267"/>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7"/>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715</v>
      </c>
      <c r="C5" s="6" t="s">
        <v>228</v>
      </c>
      <c r="F5" s="6"/>
    </row>
    <row r="6" spans="1:40" ht="13.2">
      <c r="B6" s="1076" t="s">
        <v>2002</v>
      </c>
      <c r="AA6" s="2"/>
    </row>
    <row r="7" spans="1:40" ht="13.65" customHeight="1">
      <c r="B7" s="9"/>
      <c r="C7" s="10"/>
      <c r="D7" s="10"/>
      <c r="E7" s="10"/>
      <c r="F7" s="10"/>
      <c r="G7" s="10"/>
      <c r="H7" s="10"/>
      <c r="I7" s="10"/>
      <c r="J7" s="10"/>
      <c r="K7" s="10"/>
      <c r="L7" s="10"/>
      <c r="M7" s="10"/>
      <c r="N7" s="10"/>
      <c r="O7" s="10"/>
      <c r="P7" s="10"/>
      <c r="Q7" s="10"/>
      <c r="R7" s="10"/>
      <c r="S7" s="10"/>
      <c r="T7" s="2248" t="str">
        <f>IF(T25=100%,'Sources and Basis Breakdown'!G2,'Sources and Basis Breakdown'!F2)</f>
        <v>70% PVC for New Const/
Rehabilitation
NON-DDA/
NON-QCT Building(s)</v>
      </c>
      <c r="U7" s="2248"/>
      <c r="V7" s="2248"/>
      <c r="W7" s="2248"/>
      <c r="X7" s="2248"/>
      <c r="Y7" s="2248" t="str">
        <f>IF(T25=100%," ",'Sources and Basis Breakdown'!G2)</f>
        <v xml:space="preserve"> </v>
      </c>
      <c r="Z7" s="2248"/>
      <c r="AA7" s="2248"/>
      <c r="AB7" s="2248"/>
      <c r="AC7" s="2248"/>
      <c r="AD7" s="2248" t="str">
        <f>IF(T25=100%,'Sources and Basis Breakdown'!J2,'Sources and Basis Breakdown'!I2)</f>
        <v>30% PVC for Acquisition
NON-DDA/
NON-QCT Building(s)</v>
      </c>
      <c r="AE7" s="2248"/>
      <c r="AF7" s="2248"/>
      <c r="AG7" s="2248"/>
      <c r="AH7" s="2248"/>
      <c r="AI7" s="2248" t="str">
        <f>IF(T25=100%," ",'Sources and Basis Breakdown'!J2)</f>
        <v xml:space="preserve"> </v>
      </c>
      <c r="AJ7" s="2248"/>
      <c r="AK7" s="2248"/>
      <c r="AL7" s="2248"/>
      <c r="AM7" s="2248"/>
    </row>
    <row r="8" spans="1:40" ht="12.75" customHeight="1">
      <c r="B8" s="337"/>
      <c r="C8" s="1"/>
      <c r="D8" s="1"/>
      <c r="E8" s="1"/>
      <c r="F8" s="1"/>
      <c r="G8" s="1"/>
      <c r="H8" s="1"/>
      <c r="I8" s="1"/>
      <c r="J8" s="1"/>
      <c r="K8" s="1"/>
      <c r="L8" s="1"/>
      <c r="M8" s="1"/>
      <c r="N8" s="1"/>
      <c r="O8" s="1"/>
      <c r="P8" s="1"/>
      <c r="Q8" s="1"/>
      <c r="R8" s="1"/>
      <c r="S8" s="1"/>
      <c r="T8" s="2248"/>
      <c r="U8" s="2248"/>
      <c r="V8" s="2248"/>
      <c r="W8" s="2248"/>
      <c r="X8" s="2248"/>
      <c r="Y8" s="2248"/>
      <c r="Z8" s="2248"/>
      <c r="AA8" s="2248"/>
      <c r="AB8" s="2248"/>
      <c r="AC8" s="2248"/>
      <c r="AD8" s="2248"/>
      <c r="AE8" s="2248"/>
      <c r="AF8" s="2248"/>
      <c r="AG8" s="2248"/>
      <c r="AH8" s="2248"/>
      <c r="AI8" s="2248"/>
      <c r="AJ8" s="2248"/>
      <c r="AK8" s="2248"/>
      <c r="AL8" s="2248"/>
      <c r="AM8" s="2248"/>
    </row>
    <row r="9" spans="1:40" ht="13.2">
      <c r="B9" s="337"/>
      <c r="C9" s="1"/>
      <c r="D9" s="1"/>
      <c r="E9" s="1"/>
      <c r="F9" s="1"/>
      <c r="G9" s="1"/>
      <c r="H9" s="1"/>
      <c r="I9" s="1"/>
      <c r="J9" s="1"/>
      <c r="K9" s="1"/>
      <c r="L9" s="1"/>
      <c r="M9" s="1"/>
      <c r="N9" s="1"/>
      <c r="O9" s="1"/>
      <c r="P9" s="1"/>
      <c r="Q9" s="1"/>
      <c r="R9" s="1"/>
      <c r="S9" s="1"/>
      <c r="T9" s="2248"/>
      <c r="U9" s="2248"/>
      <c r="V9" s="2248"/>
      <c r="W9" s="2248"/>
      <c r="X9" s="2248"/>
      <c r="Y9" s="2248"/>
      <c r="Z9" s="2248"/>
      <c r="AA9" s="2248"/>
      <c r="AB9" s="2248"/>
      <c r="AC9" s="2248"/>
      <c r="AD9" s="2248"/>
      <c r="AE9" s="2248"/>
      <c r="AF9" s="2248"/>
      <c r="AG9" s="2248"/>
      <c r="AH9" s="2248"/>
      <c r="AI9" s="2248"/>
      <c r="AJ9" s="2248"/>
      <c r="AK9" s="2248"/>
      <c r="AL9" s="2248"/>
      <c r="AM9" s="2248"/>
    </row>
    <row r="10" spans="1:40" ht="41.4" customHeight="1">
      <c r="B10" s="277"/>
      <c r="C10" s="278"/>
      <c r="D10" s="278"/>
      <c r="E10" s="278"/>
      <c r="F10" s="278"/>
      <c r="G10" s="278"/>
      <c r="H10" s="278"/>
      <c r="I10" s="278"/>
      <c r="J10" s="278"/>
      <c r="K10" s="278"/>
      <c r="L10" s="278"/>
      <c r="M10" s="278"/>
      <c r="N10" s="278"/>
      <c r="O10" s="278"/>
      <c r="P10" s="278"/>
      <c r="Q10" s="278"/>
      <c r="R10" s="278"/>
      <c r="S10" s="278"/>
      <c r="T10" s="2248"/>
      <c r="U10" s="2248"/>
      <c r="V10" s="2248"/>
      <c r="W10" s="2248"/>
      <c r="X10" s="2248"/>
      <c r="Y10" s="2248"/>
      <c r="Z10" s="2248"/>
      <c r="AA10" s="2248"/>
      <c r="AB10" s="2248"/>
      <c r="AC10" s="2248"/>
      <c r="AD10" s="2248"/>
      <c r="AE10" s="2248"/>
      <c r="AF10" s="2248"/>
      <c r="AG10" s="2248"/>
      <c r="AH10" s="2248"/>
      <c r="AI10" s="2248"/>
      <c r="AJ10" s="2248"/>
      <c r="AK10" s="2248"/>
      <c r="AL10" s="2248"/>
      <c r="AM10" s="2248"/>
    </row>
    <row r="11" spans="1:40" ht="13.2">
      <c r="B11" s="2220" t="s">
        <v>563</v>
      </c>
      <c r="C11" s="2221"/>
      <c r="D11" s="2221"/>
      <c r="E11" s="2221"/>
      <c r="F11" s="2221"/>
      <c r="G11" s="2221"/>
      <c r="H11" s="2221"/>
      <c r="I11" s="2221"/>
      <c r="J11" s="2221"/>
      <c r="K11" s="2221"/>
      <c r="L11" s="2221"/>
      <c r="M11" s="2221"/>
      <c r="N11" s="2221"/>
      <c r="O11" s="2221"/>
      <c r="P11" s="2221"/>
      <c r="Q11" s="2221"/>
      <c r="R11" s="2221"/>
      <c r="S11" s="2222"/>
      <c r="T11" s="2259">
        <f>IF('Sources and Basis Breakdown'!F105=0,'Sources and Basis Breakdown'!E105,'Sources and Basis Breakdown'!F105)</f>
        <v>39608873</v>
      </c>
      <c r="U11" s="2249"/>
      <c r="V11" s="2249"/>
      <c r="W11" s="2249"/>
      <c r="X11" s="2249"/>
      <c r="Y11" s="2268">
        <f>IF(Y7=" ",0,IF('Sources and Basis Breakdown'!G105+'Sources and Basis Breakdown'!F105='Sources and Basis Breakdown'!E105,'Sources and Basis Breakdown'!G105,0))</f>
        <v>0</v>
      </c>
      <c r="Z11" s="2249"/>
      <c r="AA11" s="2249"/>
      <c r="AB11" s="2249"/>
      <c r="AC11" s="2249"/>
      <c r="AD11" s="2249">
        <f>IF('Sources and Basis Breakdown'!I105=0,'Sources and Basis Breakdown'!H105,'Sources and Basis Breakdown'!I105)</f>
        <v>0</v>
      </c>
      <c r="AE11" s="2249"/>
      <c r="AF11" s="2249"/>
      <c r="AG11" s="2249"/>
      <c r="AH11" s="2249"/>
      <c r="AI11" s="2249">
        <f>IF(AI7=" ",0,IF('Sources and Basis Breakdown'!I105+'Sources and Basis Breakdown'!J105='Sources and Basis Breakdown'!H105,'Sources and Basis Breakdown'!J105,0))</f>
        <v>0</v>
      </c>
      <c r="AJ11" s="2249"/>
      <c r="AK11" s="2249"/>
      <c r="AL11" s="2249"/>
      <c r="AM11" s="2249"/>
    </row>
    <row r="12" spans="1:40" ht="13.2">
      <c r="B12" s="2252" t="s">
        <v>493</v>
      </c>
      <c r="C12" s="2253"/>
      <c r="D12" s="2253"/>
      <c r="E12" s="2253"/>
      <c r="F12" s="2253"/>
      <c r="G12" s="2253"/>
      <c r="H12" s="2253"/>
      <c r="I12" s="2253"/>
      <c r="J12" s="2253"/>
      <c r="K12" s="2253"/>
      <c r="L12" s="2253"/>
      <c r="M12" s="2253"/>
      <c r="N12" s="2253"/>
      <c r="O12" s="2253"/>
      <c r="P12" s="2253"/>
      <c r="Q12" s="2253"/>
      <c r="R12" s="2253"/>
      <c r="S12" s="2254"/>
      <c r="T12" s="2262"/>
      <c r="U12" s="2263"/>
      <c r="V12" s="2263"/>
      <c r="W12" s="2263"/>
      <c r="X12" s="2264"/>
      <c r="Y12" s="2262"/>
      <c r="Z12" s="2263"/>
      <c r="AA12" s="2263"/>
      <c r="AB12" s="2263"/>
      <c r="AC12" s="2264"/>
      <c r="AD12" s="2262"/>
      <c r="AE12" s="2263"/>
      <c r="AF12" s="2263"/>
      <c r="AG12" s="2263"/>
      <c r="AH12" s="2264"/>
      <c r="AI12" s="2262"/>
      <c r="AJ12" s="2263"/>
      <c r="AK12" s="2263"/>
      <c r="AL12" s="2263"/>
      <c r="AM12" s="2264"/>
    </row>
    <row r="13" spans="1:40" ht="13.2">
      <c r="B13" s="11"/>
      <c r="C13" s="2255" t="s">
        <v>1875</v>
      </c>
      <c r="D13" s="2256"/>
      <c r="E13" s="2256"/>
      <c r="F13" s="2256"/>
      <c r="G13" s="2256"/>
      <c r="H13" s="2256"/>
      <c r="I13" s="2256"/>
      <c r="J13" s="2256"/>
      <c r="K13" s="2256"/>
      <c r="L13" s="2256"/>
      <c r="M13" s="2256"/>
      <c r="N13" s="2256"/>
      <c r="O13" s="2256"/>
      <c r="P13" s="2256"/>
      <c r="Q13" s="2256"/>
      <c r="R13" s="2256"/>
      <c r="S13" s="2257"/>
      <c r="T13" s="2260"/>
      <c r="U13" s="2261"/>
      <c r="V13" s="2261"/>
      <c r="W13" s="2261"/>
      <c r="X13" s="2261"/>
      <c r="Y13" s="2260"/>
      <c r="Z13" s="2261"/>
      <c r="AA13" s="2261"/>
      <c r="AB13" s="2261"/>
      <c r="AC13" s="2261"/>
      <c r="AD13" s="2261"/>
      <c r="AE13" s="2261"/>
      <c r="AF13" s="2261"/>
      <c r="AG13" s="2261"/>
      <c r="AH13" s="2261"/>
      <c r="AI13" s="2261"/>
      <c r="AJ13" s="2261"/>
      <c r="AK13" s="2261"/>
      <c r="AL13" s="2261"/>
      <c r="AM13" s="2261"/>
    </row>
    <row r="14" spans="1:40" ht="13.2">
      <c r="B14" s="11"/>
      <c r="C14" s="2256" t="s">
        <v>833</v>
      </c>
      <c r="D14" s="2256"/>
      <c r="E14" s="2256"/>
      <c r="F14" s="2256"/>
      <c r="G14" s="2256"/>
      <c r="H14" s="2256"/>
      <c r="I14" s="2256"/>
      <c r="J14" s="2256"/>
      <c r="K14" s="2256"/>
      <c r="L14" s="2256"/>
      <c r="M14" s="2256"/>
      <c r="N14" s="2256"/>
      <c r="O14" s="2256"/>
      <c r="P14" s="2256"/>
      <c r="Q14" s="2256"/>
      <c r="R14" s="2256"/>
      <c r="S14" s="2257"/>
      <c r="T14" s="1721"/>
      <c r="U14" s="1655"/>
      <c r="V14" s="1655"/>
      <c r="W14" s="1655"/>
      <c r="X14" s="1655"/>
      <c r="Y14" s="1721"/>
      <c r="Z14" s="1655"/>
      <c r="AA14" s="1655"/>
      <c r="AB14" s="1655"/>
      <c r="AC14" s="1655"/>
      <c r="AD14" s="1655"/>
      <c r="AE14" s="1655"/>
      <c r="AF14" s="1655"/>
      <c r="AG14" s="1655"/>
      <c r="AH14" s="1655"/>
      <c r="AI14" s="1655"/>
      <c r="AJ14" s="1655"/>
      <c r="AK14" s="1655"/>
      <c r="AL14" s="1655"/>
      <c r="AM14" s="1655"/>
    </row>
    <row r="15" spans="1:40" ht="13.2">
      <c r="B15" s="11"/>
      <c r="C15" s="2256" t="s">
        <v>834</v>
      </c>
      <c r="D15" s="2256"/>
      <c r="E15" s="2256"/>
      <c r="F15" s="2256"/>
      <c r="G15" s="2256"/>
      <c r="H15" s="2256"/>
      <c r="I15" s="2256"/>
      <c r="J15" s="2256"/>
      <c r="K15" s="2256"/>
      <c r="L15" s="2256"/>
      <c r="M15" s="2256"/>
      <c r="N15" s="2256"/>
      <c r="O15" s="2256"/>
      <c r="P15" s="2256"/>
      <c r="Q15" s="2256"/>
      <c r="R15" s="2256"/>
      <c r="S15" s="2257"/>
      <c r="T15" s="1721"/>
      <c r="U15" s="1655"/>
      <c r="V15" s="1655"/>
      <c r="W15" s="1655"/>
      <c r="X15" s="1655"/>
      <c r="Y15" s="1721"/>
      <c r="Z15" s="1655"/>
      <c r="AA15" s="1655"/>
      <c r="AB15" s="1655"/>
      <c r="AC15" s="1655"/>
      <c r="AD15" s="1655"/>
      <c r="AE15" s="1655"/>
      <c r="AF15" s="1655"/>
      <c r="AG15" s="1655"/>
      <c r="AH15" s="1655"/>
      <c r="AI15" s="1655"/>
      <c r="AJ15" s="1655"/>
      <c r="AK15" s="1655"/>
      <c r="AL15" s="1655"/>
      <c r="AM15" s="1655"/>
    </row>
    <row r="16" spans="1:40" ht="13.2">
      <c r="B16" s="11"/>
      <c r="C16" s="2255" t="s">
        <v>1096</v>
      </c>
      <c r="D16" s="2255"/>
      <c r="E16" s="2255"/>
      <c r="F16" s="2255"/>
      <c r="G16" s="2255"/>
      <c r="H16" s="2255"/>
      <c r="I16" s="2255"/>
      <c r="J16" s="2255"/>
      <c r="K16" s="2255"/>
      <c r="L16" s="2255"/>
      <c r="M16" s="2255"/>
      <c r="N16" s="2255"/>
      <c r="O16" s="2255"/>
      <c r="P16" s="2255"/>
      <c r="Q16" s="2255"/>
      <c r="R16" s="2255"/>
      <c r="S16" s="2258"/>
      <c r="T16" s="1721"/>
      <c r="U16" s="1655"/>
      <c r="V16" s="1655"/>
      <c r="W16" s="1655"/>
      <c r="X16" s="1655"/>
      <c r="Y16" s="1721"/>
      <c r="Z16" s="1655"/>
      <c r="AA16" s="1655"/>
      <c r="AB16" s="1655"/>
      <c r="AC16" s="1655"/>
      <c r="AD16" s="1655"/>
      <c r="AE16" s="1655"/>
      <c r="AF16" s="1655"/>
      <c r="AG16" s="1655"/>
      <c r="AH16" s="1655"/>
      <c r="AI16" s="1655"/>
      <c r="AJ16" s="1655"/>
      <c r="AK16" s="1655"/>
      <c r="AL16" s="1655"/>
      <c r="AM16" s="1655"/>
    </row>
    <row r="17" spans="1:39" ht="13.2">
      <c r="B17" s="11"/>
      <c r="C17" s="2256" t="s">
        <v>835</v>
      </c>
      <c r="D17" s="2256"/>
      <c r="E17" s="2256"/>
      <c r="F17" s="2256"/>
      <c r="G17" s="2256"/>
      <c r="H17" s="2256"/>
      <c r="I17" s="2256"/>
      <c r="J17" s="2256"/>
      <c r="K17" s="2256"/>
      <c r="L17" s="2256"/>
      <c r="M17" s="2256"/>
      <c r="N17" s="2256"/>
      <c r="O17" s="2256"/>
      <c r="P17" s="2256"/>
      <c r="Q17" s="2256"/>
      <c r="R17" s="2256"/>
      <c r="S17" s="2257"/>
      <c r="T17" s="1721"/>
      <c r="U17" s="1655"/>
      <c r="V17" s="1655"/>
      <c r="W17" s="1655"/>
      <c r="X17" s="1655"/>
      <c r="Y17" s="1721"/>
      <c r="Z17" s="1655"/>
      <c r="AA17" s="1655"/>
      <c r="AB17" s="1655"/>
      <c r="AC17" s="1655"/>
      <c r="AD17" s="1655"/>
      <c r="AE17" s="1655"/>
      <c r="AF17" s="1655"/>
      <c r="AG17" s="1655"/>
      <c r="AH17" s="1655"/>
      <c r="AI17" s="1655"/>
      <c r="AJ17" s="1655"/>
      <c r="AK17" s="1655"/>
      <c r="AL17" s="1655"/>
      <c r="AM17" s="1655"/>
    </row>
    <row r="18" spans="1:39" ht="13.2">
      <c r="B18" s="903"/>
      <c r="C18" s="1844" t="s">
        <v>1316</v>
      </c>
      <c r="D18" s="1844"/>
      <c r="E18" s="1844"/>
      <c r="F18" s="1844"/>
      <c r="G18" s="1844"/>
      <c r="H18" s="1844"/>
      <c r="I18" s="1844"/>
      <c r="J18" s="1844"/>
      <c r="K18" s="1844"/>
      <c r="L18" s="1844"/>
      <c r="M18" s="1844"/>
      <c r="N18" s="1844"/>
      <c r="O18" s="1844"/>
      <c r="P18" s="1844"/>
      <c r="Q18" s="1844"/>
      <c r="R18" s="1844"/>
      <c r="S18" s="1845"/>
      <c r="T18" s="1719"/>
      <c r="U18" s="1720"/>
      <c r="V18" s="1720"/>
      <c r="W18" s="1720"/>
      <c r="X18" s="1721"/>
      <c r="Y18" s="1721"/>
      <c r="Z18" s="1655"/>
      <c r="AA18" s="1655"/>
      <c r="AB18" s="1655"/>
      <c r="AC18" s="1655"/>
      <c r="AD18" s="1655"/>
      <c r="AE18" s="1655"/>
      <c r="AF18" s="1655"/>
      <c r="AG18" s="1655"/>
      <c r="AH18" s="1655"/>
      <c r="AI18" s="1655"/>
      <c r="AJ18" s="1655"/>
      <c r="AK18" s="1655"/>
      <c r="AL18" s="1655"/>
      <c r="AM18" s="1655"/>
    </row>
    <row r="19" spans="1:39" ht="13.2">
      <c r="B19" s="745"/>
      <c r="C19" s="1844" t="s">
        <v>1316</v>
      </c>
      <c r="D19" s="1844"/>
      <c r="E19" s="1844"/>
      <c r="F19" s="1844"/>
      <c r="G19" s="1844"/>
      <c r="H19" s="1844"/>
      <c r="I19" s="1844"/>
      <c r="J19" s="1844"/>
      <c r="K19" s="1844"/>
      <c r="L19" s="1844"/>
      <c r="M19" s="1844"/>
      <c r="N19" s="1844"/>
      <c r="O19" s="1844"/>
      <c r="P19" s="1844"/>
      <c r="Q19" s="1844"/>
      <c r="R19" s="1844"/>
      <c r="S19" s="1845"/>
      <c r="T19" s="1721"/>
      <c r="U19" s="1655"/>
      <c r="V19" s="1655"/>
      <c r="W19" s="1655"/>
      <c r="X19" s="1655"/>
      <c r="Y19" s="1721"/>
      <c r="Z19" s="1655"/>
      <c r="AA19" s="1655"/>
      <c r="AB19" s="1655"/>
      <c r="AC19" s="1655"/>
      <c r="AD19" s="1655"/>
      <c r="AE19" s="1655"/>
      <c r="AF19" s="1655"/>
      <c r="AG19" s="1655"/>
      <c r="AH19" s="1655"/>
      <c r="AI19" s="1655"/>
      <c r="AJ19" s="1655"/>
      <c r="AK19" s="1655"/>
      <c r="AL19" s="1655"/>
      <c r="AM19" s="1655"/>
    </row>
    <row r="20" spans="1:39" ht="13.2">
      <c r="B20" s="2220" t="s">
        <v>836</v>
      </c>
      <c r="C20" s="2221"/>
      <c r="D20" s="2221"/>
      <c r="E20" s="2221"/>
      <c r="F20" s="2221"/>
      <c r="G20" s="2221"/>
      <c r="H20" s="2221"/>
      <c r="I20" s="2221"/>
      <c r="J20" s="2221"/>
      <c r="K20" s="2221"/>
      <c r="L20" s="2221"/>
      <c r="M20" s="2221"/>
      <c r="N20" s="2221"/>
      <c r="O20" s="2221"/>
      <c r="P20" s="2221"/>
      <c r="Q20" s="2221"/>
      <c r="R20" s="2221"/>
      <c r="S20" s="2222"/>
      <c r="T20" s="2236">
        <f>SUM(T13:X19)</f>
        <v>0</v>
      </c>
      <c r="U20" s="2240"/>
      <c r="V20" s="2240"/>
      <c r="W20" s="2240"/>
      <c r="X20" s="2240"/>
      <c r="Y20" s="2236">
        <f>SUM(Y13:AC19)</f>
        <v>0</v>
      </c>
      <c r="Z20" s="2240"/>
      <c r="AA20" s="2240"/>
      <c r="AB20" s="2240"/>
      <c r="AC20" s="2240"/>
      <c r="AD20" s="2240">
        <f>SUM(AD13:AH19)</f>
        <v>0</v>
      </c>
      <c r="AE20" s="2240"/>
      <c r="AF20" s="2240"/>
      <c r="AG20" s="2240"/>
      <c r="AH20" s="2240"/>
      <c r="AI20" s="2240">
        <f>SUM(AI13:AM19)</f>
        <v>0</v>
      </c>
      <c r="AJ20" s="2240"/>
      <c r="AK20" s="2240"/>
      <c r="AL20" s="2240"/>
      <c r="AM20" s="2240"/>
    </row>
    <row r="21" spans="1:39" ht="13.2">
      <c r="B21" s="2220" t="s">
        <v>1874</v>
      </c>
      <c r="C21" s="2221"/>
      <c r="D21" s="2221"/>
      <c r="E21" s="2221"/>
      <c r="F21" s="2221"/>
      <c r="G21" s="2221"/>
      <c r="H21" s="2221"/>
      <c r="I21" s="2221"/>
      <c r="J21" s="2221"/>
      <c r="K21" s="2221"/>
      <c r="L21" s="2221"/>
      <c r="M21" s="2221"/>
      <c r="N21" s="2221"/>
      <c r="O21" s="2221"/>
      <c r="P21" s="2221"/>
      <c r="Q21" s="2221"/>
      <c r="R21" s="2221"/>
      <c r="S21" s="2222"/>
      <c r="T21" s="1721">
        <v>13443707</v>
      </c>
      <c r="U21" s="1655"/>
      <c r="V21" s="1655"/>
      <c r="W21" s="1655"/>
      <c r="X21" s="1655"/>
      <c r="Y21" s="1721"/>
      <c r="Z21" s="1655"/>
      <c r="AA21" s="1655"/>
      <c r="AB21" s="1655"/>
      <c r="AC21" s="1655"/>
      <c r="AD21" s="1655"/>
      <c r="AE21" s="1655"/>
      <c r="AF21" s="1655"/>
      <c r="AG21" s="1655"/>
      <c r="AH21" s="1655"/>
      <c r="AI21" s="1719"/>
      <c r="AJ21" s="1720"/>
      <c r="AK21" s="1720"/>
      <c r="AL21" s="1720"/>
      <c r="AM21" s="1721"/>
    </row>
    <row r="22" spans="1:39" ht="13.2">
      <c r="B22" s="2220" t="s">
        <v>837</v>
      </c>
      <c r="C22" s="2221"/>
      <c r="D22" s="2221"/>
      <c r="E22" s="2221"/>
      <c r="F22" s="2221"/>
      <c r="G22" s="2221"/>
      <c r="H22" s="2221"/>
      <c r="I22" s="2221"/>
      <c r="J22" s="2221"/>
      <c r="K22" s="2221"/>
      <c r="L22" s="2221"/>
      <c r="M22" s="2221"/>
      <c r="N22" s="2221"/>
      <c r="O22" s="2221"/>
      <c r="P22" s="2221"/>
      <c r="Q22" s="2221"/>
      <c r="R22" s="2221"/>
      <c r="S22" s="2222"/>
      <c r="T22" s="2237">
        <f>(T20+T21)*-1</f>
        <v>-13443707</v>
      </c>
      <c r="U22" s="2238"/>
      <c r="V22" s="2238"/>
      <c r="W22" s="2238"/>
      <c r="X22" s="2238"/>
      <c r="Y22" s="2237">
        <f>(Y20+Y21)*-1</f>
        <v>0</v>
      </c>
      <c r="Z22" s="2238"/>
      <c r="AA22" s="2238"/>
      <c r="AB22" s="2238"/>
      <c r="AC22" s="2238"/>
      <c r="AD22" s="2237">
        <f>(AD20+AD21)*-1</f>
        <v>0</v>
      </c>
      <c r="AE22" s="2238"/>
      <c r="AF22" s="2238"/>
      <c r="AG22" s="2238"/>
      <c r="AH22" s="2238"/>
      <c r="AI22" s="2250">
        <f>(AI20+AI21)*-1</f>
        <v>0</v>
      </c>
      <c r="AJ22" s="2251"/>
      <c r="AK22" s="2251"/>
      <c r="AL22" s="2251"/>
      <c r="AM22" s="2237"/>
    </row>
    <row r="23" spans="1:39" ht="13.2">
      <c r="A23" s="2"/>
      <c r="B23" s="2231" t="s">
        <v>2103</v>
      </c>
      <c r="C23" s="2232"/>
      <c r="D23" s="2232"/>
      <c r="E23" s="2232"/>
      <c r="F23" s="2232"/>
      <c r="G23" s="2232"/>
      <c r="H23" s="2232"/>
      <c r="I23" s="2232"/>
      <c r="J23" s="2232"/>
      <c r="K23" s="2232"/>
      <c r="L23" s="2232"/>
      <c r="M23" s="2232"/>
      <c r="N23" s="2232"/>
      <c r="O23" s="2232"/>
      <c r="P23" s="2232"/>
      <c r="Q23" s="2232"/>
      <c r="R23" s="2232"/>
      <c r="S23" s="2233"/>
      <c r="T23" s="2236">
        <f>T11+T22</f>
        <v>26165166</v>
      </c>
      <c r="U23" s="2240"/>
      <c r="V23" s="2240"/>
      <c r="W23" s="2240"/>
      <c r="X23" s="2240"/>
      <c r="Y23" s="2236">
        <f>Y11+Y22</f>
        <v>0</v>
      </c>
      <c r="Z23" s="2240"/>
      <c r="AA23" s="2240"/>
      <c r="AB23" s="2240"/>
      <c r="AC23" s="2240"/>
      <c r="AD23" s="2236">
        <f>IF(AD11=AD21,0,AD11)</f>
        <v>0</v>
      </c>
      <c r="AE23" s="2240"/>
      <c r="AF23" s="2240"/>
      <c r="AG23" s="2240"/>
      <c r="AH23" s="2240"/>
      <c r="AI23" s="2236">
        <f>IF(AI11=AI21,0,AI11)</f>
        <v>0</v>
      </c>
      <c r="AJ23" s="2240"/>
      <c r="AK23" s="2240"/>
      <c r="AL23" s="2240"/>
      <c r="AM23" s="2240"/>
    </row>
    <row r="24" spans="1:39" ht="13.2">
      <c r="B24" s="2220" t="s">
        <v>1317</v>
      </c>
      <c r="C24" s="2221"/>
      <c r="D24" s="2221"/>
      <c r="E24" s="2221"/>
      <c r="F24" s="2221"/>
      <c r="G24" s="2221"/>
      <c r="H24" s="2221"/>
      <c r="I24" s="2221"/>
      <c r="J24" s="2221"/>
      <c r="K24" s="2221"/>
      <c r="L24" s="2221"/>
      <c r="M24" s="2221"/>
      <c r="N24" s="2221"/>
      <c r="O24" s="2221"/>
      <c r="P24" s="2221"/>
      <c r="Q24" s="2221"/>
      <c r="R24" s="2221"/>
      <c r="S24" s="2222"/>
      <c r="T24" s="2234">
        <f>Application!AJ1002</f>
        <v>47802976</v>
      </c>
      <c r="U24" s="2235"/>
      <c r="V24" s="2235"/>
      <c r="W24" s="2235"/>
      <c r="X24" s="2235"/>
      <c r="Y24" s="2235"/>
      <c r="Z24" s="2235"/>
      <c r="AA24" s="2235"/>
      <c r="AB24" s="2235"/>
      <c r="AC24" s="2235"/>
      <c r="AD24" s="2235"/>
      <c r="AE24" s="2235"/>
      <c r="AF24" s="2235"/>
      <c r="AG24" s="2235"/>
      <c r="AH24" s="2235"/>
      <c r="AI24" s="2235"/>
      <c r="AJ24" s="2235"/>
      <c r="AK24" s="2235"/>
      <c r="AL24" s="2235"/>
      <c r="AM24" s="2236"/>
    </row>
    <row r="25" spans="1:39" ht="13.2">
      <c r="B25" s="2223" t="s">
        <v>2105</v>
      </c>
      <c r="C25" s="2224"/>
      <c r="D25" s="2224"/>
      <c r="E25" s="2224"/>
      <c r="F25" s="2224"/>
      <c r="G25" s="2224"/>
      <c r="H25" s="2224"/>
      <c r="I25" s="2224"/>
      <c r="J25" s="2224"/>
      <c r="K25" s="2224"/>
      <c r="L25" s="2224"/>
      <c r="M25" s="2224"/>
      <c r="N25" s="2224"/>
      <c r="O25" s="2224"/>
      <c r="P25" s="2224"/>
      <c r="Q25" s="2224"/>
      <c r="R25" s="2224"/>
      <c r="S25" s="2225"/>
      <c r="T25" s="2246">
        <f>IF(OR(AND(Application!T193="no",Application!T194="no",Application!T196="no",Application!Y211="no"),Application!T195="yes"),1,1.3)</f>
        <v>1</v>
      </c>
      <c r="U25" s="2247"/>
      <c r="V25" s="2247"/>
      <c r="W25" s="2247"/>
      <c r="X25" s="2247"/>
      <c r="Y25" s="2243">
        <v>1</v>
      </c>
      <c r="Z25" s="2244"/>
      <c r="AA25" s="2244"/>
      <c r="AB25" s="2244"/>
      <c r="AC25" s="2245"/>
      <c r="AD25" s="2243">
        <v>1</v>
      </c>
      <c r="AE25" s="2244"/>
      <c r="AF25" s="2244"/>
      <c r="AG25" s="2244"/>
      <c r="AH25" s="2245"/>
      <c r="AI25" s="2243">
        <v>1</v>
      </c>
      <c r="AJ25" s="2244"/>
      <c r="AK25" s="2244"/>
      <c r="AL25" s="2244"/>
      <c r="AM25" s="2245"/>
    </row>
    <row r="26" spans="1:39" ht="13.2">
      <c r="B26" s="2220" t="s">
        <v>839</v>
      </c>
      <c r="C26" s="2221"/>
      <c r="D26" s="2221"/>
      <c r="E26" s="2221"/>
      <c r="F26" s="2221"/>
      <c r="G26" s="2221"/>
      <c r="H26" s="2221"/>
      <c r="I26" s="2221"/>
      <c r="J26" s="2221"/>
      <c r="K26" s="2221"/>
      <c r="L26" s="2221"/>
      <c r="M26" s="2221"/>
      <c r="N26" s="2221"/>
      <c r="O26" s="2221"/>
      <c r="P26" s="2221"/>
      <c r="Q26" s="2221"/>
      <c r="R26" s="2221"/>
      <c r="S26" s="2222"/>
      <c r="T26" s="2241">
        <f>T23*T25</f>
        <v>26165166</v>
      </c>
      <c r="U26" s="2242"/>
      <c r="V26" s="2242"/>
      <c r="W26" s="2242"/>
      <c r="X26" s="2242"/>
      <c r="Y26" s="2241">
        <f>Y23*Y25</f>
        <v>0</v>
      </c>
      <c r="Z26" s="2242"/>
      <c r="AA26" s="2242"/>
      <c r="AB26" s="2242"/>
      <c r="AC26" s="2242"/>
      <c r="AD26" s="2241">
        <f>AD23*AD25</f>
        <v>0</v>
      </c>
      <c r="AE26" s="2242"/>
      <c r="AF26" s="2242"/>
      <c r="AG26" s="2242"/>
      <c r="AH26" s="2242"/>
      <c r="AI26" s="2241">
        <f>AI23*AI25</f>
        <v>0</v>
      </c>
      <c r="AJ26" s="2242"/>
      <c r="AK26" s="2242"/>
      <c r="AL26" s="2242"/>
      <c r="AM26" s="2242"/>
    </row>
    <row r="27" spans="1:39" ht="13.2">
      <c r="A27" s="7"/>
      <c r="B27" s="2226" t="s">
        <v>957</v>
      </c>
      <c r="C27" s="2227"/>
      <c r="D27" s="2227"/>
      <c r="E27" s="2227"/>
      <c r="F27" s="2227"/>
      <c r="G27" s="2227"/>
      <c r="H27" s="2227"/>
      <c r="I27" s="2227"/>
      <c r="J27" s="2227"/>
      <c r="K27" s="2227"/>
      <c r="L27" s="2227"/>
      <c r="M27" s="2227"/>
      <c r="N27" s="2227"/>
      <c r="O27" s="2227"/>
      <c r="P27" s="2227"/>
      <c r="Q27" s="2227"/>
      <c r="R27" s="2227"/>
      <c r="S27" s="2228"/>
      <c r="T27" s="2229">
        <f>Application!AG438</f>
        <v>1</v>
      </c>
      <c r="U27" s="2230"/>
      <c r="V27" s="2230"/>
      <c r="W27" s="2230"/>
      <c r="X27" s="2230"/>
      <c r="Y27" s="2229">
        <f>Application!AG438</f>
        <v>1</v>
      </c>
      <c r="Z27" s="2230"/>
      <c r="AA27" s="2230"/>
      <c r="AB27" s="2230"/>
      <c r="AC27" s="2230"/>
      <c r="AD27" s="2229">
        <f>Application!AG438</f>
        <v>1</v>
      </c>
      <c r="AE27" s="2230"/>
      <c r="AF27" s="2230"/>
      <c r="AG27" s="2230"/>
      <c r="AH27" s="2230"/>
      <c r="AI27" s="2229">
        <f>Application!AG438</f>
        <v>1</v>
      </c>
      <c r="AJ27" s="2230"/>
      <c r="AK27" s="2230"/>
      <c r="AL27" s="2230"/>
      <c r="AM27" s="2230"/>
    </row>
    <row r="28" spans="1:39" ht="12.75" customHeight="1">
      <c r="A28" s="6"/>
      <c r="B28" s="2220" t="s">
        <v>917</v>
      </c>
      <c r="C28" s="2221"/>
      <c r="D28" s="2221"/>
      <c r="E28" s="2221"/>
      <c r="F28" s="2221"/>
      <c r="G28" s="2221"/>
      <c r="H28" s="2221"/>
      <c r="I28" s="2221"/>
      <c r="J28" s="2221"/>
      <c r="K28" s="2221"/>
      <c r="L28" s="2221"/>
      <c r="M28" s="2221"/>
      <c r="N28" s="2221"/>
      <c r="O28" s="2221"/>
      <c r="P28" s="2221"/>
      <c r="Q28" s="2221"/>
      <c r="R28" s="2221"/>
      <c r="S28" s="2222"/>
      <c r="T28" s="1788">
        <f>IF(ISERROR((T26*T27)),0,(T26*T27))</f>
        <v>26165166</v>
      </c>
      <c r="U28" s="2239"/>
      <c r="V28" s="2239"/>
      <c r="W28" s="2239"/>
      <c r="X28" s="2239"/>
      <c r="Y28" s="1788">
        <f>IF(ISERROR((Y26*Y27)),0,(Y26*Y27))</f>
        <v>0</v>
      </c>
      <c r="Z28" s="2239"/>
      <c r="AA28" s="2239"/>
      <c r="AB28" s="2239"/>
      <c r="AC28" s="2239"/>
      <c r="AD28" s="1788">
        <f>IF(ISERROR((AD26*AD27)),0,(AD26*AD27))</f>
        <v>0</v>
      </c>
      <c r="AE28" s="2239"/>
      <c r="AF28" s="2239"/>
      <c r="AG28" s="2239"/>
      <c r="AH28" s="2239"/>
      <c r="AI28" s="1788">
        <f>IF(ISERROR((AI26*AI27)),0,(AI26*AI27))</f>
        <v>0</v>
      </c>
      <c r="AJ28" s="2239"/>
      <c r="AK28" s="2239"/>
      <c r="AL28" s="2239"/>
      <c r="AM28" s="2239"/>
    </row>
    <row r="29" spans="1:39" ht="13.2">
      <c r="B29" s="2220" t="s">
        <v>685</v>
      </c>
      <c r="C29" s="2221"/>
      <c r="D29" s="2221"/>
      <c r="E29" s="2221"/>
      <c r="F29" s="2221"/>
      <c r="G29" s="2221"/>
      <c r="H29" s="2221"/>
      <c r="I29" s="2221"/>
      <c r="J29" s="2221"/>
      <c r="K29" s="2221"/>
      <c r="L29" s="2221"/>
      <c r="M29" s="2221"/>
      <c r="N29" s="2221"/>
      <c r="O29" s="2221"/>
      <c r="P29" s="2221"/>
      <c r="Q29" s="2221"/>
      <c r="R29" s="2221"/>
      <c r="S29" s="2222"/>
      <c r="T29" s="2234">
        <f>T28+Y28+AD28+AI28</f>
        <v>26165166</v>
      </c>
      <c r="U29" s="2235"/>
      <c r="V29" s="2235"/>
      <c r="W29" s="2235"/>
      <c r="X29" s="2235"/>
      <c r="Y29" s="2235"/>
      <c r="Z29" s="2235"/>
      <c r="AA29" s="2235"/>
      <c r="AB29" s="2235"/>
      <c r="AC29" s="2235"/>
      <c r="AD29" s="2235"/>
      <c r="AE29" s="2235"/>
      <c r="AF29" s="2235"/>
      <c r="AG29" s="2235"/>
      <c r="AH29" s="2235"/>
      <c r="AI29" s="2235"/>
      <c r="AJ29" s="2235"/>
      <c r="AK29" s="2235"/>
      <c r="AL29" s="2235"/>
      <c r="AM29" s="2236"/>
    </row>
    <row r="30" spans="1:39" ht="12.75" customHeight="1">
      <c r="B30" s="2290" t="s">
        <v>2104</v>
      </c>
      <c r="C30" s="2290"/>
      <c r="D30" s="2290"/>
      <c r="E30" s="2290"/>
      <c r="F30" s="2290"/>
      <c r="G30" s="2290"/>
      <c r="H30" s="2290"/>
      <c r="I30" s="2290"/>
      <c r="J30" s="2290"/>
      <c r="K30" s="2290"/>
      <c r="L30" s="2290"/>
      <c r="M30" s="2290"/>
      <c r="N30" s="2290"/>
      <c r="O30" s="2290"/>
      <c r="P30" s="2290"/>
      <c r="Q30" s="2290"/>
      <c r="R30" s="2290"/>
      <c r="S30" s="2290"/>
      <c r="T30" s="2290"/>
      <c r="U30" s="2290"/>
      <c r="V30" s="2290"/>
      <c r="W30" s="2290"/>
      <c r="X30" s="2290"/>
      <c r="Y30" s="2290"/>
      <c r="Z30" s="2290"/>
      <c r="AA30" s="2290"/>
      <c r="AB30" s="2290"/>
      <c r="AC30" s="2290"/>
      <c r="AD30" s="2290"/>
      <c r="AE30" s="2290"/>
      <c r="AF30" s="2290"/>
      <c r="AG30" s="2290"/>
      <c r="AH30" s="2290"/>
      <c r="AI30" s="2290"/>
      <c r="AJ30" s="2290"/>
      <c r="AK30" s="2290"/>
      <c r="AL30" s="2290"/>
      <c r="AM30" s="2290"/>
    </row>
    <row r="31" spans="1:39" ht="13.2">
      <c r="B31" s="2291" t="s">
        <v>2108</v>
      </c>
      <c r="C31" s="2291"/>
      <c r="D31" s="2291"/>
      <c r="E31" s="2291"/>
      <c r="F31" s="2291"/>
      <c r="G31" s="2291"/>
      <c r="H31" s="2291"/>
      <c r="I31" s="2291"/>
      <c r="J31" s="2291"/>
      <c r="K31" s="2291"/>
      <c r="L31" s="2291"/>
      <c r="M31" s="2291"/>
      <c r="N31" s="2291"/>
      <c r="O31" s="2291"/>
      <c r="P31" s="2291"/>
      <c r="Q31" s="2291"/>
      <c r="R31" s="2291"/>
      <c r="S31" s="2291"/>
      <c r="T31" s="2291"/>
      <c r="U31" s="2291"/>
      <c r="V31" s="2291"/>
      <c r="W31" s="2291"/>
      <c r="X31" s="2291"/>
      <c r="Y31" s="2291"/>
      <c r="Z31" s="2291"/>
      <c r="AA31" s="2291"/>
      <c r="AB31" s="2291"/>
      <c r="AC31" s="2291"/>
      <c r="AD31" s="2291"/>
      <c r="AE31" s="2291"/>
      <c r="AF31" s="2291"/>
      <c r="AG31" s="2291"/>
      <c r="AH31" s="2291"/>
      <c r="AI31" s="2291"/>
      <c r="AJ31" s="2291"/>
      <c r="AK31" s="2291"/>
      <c r="AL31" s="2291"/>
      <c r="AM31" s="2291"/>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229</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48" t="s">
        <v>1757</v>
      </c>
      <c r="Z35" s="2248"/>
      <c r="AA35" s="2248"/>
      <c r="AB35" s="2248"/>
      <c r="AC35" s="2248"/>
      <c r="AD35" s="2292" t="s">
        <v>46</v>
      </c>
      <c r="AE35" s="2292"/>
      <c r="AF35" s="2292"/>
      <c r="AG35" s="2292"/>
      <c r="AH35" s="229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8"/>
      <c r="Z36" s="2248"/>
      <c r="AA36" s="2248"/>
      <c r="AB36" s="2248"/>
      <c r="AC36" s="2248"/>
      <c r="AD36" s="2292"/>
      <c r="AE36" s="2292"/>
      <c r="AF36" s="2292"/>
      <c r="AG36" s="2292"/>
      <c r="AH36" s="2292"/>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8"/>
      <c r="Z37" s="2248"/>
      <c r="AA37" s="2248"/>
      <c r="AB37" s="2248"/>
      <c r="AC37" s="2248"/>
      <c r="AD37" s="2292"/>
      <c r="AE37" s="2292"/>
      <c r="AF37" s="2292"/>
      <c r="AG37" s="2292"/>
      <c r="AH37" s="2292"/>
    </row>
    <row r="38" spans="1:44" ht="12.75" customHeight="1">
      <c r="A38" s="6"/>
      <c r="B38" s="2220" t="s">
        <v>917</v>
      </c>
      <c r="C38" s="2221"/>
      <c r="D38" s="2221"/>
      <c r="E38" s="2221"/>
      <c r="F38" s="2221"/>
      <c r="G38" s="2221"/>
      <c r="H38" s="2221"/>
      <c r="I38" s="2221"/>
      <c r="J38" s="2221"/>
      <c r="K38" s="2221"/>
      <c r="L38" s="2221"/>
      <c r="M38" s="2221"/>
      <c r="N38" s="2221"/>
      <c r="O38" s="2221"/>
      <c r="P38" s="2221"/>
      <c r="Q38" s="2221"/>
      <c r="R38" s="2221"/>
      <c r="S38" s="2221"/>
      <c r="T38" s="2221"/>
      <c r="U38" s="2221"/>
      <c r="V38" s="2221"/>
      <c r="W38" s="2221"/>
      <c r="X38" s="2222"/>
      <c r="Y38" s="2240">
        <f>IF(T24&gt;=(T23+Y23+AD23+AI23),T28+Y28,0)</f>
        <v>26165166</v>
      </c>
      <c r="Z38" s="2240"/>
      <c r="AA38" s="2240"/>
      <c r="AB38" s="2240"/>
      <c r="AC38" s="2240"/>
      <c r="AD38" s="2240">
        <f>IF(T24&gt;=(T23+Y23+AD23+AI23),AD28+AI28,0)</f>
        <v>0</v>
      </c>
      <c r="AE38" s="2240"/>
      <c r="AF38" s="2240"/>
      <c r="AG38" s="2240"/>
      <c r="AH38" s="2240"/>
    </row>
    <row r="39" spans="1:44" ht="13.2">
      <c r="B39" s="2220" t="s">
        <v>1987</v>
      </c>
      <c r="C39" s="2221"/>
      <c r="D39" s="2221"/>
      <c r="E39" s="2221"/>
      <c r="F39" s="2221"/>
      <c r="G39" s="2221"/>
      <c r="H39" s="2221"/>
      <c r="I39" s="2221"/>
      <c r="J39" s="2221"/>
      <c r="K39" s="2221"/>
      <c r="L39" s="2221"/>
      <c r="M39" s="2221"/>
      <c r="N39" s="2221"/>
      <c r="O39" s="2221"/>
      <c r="P39" s="2221"/>
      <c r="Q39" s="2221"/>
      <c r="R39" s="2221"/>
      <c r="S39" s="2221"/>
      <c r="T39" s="2221"/>
      <c r="U39" s="2221"/>
      <c r="V39" s="2221"/>
      <c r="W39" s="2221"/>
      <c r="X39" s="2222"/>
      <c r="Y39" s="2297">
        <v>0.09</v>
      </c>
      <c r="Z39" s="2297"/>
      <c r="AA39" s="2297"/>
      <c r="AB39" s="2297"/>
      <c r="AC39" s="2297"/>
      <c r="AD39" s="2297">
        <v>0.04</v>
      </c>
      <c r="AE39" s="2297"/>
      <c r="AF39" s="2297"/>
      <c r="AG39" s="2297"/>
      <c r="AH39" s="2297"/>
    </row>
    <row r="40" spans="1:44" ht="12.75" customHeight="1">
      <c r="A40" s="6"/>
      <c r="B40" s="2220" t="s">
        <v>26</v>
      </c>
      <c r="C40" s="2221"/>
      <c r="D40" s="2221"/>
      <c r="E40" s="2221"/>
      <c r="F40" s="2221"/>
      <c r="G40" s="2221"/>
      <c r="H40" s="2221"/>
      <c r="I40" s="2221"/>
      <c r="J40" s="2221"/>
      <c r="K40" s="2221"/>
      <c r="L40" s="2221"/>
      <c r="M40" s="2221"/>
      <c r="N40" s="2221"/>
      <c r="O40" s="2221"/>
      <c r="P40" s="2221"/>
      <c r="Q40" s="2221"/>
      <c r="R40" s="2221"/>
      <c r="S40" s="2221"/>
      <c r="T40" s="2221"/>
      <c r="U40" s="2221"/>
      <c r="V40" s="2221"/>
      <c r="W40" s="2221"/>
      <c r="X40" s="2222"/>
      <c r="Y40" s="2240">
        <f>ROUND(Y38*Y39,0)</f>
        <v>2354865</v>
      </c>
      <c r="Z40" s="2240"/>
      <c r="AA40" s="2240"/>
      <c r="AB40" s="2240"/>
      <c r="AC40" s="2240"/>
      <c r="AD40" s="2236">
        <f>ROUND(AD38*AD39,0)</f>
        <v>0</v>
      </c>
      <c r="AE40" s="2240"/>
      <c r="AF40" s="2240"/>
      <c r="AG40" s="2240"/>
      <c r="AH40" s="2240"/>
    </row>
    <row r="41" spans="1:44" ht="13.2">
      <c r="B41" s="2220" t="s">
        <v>679</v>
      </c>
      <c r="C41" s="2221"/>
      <c r="D41" s="2221"/>
      <c r="E41" s="2221"/>
      <c r="F41" s="2221"/>
      <c r="G41" s="2221"/>
      <c r="H41" s="2221"/>
      <c r="I41" s="2221"/>
      <c r="J41" s="2221"/>
      <c r="K41" s="2221"/>
      <c r="L41" s="2221"/>
      <c r="M41" s="2221"/>
      <c r="N41" s="2221"/>
      <c r="O41" s="2221"/>
      <c r="P41" s="2221"/>
      <c r="Q41" s="2221"/>
      <c r="R41" s="2221"/>
      <c r="S41" s="2221"/>
      <c r="T41" s="2221"/>
      <c r="U41" s="2221"/>
      <c r="V41" s="2221"/>
      <c r="W41" s="2221"/>
      <c r="X41" s="2222"/>
      <c r="Y41" s="2298">
        <f>IF(Application!Y211="No",'Basis &amp; Credits'!AR42,AR43)</f>
        <v>2354865</v>
      </c>
      <c r="Z41" s="2299"/>
      <c r="AA41" s="2299"/>
      <c r="AB41" s="2299"/>
      <c r="AC41" s="2299"/>
      <c r="AD41" s="2299"/>
      <c r="AE41" s="2299"/>
      <c r="AF41" s="2299"/>
      <c r="AG41" s="2299"/>
      <c r="AH41" s="2300"/>
    </row>
    <row r="42" spans="1:44" ht="12.75" customHeight="1">
      <c r="A42" s="6"/>
      <c r="B42" s="2282" t="s">
        <v>1988</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23"/>
      <c r="AJ42" s="923"/>
      <c r="AK42" s="923"/>
      <c r="AL42" s="923"/>
      <c r="AM42" s="923"/>
      <c r="AN42" s="923"/>
      <c r="AR42" s="2">
        <f>IF((Y40+AD40)&gt;2500000,2500000,Y40+AD40)</f>
        <v>2354865</v>
      </c>
    </row>
    <row r="43" spans="1:44"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2354865</v>
      </c>
    </row>
    <row r="44" spans="1:44"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2">
      <c r="A45" s="6" t="s">
        <v>130</v>
      </c>
      <c r="C45" s="6" t="s">
        <v>280</v>
      </c>
    </row>
    <row r="46" spans="1:44" ht="13.2">
      <c r="D46" s="6" t="s">
        <v>281</v>
      </c>
      <c r="AB46" s="2286">
        <f>'Sources and Uses Budget'!B104-(MAX(IF('Sources and Uses Budget'!B15="",0,'Sources and Uses Budget'!B15),IF(Application!AG387="",0,Application!AG387)))</f>
        <v>50907291</v>
      </c>
      <c r="AC46" s="2287"/>
      <c r="AD46" s="2287"/>
      <c r="AE46" s="2287"/>
      <c r="AF46" s="2288"/>
    </row>
    <row r="47" spans="1:44" ht="12.75" customHeight="1">
      <c r="D47" s="6" t="s">
        <v>911</v>
      </c>
      <c r="AB47" s="2286">
        <f>Application!AO644-MAX(IF('Sources and Uses Budget'!B15="",0,'Sources and Uses Budget'!B15),IF(Application!AG387="",0,Application!AG387))</f>
        <v>30391708</v>
      </c>
      <c r="AC47" s="2287"/>
      <c r="AD47" s="2287"/>
      <c r="AE47" s="2287"/>
      <c r="AF47" s="2288"/>
    </row>
    <row r="48" spans="1:44" ht="13.2">
      <c r="D48" s="6" t="s">
        <v>419</v>
      </c>
      <c r="AB48" s="2286">
        <f>AB46-AB47</f>
        <v>20515583</v>
      </c>
      <c r="AC48" s="2287"/>
      <c r="AD48" s="2287"/>
      <c r="AE48" s="2287"/>
      <c r="AF48" s="2288"/>
    </row>
    <row r="49" spans="1:40" ht="13.2">
      <c r="D49" s="6" t="s">
        <v>950</v>
      </c>
      <c r="X49" s="2"/>
      <c r="Y49" s="2"/>
      <c r="Z49" s="2"/>
      <c r="AA49" s="409"/>
      <c r="AB49" s="2276">
        <f>0.88*0.99</f>
        <v>0.87119999999999997</v>
      </c>
      <c r="AC49" s="2277"/>
      <c r="AD49" s="2277"/>
      <c r="AE49" s="2277"/>
      <c r="AF49" s="2278"/>
    </row>
    <row r="50" spans="1:40" s="497" customFormat="1" ht="15" customHeight="1">
      <c r="A50" s="2"/>
      <c r="B50" s="2"/>
      <c r="C50" s="2"/>
      <c r="D50" s="272"/>
      <c r="E50" s="2289" t="s">
        <v>2162</v>
      </c>
      <c r="F50" s="2289"/>
      <c r="G50" s="2289"/>
      <c r="H50" s="2289"/>
      <c r="I50" s="2289"/>
      <c r="J50" s="2289"/>
      <c r="K50" s="2289"/>
      <c r="L50" s="2289"/>
      <c r="M50" s="2289"/>
      <c r="N50" s="2289"/>
      <c r="O50" s="2289"/>
      <c r="P50" s="2289"/>
      <c r="Q50" s="2289"/>
      <c r="R50" s="2289"/>
      <c r="S50" s="2289"/>
      <c r="T50" s="2289"/>
      <c r="U50" s="2289"/>
      <c r="V50" s="2289"/>
      <c r="W50" s="2289"/>
      <c r="X50" s="2289"/>
      <c r="Y50" s="2289"/>
      <c r="Z50" s="2289"/>
      <c r="AA50" s="755"/>
      <c r="AB50" s="755"/>
      <c r="AC50" s="755"/>
      <c r="AD50" s="755"/>
      <c r="AE50" s="755"/>
      <c r="AF50" s="755"/>
      <c r="AG50" s="2"/>
      <c r="AH50" s="2"/>
      <c r="AI50" s="2"/>
      <c r="AJ50" s="2"/>
      <c r="AK50" s="2"/>
      <c r="AL50" s="2"/>
      <c r="AM50" s="2"/>
      <c r="AN50" s="2"/>
    </row>
    <row r="51" spans="1:40" s="497" customFormat="1" ht="12" customHeight="1">
      <c r="A51" s="2"/>
      <c r="B51" s="2"/>
      <c r="C51" s="2"/>
      <c r="D51" s="272"/>
      <c r="E51" s="2289"/>
      <c r="F51" s="2289"/>
      <c r="G51" s="2289"/>
      <c r="H51" s="2289"/>
      <c r="I51" s="2289"/>
      <c r="J51" s="2289"/>
      <c r="K51" s="2289"/>
      <c r="L51" s="2289"/>
      <c r="M51" s="2289"/>
      <c r="N51" s="2289"/>
      <c r="O51" s="2289"/>
      <c r="P51" s="2289"/>
      <c r="Q51" s="2289"/>
      <c r="R51" s="2289"/>
      <c r="S51" s="2289"/>
      <c r="T51" s="2289"/>
      <c r="U51" s="2289"/>
      <c r="V51" s="2289"/>
      <c r="W51" s="2289"/>
      <c r="X51" s="2289"/>
      <c r="Y51" s="2289"/>
      <c r="Z51" s="228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6">
        <f>ROUND(IF(ISERROR((AB48/AB49)),0,(AB48/AB49)),0)</f>
        <v>23548649</v>
      </c>
      <c r="AC53" s="2287"/>
      <c r="AD53" s="2287"/>
      <c r="AE53" s="2287"/>
      <c r="AF53" s="2288"/>
    </row>
    <row r="54" spans="1:40" ht="12.75" customHeight="1">
      <c r="D54" s="6" t="s">
        <v>618</v>
      </c>
      <c r="AB54" s="2286">
        <f>(AB53/10)</f>
        <v>2354864.9</v>
      </c>
      <c r="AC54" s="2287"/>
      <c r="AD54" s="2287"/>
      <c r="AE54" s="2287"/>
      <c r="AF54" s="2288"/>
    </row>
    <row r="55" spans="1:40" ht="13.2">
      <c r="D55" s="6" t="s">
        <v>378</v>
      </c>
      <c r="AB55" s="2283">
        <f>(IF((Y41&lt;AB54),Y41,AB54))</f>
        <v>2354864.9</v>
      </c>
      <c r="AC55" s="2284"/>
      <c r="AD55" s="2284"/>
      <c r="AE55" s="2284"/>
      <c r="AF55" s="2285"/>
    </row>
    <row r="56" spans="1:40" ht="13.2">
      <c r="D56" s="6" t="s">
        <v>118</v>
      </c>
      <c r="AB56" s="2286">
        <f>ROUND((10*AB55*AB49),0)</f>
        <v>20515583</v>
      </c>
      <c r="AC56" s="2287"/>
      <c r="AD56" s="2287"/>
      <c r="AE56" s="2287"/>
      <c r="AF56" s="228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9">
        <f>AB48-AB56</f>
        <v>0</v>
      </c>
      <c r="AC58" s="2269"/>
      <c r="AD58" s="2269"/>
      <c r="AE58" s="2269"/>
      <c r="AF58" s="2269"/>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93" t="s">
        <v>1915</v>
      </c>
      <c r="B60" s="2293"/>
      <c r="C60" s="2293"/>
      <c r="D60" s="2293"/>
      <c r="E60" s="2293"/>
      <c r="F60" s="2293"/>
      <c r="G60" s="2293"/>
      <c r="H60" s="2293"/>
      <c r="I60" s="2293"/>
      <c r="J60" s="2293"/>
      <c r="K60" s="2293"/>
      <c r="L60" s="2293"/>
      <c r="M60" s="2293"/>
      <c r="N60" s="2293"/>
      <c r="O60" s="2293"/>
      <c r="P60" s="2293"/>
      <c r="Q60" s="2293"/>
      <c r="R60" s="2293"/>
      <c r="S60" s="2293"/>
      <c r="T60" s="2293"/>
      <c r="U60" s="2293"/>
      <c r="V60" s="2293"/>
      <c r="W60" s="2293"/>
      <c r="X60" s="2293"/>
      <c r="Y60" s="2293"/>
      <c r="Z60" s="2293"/>
      <c r="AA60" s="2293"/>
      <c r="AB60" s="2293"/>
      <c r="AC60" s="2293"/>
      <c r="AD60" s="2293"/>
      <c r="AE60" s="2293"/>
      <c r="AF60" s="2293"/>
      <c r="AG60" s="2293"/>
      <c r="AH60" s="2293"/>
      <c r="AI60" s="2293"/>
      <c r="AJ60" s="2293"/>
      <c r="AK60" s="2293"/>
      <c r="AL60" s="2293"/>
      <c r="AM60" s="2293"/>
      <c r="AN60" s="2293"/>
    </row>
    <row r="61" spans="1:40" ht="13.65" customHeight="1" thickTop="1">
      <c r="A61" s="2295"/>
      <c r="B61" s="2295"/>
      <c r="C61" s="2295"/>
      <c r="D61" s="2295"/>
      <c r="E61" s="2295"/>
      <c r="F61" s="2295"/>
      <c r="G61" s="2295"/>
      <c r="H61" s="2295"/>
      <c r="I61" s="2295"/>
      <c r="J61" s="2295"/>
      <c r="K61" s="2295"/>
      <c r="L61" s="2295"/>
      <c r="M61" s="2295"/>
      <c r="N61" s="2295"/>
      <c r="O61" s="2295"/>
      <c r="P61" s="2295"/>
      <c r="Q61" s="2295"/>
      <c r="R61" s="2295"/>
      <c r="S61" s="2295"/>
      <c r="T61" s="2295"/>
      <c r="U61" s="2295"/>
      <c r="V61" s="2295"/>
      <c r="W61" s="2295"/>
      <c r="X61" s="2295"/>
      <c r="Y61" s="2295"/>
      <c r="Z61" s="2295"/>
      <c r="AA61" s="2295"/>
      <c r="AB61" s="2295"/>
      <c r="AC61" s="2295"/>
      <c r="AD61" s="2295"/>
      <c r="AE61" s="2295"/>
      <c r="AF61" s="2295"/>
      <c r="AG61" s="2295"/>
      <c r="AH61" s="2295"/>
      <c r="AI61" s="2295"/>
      <c r="AJ61" s="2295"/>
      <c r="AK61" s="2295"/>
      <c r="AL61" s="2295"/>
      <c r="AM61" s="2295"/>
      <c r="AN61" s="2295"/>
    </row>
    <row r="62" spans="1:40" ht="13.2">
      <c r="A62" s="358" t="s">
        <v>133</v>
      </c>
      <c r="B62" s="1"/>
      <c r="C62" s="358" t="s">
        <v>564</v>
      </c>
      <c r="D62" s="1"/>
      <c r="E62" s="1"/>
      <c r="F62" s="1"/>
      <c r="G62" s="1"/>
      <c r="H62" s="1"/>
      <c r="I62" s="1"/>
      <c r="J62" s="1"/>
      <c r="K62" s="1"/>
      <c r="L62" s="1"/>
      <c r="M62" s="1"/>
      <c r="N62" s="1"/>
      <c r="O62" s="1"/>
      <c r="P62" s="1"/>
      <c r="Q62" s="1"/>
      <c r="R62" s="1"/>
      <c r="S62" s="1"/>
      <c r="T62" s="1"/>
      <c r="U62" s="1"/>
      <c r="V62" s="1"/>
      <c r="W62" s="1"/>
      <c r="X62" s="1"/>
      <c r="Y62" s="2296" t="s">
        <v>330</v>
      </c>
      <c r="Z62" s="2296"/>
      <c r="AA62" s="2296"/>
      <c r="AB62" s="2296"/>
      <c r="AC62" s="2296"/>
      <c r="AD62" s="2296" t="s">
        <v>46</v>
      </c>
      <c r="AE62" s="2296"/>
      <c r="AF62" s="2296"/>
      <c r="AG62" s="2296"/>
      <c r="AH62" s="2296"/>
      <c r="AI62" s="1"/>
      <c r="AJ62" s="1"/>
      <c r="AK62" s="1"/>
      <c r="AL62" s="1"/>
      <c r="AM62" s="1"/>
      <c r="AN62" s="1"/>
    </row>
    <row r="63" spans="1:40" ht="13.2">
      <c r="C63" s="330"/>
      <c r="D63" s="775" t="s">
        <v>1342</v>
      </c>
      <c r="E63" s="776"/>
      <c r="F63" s="776"/>
      <c r="G63" s="776"/>
      <c r="H63" s="776"/>
      <c r="I63" s="776"/>
      <c r="J63" s="776"/>
      <c r="K63" s="776"/>
      <c r="L63" s="22"/>
      <c r="M63" s="22"/>
      <c r="N63" s="22"/>
      <c r="O63" s="22"/>
      <c r="P63" s="22"/>
      <c r="Q63" s="22"/>
      <c r="R63" s="22"/>
      <c r="S63" s="22"/>
      <c r="T63" s="22"/>
      <c r="U63" s="22"/>
      <c r="V63" s="22"/>
      <c r="W63" s="22"/>
      <c r="X63" s="22"/>
      <c r="Y63" s="2239">
        <f>IF(AND(Application!T193="No",Application!T194="No"),T28,IF(OR(AND(T25=1.3,Application!T196="Yes",Application!D214="Special Needs"),T25=1),(T23*T27)+Y28,Y28))</f>
        <v>26165166</v>
      </c>
      <c r="Z63" s="2279"/>
      <c r="AA63" s="2279"/>
      <c r="AB63" s="2279"/>
      <c r="AC63" s="2279"/>
      <c r="AD63" s="1722">
        <f>IF(AND(T25=1.3,Application!D214="At-Risk"),AI28,IF(Application!D214&lt;&gt;"At-Risk",0,AD28))</f>
        <v>0</v>
      </c>
      <c r="AE63" s="2279"/>
      <c r="AF63" s="2279"/>
      <c r="AG63" s="2279"/>
      <c r="AH63" s="2279"/>
    </row>
    <row r="64" spans="1:40" ht="15" customHeight="1">
      <c r="C64" s="6"/>
      <c r="E64" s="2294" t="s">
        <v>1393</v>
      </c>
      <c r="F64" s="2294"/>
      <c r="G64" s="2294"/>
      <c r="H64" s="2294"/>
      <c r="I64" s="2294"/>
      <c r="J64" s="2294"/>
      <c r="K64" s="2294"/>
      <c r="L64" s="2294"/>
      <c r="M64" s="2294"/>
      <c r="N64" s="2294"/>
      <c r="O64" s="2294"/>
      <c r="P64" s="2294"/>
      <c r="Q64" s="2294"/>
      <c r="R64" s="2294"/>
      <c r="S64" s="2294"/>
      <c r="T64" s="2294"/>
      <c r="U64" s="2294"/>
      <c r="V64" s="2294"/>
      <c r="W64" s="2294"/>
      <c r="X64" s="2294"/>
      <c r="Y64" s="2294"/>
      <c r="Z64" s="2294"/>
      <c r="AA64" s="2294"/>
      <c r="AB64" s="2294"/>
      <c r="AC64" s="2294"/>
      <c r="AD64" s="2294"/>
      <c r="AE64" s="2294"/>
      <c r="AF64" s="2294"/>
      <c r="AG64" s="2294"/>
      <c r="AH64" s="2294"/>
    </row>
    <row r="65" spans="1:40" ht="24.45" customHeight="1">
      <c r="C65" s="6"/>
      <c r="E65" s="2294"/>
      <c r="F65" s="2294"/>
      <c r="G65" s="2294"/>
      <c r="H65" s="2294"/>
      <c r="I65" s="2294"/>
      <c r="J65" s="2294"/>
      <c r="K65" s="2294"/>
      <c r="L65" s="2294"/>
      <c r="M65" s="2294"/>
      <c r="N65" s="2294"/>
      <c r="O65" s="2294"/>
      <c r="P65" s="2294"/>
      <c r="Q65" s="2294"/>
      <c r="R65" s="2294"/>
      <c r="S65" s="2294"/>
      <c r="T65" s="2294"/>
      <c r="U65" s="2294"/>
      <c r="V65" s="2294"/>
      <c r="W65" s="2294"/>
      <c r="X65" s="2294"/>
      <c r="Y65" s="2294"/>
      <c r="Z65" s="2294"/>
      <c r="AA65" s="2294"/>
      <c r="AB65" s="2294"/>
      <c r="AC65" s="2294"/>
      <c r="AD65" s="2294"/>
      <c r="AE65" s="2294"/>
      <c r="AF65" s="2294"/>
      <c r="AG65" s="2294"/>
      <c r="AH65" s="2294"/>
    </row>
    <row r="66" spans="1:40" ht="13.2">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75">
        <f>IF(Application!W198="Yes",95%, 30%)</f>
        <v>0.3</v>
      </c>
      <c r="Z66" s="2275"/>
      <c r="AA66" s="2275"/>
      <c r="AB66" s="2275"/>
      <c r="AC66" s="2275"/>
      <c r="AD66" s="2275">
        <f>IF(Application!W198="Yes",95%, 13%)</f>
        <v>0.13</v>
      </c>
      <c r="AE66" s="2275"/>
      <c r="AF66" s="2275"/>
      <c r="AG66" s="2275"/>
      <c r="AH66" s="2275"/>
    </row>
    <row r="67" spans="1:40" ht="13.2">
      <c r="C67" s="6"/>
      <c r="D67" s="6" t="s">
        <v>1024</v>
      </c>
      <c r="Y67" s="1722">
        <f>ROUND(Y63*Y66,0)</f>
        <v>7849550</v>
      </c>
      <c r="Z67" s="2279"/>
      <c r="AA67" s="2279"/>
      <c r="AB67" s="2279"/>
      <c r="AC67" s="2279"/>
      <c r="AD67" s="1722" t="str">
        <f>IF(OR(Application!D211="At-Risk",Application!D211="At-Risk/Located in Rural Census Tract",Application!D214="At-Risk"),ROUND(AD63*AD66,0),"$0")</f>
        <v>$0</v>
      </c>
      <c r="AE67" s="2280"/>
      <c r="AF67" s="2280"/>
      <c r="AG67" s="2280"/>
      <c r="AH67" s="2280"/>
    </row>
    <row r="68" spans="1:40" ht="12.75" customHeight="1">
      <c r="C68" s="6"/>
      <c r="E68" s="1308" t="s">
        <v>2109</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2">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2">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75" customHeight="1">
      <c r="A71" s="330"/>
      <c r="B71" s="2"/>
      <c r="C71" s="330"/>
      <c r="D71" s="330"/>
      <c r="E71" s="2281" t="s">
        <v>1910</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777"/>
      <c r="AB71" s="777"/>
      <c r="AC71" s="777"/>
      <c r="AG71" s="2"/>
      <c r="AH71" s="2"/>
      <c r="AI71" s="2"/>
      <c r="AJ71" s="2"/>
      <c r="AK71" s="2"/>
      <c r="AL71" s="2"/>
      <c r="AM71" s="2"/>
      <c r="AN71" s="2"/>
    </row>
    <row r="72" spans="1:40" ht="12.75"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777"/>
      <c r="AB72" s="777"/>
      <c r="AC72" s="777"/>
      <c r="AD72" s="1062"/>
      <c r="AE72" s="1062"/>
      <c r="AF72" s="1062"/>
      <c r="AG72" s="2"/>
      <c r="AH72" s="2"/>
      <c r="AI72" s="2"/>
      <c r="AJ72" s="2"/>
      <c r="AK72" s="2"/>
      <c r="AL72" s="2"/>
      <c r="AM72" s="2"/>
      <c r="AN72" s="2"/>
    </row>
    <row r="73" spans="1:40" ht="12"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74">
        <f>ROUND(IF(ISERROR((AB58/AB70)),0,(AB58/AB70)),0)</f>
        <v>0</v>
      </c>
      <c r="AC75" s="2274"/>
      <c r="AD75" s="2274"/>
      <c r="AE75" s="2274"/>
      <c r="AF75" s="2274"/>
    </row>
    <row r="76" spans="1:40" ht="12.75" customHeight="1">
      <c r="C76" s="6"/>
      <c r="D76" s="6" t="s">
        <v>116</v>
      </c>
      <c r="AB76" s="2271">
        <f>IF((Y67+AD67&lt;AB75),Y67+AD67,AB75)</f>
        <v>0</v>
      </c>
      <c r="AC76" s="2272"/>
      <c r="AD76" s="2272"/>
      <c r="AE76" s="2272"/>
      <c r="AF76" s="2273"/>
    </row>
    <row r="77" spans="1:40" ht="12.75" customHeight="1">
      <c r="C77" s="6"/>
      <c r="D77" s="6" t="s">
        <v>1025</v>
      </c>
      <c r="AB77" s="2270">
        <f>AB76*AB70</f>
        <v>0</v>
      </c>
      <c r="AC77" s="2270"/>
      <c r="AD77" s="2270"/>
      <c r="AE77" s="2270"/>
      <c r="AF77" s="2270"/>
    </row>
    <row r="78" spans="1:40" ht="12.75" customHeight="1">
      <c r="C78" s="6"/>
      <c r="D78" s="6"/>
      <c r="AB78" s="908"/>
      <c r="AC78" s="908"/>
      <c r="AD78" s="908"/>
      <c r="AE78" s="908"/>
      <c r="AF78" s="908"/>
    </row>
    <row r="79" spans="1:40" ht="12.75" customHeight="1">
      <c r="A79" s="1"/>
      <c r="B79" s="1"/>
      <c r="C79" s="1"/>
      <c r="D79" s="6" t="s">
        <v>117</v>
      </c>
      <c r="AB79" s="2269">
        <f>AB48-(AB56+AB77)</f>
        <v>0</v>
      </c>
      <c r="AC79" s="2269"/>
      <c r="AD79" s="2269"/>
      <c r="AE79" s="2269"/>
      <c r="AF79" s="226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topLeftCell="A10" workbookViewId="0">
      <selection activeCell="M24" sqref="M24"/>
    </sheetView>
  </sheetViews>
  <sheetFormatPr defaultColWidth="8.88671875" defaultRowHeight="12" zeroHeight="1"/>
  <cols>
    <col min="1" max="1" width="32.5546875" style="744" customWidth="1"/>
    <col min="2" max="3" width="12.109375" style="742" customWidth="1"/>
    <col min="4" max="4" width="12.88671875" style="742" customWidth="1"/>
    <col min="5" max="6" width="12.6640625" style="742" customWidth="1"/>
    <col min="7" max="7" width="13.44140625" style="742" customWidth="1"/>
    <col min="8" max="9" width="12.109375" style="742" customWidth="1"/>
    <col min="10" max="10" width="12.109375" style="883" customWidth="1"/>
    <col min="11" max="11" width="7" style="890" customWidth="1"/>
    <col min="12" max="16384" width="8.88671875" style="742"/>
  </cols>
  <sheetData>
    <row r="1" spans="1:11" s="547" customFormat="1" ht="13.2">
      <c r="A1" s="2301" t="s">
        <v>1995</v>
      </c>
      <c r="B1" s="2302"/>
      <c r="C1" s="2302"/>
      <c r="D1" s="2302"/>
      <c r="E1" s="2302"/>
      <c r="F1" s="2302"/>
      <c r="G1" s="2302"/>
      <c r="H1" s="2302"/>
      <c r="I1" s="2302"/>
      <c r="J1" s="2303"/>
      <c r="K1" s="887"/>
    </row>
    <row r="2" spans="1:11" s="906" customFormat="1" ht="72">
      <c r="A2" s="904"/>
      <c r="B2" s="362" t="s">
        <v>1475</v>
      </c>
      <c r="C2" s="362" t="s">
        <v>1996</v>
      </c>
      <c r="D2" s="432" t="s">
        <v>1997</v>
      </c>
      <c r="E2" s="362" t="s">
        <v>1479</v>
      </c>
      <c r="F2" s="362" t="s">
        <v>1998</v>
      </c>
      <c r="G2" s="362" t="s">
        <v>1999</v>
      </c>
      <c r="H2" s="362" t="s">
        <v>1478</v>
      </c>
      <c r="I2" s="362" t="s">
        <v>2000</v>
      </c>
      <c r="J2" s="1061" t="s">
        <v>2001</v>
      </c>
      <c r="K2" s="905"/>
    </row>
    <row r="3" spans="1:11" s="383" customFormat="1" ht="11.4">
      <c r="A3" s="365" t="s">
        <v>380</v>
      </c>
      <c r="B3" s="892"/>
      <c r="C3" s="892"/>
      <c r="D3" s="892"/>
      <c r="E3" s="892"/>
      <c r="F3" s="892"/>
      <c r="G3" s="892"/>
      <c r="H3" s="892"/>
      <c r="I3" s="892"/>
      <c r="J3" s="892"/>
      <c r="K3" s="888"/>
    </row>
    <row r="4" spans="1:11" s="383" customFormat="1" ht="13.2">
      <c r="A4" s="464" t="s">
        <v>74</v>
      </c>
      <c r="B4" s="893">
        <f>'Sources and Uses Budget'!C4</f>
        <v>2580000</v>
      </c>
      <c r="C4" s="894"/>
      <c r="D4" s="894"/>
      <c r="E4" s="895"/>
      <c r="F4" s="895"/>
      <c r="G4" s="895"/>
      <c r="H4" s="895"/>
      <c r="I4" s="895"/>
      <c r="J4" s="895"/>
      <c r="K4" s="888"/>
    </row>
    <row r="5" spans="1:11" s="383" customFormat="1" ht="13.2">
      <c r="A5" s="464" t="s">
        <v>75</v>
      </c>
      <c r="B5" s="893">
        <f>'Sources and Uses Budget'!C5</f>
        <v>429515</v>
      </c>
      <c r="C5" s="894"/>
      <c r="D5" s="894"/>
      <c r="E5" s="895"/>
      <c r="F5" s="895"/>
      <c r="G5" s="895"/>
      <c r="H5" s="895"/>
      <c r="I5" s="895"/>
      <c r="J5" s="895"/>
      <c r="K5" s="888"/>
    </row>
    <row r="6" spans="1:11" s="383" customFormat="1" ht="11.4">
      <c r="A6" s="369" t="s">
        <v>381</v>
      </c>
      <c r="B6" s="893">
        <f>'Sources and Uses Budget'!C6</f>
        <v>0</v>
      </c>
      <c r="C6" s="894"/>
      <c r="D6" s="894"/>
      <c r="E6" s="895"/>
      <c r="F6" s="895"/>
      <c r="G6" s="895"/>
      <c r="H6" s="895"/>
      <c r="I6" s="895"/>
      <c r="J6" s="895"/>
      <c r="K6" s="888"/>
    </row>
    <row r="7" spans="1:11" s="383" customFormat="1" ht="11.4">
      <c r="A7" s="369" t="s">
        <v>309</v>
      </c>
      <c r="B7" s="893">
        <f>'Sources and Uses Budget'!C7</f>
        <v>0</v>
      </c>
      <c r="C7" s="894"/>
      <c r="D7" s="894"/>
      <c r="E7" s="895"/>
      <c r="F7" s="895"/>
      <c r="G7" s="895"/>
      <c r="H7" s="895"/>
      <c r="I7" s="895"/>
      <c r="J7" s="895"/>
      <c r="K7" s="888"/>
    </row>
    <row r="8" spans="1:11" s="383" customFormat="1" ht="13.8">
      <c r="A8" s="465" t="s">
        <v>766</v>
      </c>
      <c r="B8" s="893">
        <f>'Sources and Uses Budget'!C8</f>
        <v>3009515</v>
      </c>
      <c r="C8" s="893">
        <f>SUM(C4:C7)</f>
        <v>0</v>
      </c>
      <c r="D8" s="893">
        <f>SUM(D4:D7)</f>
        <v>0</v>
      </c>
      <c r="E8" s="895"/>
      <c r="F8" s="895"/>
      <c r="G8" s="895"/>
      <c r="H8" s="895"/>
      <c r="I8" s="895"/>
      <c r="J8" s="895"/>
      <c r="K8" s="888"/>
    </row>
    <row r="9" spans="1:11" s="383" customFormat="1" ht="11.4">
      <c r="A9" s="369" t="s">
        <v>1884</v>
      </c>
      <c r="B9" s="893">
        <f>'Sources and Uses Budget'!C9</f>
        <v>0</v>
      </c>
      <c r="C9" s="894"/>
      <c r="D9" s="894"/>
      <c r="E9" s="895"/>
      <c r="F9" s="895"/>
      <c r="G9" s="895"/>
      <c r="H9" s="893">
        <f>'Sources and Uses Budget'!T9</f>
        <v>0</v>
      </c>
      <c r="I9" s="894"/>
      <c r="J9" s="894"/>
      <c r="K9" s="888"/>
    </row>
    <row r="10" spans="1:11" s="383" customFormat="1" ht="13.2">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3009515</v>
      </c>
      <c r="C12" s="893">
        <f>SUM(C8+C11)</f>
        <v>0</v>
      </c>
      <c r="D12" s="893">
        <f>SUM(D8+D11)</f>
        <v>0</v>
      </c>
      <c r="E12" s="895"/>
      <c r="F12" s="895"/>
      <c r="G12" s="895"/>
      <c r="H12" s="895"/>
      <c r="I12" s="895"/>
      <c r="J12" s="895"/>
      <c r="K12" s="888"/>
    </row>
    <row r="13" spans="1:11" s="383" customFormat="1" ht="11.4">
      <c r="A13" s="699" t="s">
        <v>1198</v>
      </c>
      <c r="B13" s="893">
        <f>'Sources and Uses Budget'!C13</f>
        <v>260191</v>
      </c>
      <c r="C13" s="894"/>
      <c r="D13" s="894"/>
      <c r="E13" s="893">
        <f>'Sources and Uses Budget'!S13</f>
        <v>0</v>
      </c>
      <c r="F13" s="894"/>
      <c r="G13" s="894"/>
      <c r="H13" s="893">
        <f>'Sources and Uses Budget'!T13</f>
        <v>0</v>
      </c>
      <c r="I13" s="894"/>
      <c r="J13" s="894"/>
      <c r="K13" s="888"/>
    </row>
    <row r="14" spans="1:11" s="383" customFormat="1" ht="22.8">
      <c r="A14" s="700" t="s">
        <v>1233</v>
      </c>
      <c r="B14" s="893">
        <f>'Sources and Uses Budget'!C14</f>
        <v>2746572</v>
      </c>
      <c r="C14" s="894"/>
      <c r="D14" s="894"/>
      <c r="E14" s="893">
        <f>'Sources and Uses Budget'!S14</f>
        <v>0</v>
      </c>
      <c r="F14" s="894"/>
      <c r="G14" s="894"/>
      <c r="H14" s="893">
        <f>'Sources and Uses Budget'!T14</f>
        <v>0</v>
      </c>
      <c r="I14" s="894"/>
      <c r="J14" s="894"/>
      <c r="K14" s="888"/>
    </row>
    <row r="15" spans="1:11" s="383" customFormat="1" ht="11.4">
      <c r="A15" s="700" t="s">
        <v>1840</v>
      </c>
      <c r="B15" s="893">
        <f>'Sources and Uses Budget'!C15</f>
        <v>0</v>
      </c>
      <c r="C15" s="894"/>
      <c r="D15" s="894"/>
      <c r="E15" s="895">
        <f>'Sources and Uses Budget'!S15</f>
        <v>0</v>
      </c>
      <c r="F15" s="895"/>
      <c r="G15" s="895"/>
      <c r="H15" s="895">
        <f>'Sources and Uses Budget'!T15</f>
        <v>0</v>
      </c>
      <c r="I15" s="895"/>
      <c r="J15" s="895"/>
      <c r="K15" s="888"/>
    </row>
    <row r="16" spans="1:11" s="383" customFormat="1" ht="11.4">
      <c r="A16" s="365" t="s">
        <v>992</v>
      </c>
      <c r="B16" s="892"/>
      <c r="C16" s="892"/>
      <c r="D16" s="892"/>
      <c r="E16" s="892"/>
      <c r="F16" s="892"/>
      <c r="G16" s="892"/>
      <c r="H16" s="892"/>
      <c r="I16" s="892"/>
      <c r="J16" s="892"/>
      <c r="K16" s="888"/>
    </row>
    <row r="17" spans="1:11" s="383" customFormat="1" ht="11.4">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ht="11.4">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ht="11.4">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ht="11.4">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ht="11.4">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ht="11.4">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ht="11.4">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ht="11.4">
      <c r="A24" s="700" t="str">
        <f>'Sources and Uses Budget'!$A25</f>
        <v>Other: Solar</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3445000</v>
      </c>
      <c r="C26" s="894"/>
      <c r="D26" s="894"/>
      <c r="E26" s="893">
        <f>'Sources and Uses Budget'!S27</f>
        <v>0</v>
      </c>
      <c r="F26" s="894"/>
      <c r="G26" s="894"/>
      <c r="H26" s="893">
        <f>'Sources and Uses Budget'!T27</f>
        <v>0</v>
      </c>
      <c r="I26" s="894"/>
      <c r="J26" s="894"/>
      <c r="K26" s="888"/>
    </row>
    <row r="27" spans="1:11" s="383" customFormat="1" ht="11.4">
      <c r="A27" s="365" t="s">
        <v>1001</v>
      </c>
      <c r="B27" s="892"/>
      <c r="C27" s="892"/>
      <c r="D27" s="892"/>
      <c r="E27" s="892"/>
      <c r="F27" s="892"/>
      <c r="G27" s="892"/>
      <c r="H27" s="892"/>
      <c r="I27" s="892"/>
      <c r="J27" s="892"/>
      <c r="K27" s="888"/>
    </row>
    <row r="28" spans="1:11" s="383" customFormat="1" ht="11.4">
      <c r="A28" s="369" t="s">
        <v>993</v>
      </c>
      <c r="B28" s="893">
        <f>'Sources and Uses Budget'!C29</f>
        <v>3032744</v>
      </c>
      <c r="C28" s="894"/>
      <c r="D28" s="894"/>
      <c r="E28" s="893">
        <f>'Sources and Uses Budget'!S29</f>
        <v>3032744</v>
      </c>
      <c r="F28" s="894"/>
      <c r="G28" s="894"/>
      <c r="H28" s="893">
        <f>'Sources and Uses Budget'!T29</f>
        <v>0</v>
      </c>
      <c r="I28" s="894"/>
      <c r="J28" s="894"/>
      <c r="K28" s="888"/>
    </row>
    <row r="29" spans="1:11" s="383" customFormat="1" ht="11.4">
      <c r="A29" s="369" t="s">
        <v>994</v>
      </c>
      <c r="B29" s="893">
        <f>'Sources and Uses Budget'!C30</f>
        <v>17741107</v>
      </c>
      <c r="C29" s="894"/>
      <c r="D29" s="894"/>
      <c r="E29" s="893">
        <f>'Sources and Uses Budget'!S30</f>
        <v>17741107</v>
      </c>
      <c r="F29" s="894"/>
      <c r="G29" s="894"/>
      <c r="H29" s="893">
        <f>'Sources and Uses Budget'!T30</f>
        <v>0</v>
      </c>
      <c r="I29" s="894"/>
      <c r="J29" s="894"/>
      <c r="K29" s="888"/>
    </row>
    <row r="30" spans="1:11" s="383" customFormat="1" ht="11.4">
      <c r="A30" s="369" t="s">
        <v>995</v>
      </c>
      <c r="B30" s="893">
        <f>'Sources and Uses Budget'!C31</f>
        <v>1497424</v>
      </c>
      <c r="C30" s="894"/>
      <c r="D30" s="894"/>
      <c r="E30" s="893">
        <f>'Sources and Uses Budget'!S31</f>
        <v>1497424</v>
      </c>
      <c r="F30" s="894"/>
      <c r="G30" s="894"/>
      <c r="H30" s="893">
        <f>'Sources and Uses Budget'!T31</f>
        <v>0</v>
      </c>
      <c r="I30" s="894"/>
      <c r="J30" s="894"/>
      <c r="K30" s="888"/>
    </row>
    <row r="31" spans="1:11" s="383" customFormat="1" ht="11.4">
      <c r="A31" s="369" t="s">
        <v>996</v>
      </c>
      <c r="B31" s="893">
        <f>'Sources and Uses Budget'!C32</f>
        <v>0</v>
      </c>
      <c r="C31" s="894"/>
      <c r="D31" s="894"/>
      <c r="E31" s="893">
        <f>'Sources and Uses Budget'!S32</f>
        <v>0</v>
      </c>
      <c r="F31" s="894"/>
      <c r="G31" s="894"/>
      <c r="H31" s="893">
        <f>'Sources and Uses Budget'!T32</f>
        <v>0</v>
      </c>
      <c r="I31" s="894"/>
      <c r="J31" s="894"/>
      <c r="K31" s="888"/>
    </row>
    <row r="32" spans="1:11" s="383" customFormat="1" ht="11.4">
      <c r="A32" s="369" t="s">
        <v>997</v>
      </c>
      <c r="B32" s="893">
        <f>'Sources and Uses Budget'!C33</f>
        <v>425596</v>
      </c>
      <c r="C32" s="894"/>
      <c r="D32" s="894"/>
      <c r="E32" s="893">
        <f>'Sources and Uses Budget'!S33</f>
        <v>425596</v>
      </c>
      <c r="F32" s="894"/>
      <c r="G32" s="894"/>
      <c r="H32" s="893">
        <f>'Sources and Uses Budget'!T33</f>
        <v>0</v>
      </c>
      <c r="I32" s="894"/>
      <c r="J32" s="894"/>
      <c r="K32" s="888"/>
    </row>
    <row r="33" spans="1:11" s="383" customFormat="1" ht="11.4">
      <c r="A33" s="369" t="s">
        <v>998</v>
      </c>
      <c r="B33" s="893">
        <f>'Sources and Uses Budget'!C34</f>
        <v>5290000</v>
      </c>
      <c r="C33" s="894"/>
      <c r="D33" s="894"/>
      <c r="E33" s="893">
        <f>'Sources and Uses Budget'!S34</f>
        <v>5290000</v>
      </c>
      <c r="F33" s="894"/>
      <c r="G33" s="894"/>
      <c r="H33" s="893">
        <f>'Sources and Uses Budget'!T34</f>
        <v>0</v>
      </c>
      <c r="I33" s="894"/>
      <c r="J33" s="894"/>
      <c r="K33" s="888"/>
    </row>
    <row r="34" spans="1:11" s="383" customFormat="1" ht="11.4">
      <c r="A34" s="369" t="s">
        <v>999</v>
      </c>
      <c r="B34" s="893">
        <f>'Sources and Uses Budget'!C35</f>
        <v>313129</v>
      </c>
      <c r="C34" s="894"/>
      <c r="D34" s="894"/>
      <c r="E34" s="893">
        <f>'Sources and Uses Budget'!S35</f>
        <v>313129</v>
      </c>
      <c r="F34" s="894"/>
      <c r="G34" s="894"/>
      <c r="H34" s="893">
        <f>'Sources and Uses Budget'!T35</f>
        <v>0</v>
      </c>
      <c r="I34" s="894"/>
      <c r="J34" s="894"/>
      <c r="K34" s="888"/>
    </row>
    <row r="35" spans="1:11" s="1456" customFormat="1" ht="11.4">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ht="11.4">
      <c r="A36" s="700" t="str">
        <f>'Sources and Uses Budget'!$A37</f>
        <v>Other: Solar</v>
      </c>
      <c r="B36" s="893">
        <f>'Sources and Uses Budget'!C37</f>
        <v>500000</v>
      </c>
      <c r="C36" s="894"/>
      <c r="D36" s="894"/>
      <c r="E36" s="893">
        <f>'Sources and Uses Budget'!S37</f>
        <v>500000</v>
      </c>
      <c r="F36" s="894"/>
      <c r="G36" s="894"/>
      <c r="H36" s="893">
        <f>'Sources and Uses Budget'!T37</f>
        <v>0</v>
      </c>
      <c r="I36" s="894"/>
      <c r="J36" s="894"/>
      <c r="K36" s="888"/>
    </row>
    <row r="37" spans="1:11" s="383" customFormat="1">
      <c r="A37" s="886" t="s">
        <v>1002</v>
      </c>
      <c r="B37" s="893">
        <f>'Sources and Uses Budget'!C38</f>
        <v>28800000</v>
      </c>
      <c r="C37" s="893">
        <f>SUM(C28:C36)</f>
        <v>0</v>
      </c>
      <c r="D37" s="893">
        <f>SUM(D28:D36)</f>
        <v>0</v>
      </c>
      <c r="E37" s="893">
        <f>'Sources and Uses Budget'!S38</f>
        <v>28800000</v>
      </c>
      <c r="F37" s="896">
        <f>SUM(F28:F36)</f>
        <v>0</v>
      </c>
      <c r="G37" s="896">
        <f>SUM(G28:G36)</f>
        <v>0</v>
      </c>
      <c r="H37" s="893">
        <f>'Sources and Uses Budget'!T38</f>
        <v>0</v>
      </c>
      <c r="I37" s="896">
        <f>SUM(I28:I36)</f>
        <v>0</v>
      </c>
      <c r="J37" s="896">
        <f>SUM(J28:J36)</f>
        <v>0</v>
      </c>
      <c r="K37" s="888"/>
    </row>
    <row r="38" spans="1:11" s="383" customFormat="1" ht="11.4">
      <c r="A38" s="365" t="s">
        <v>1003</v>
      </c>
      <c r="B38" s="892"/>
      <c r="C38" s="892"/>
      <c r="D38" s="892"/>
      <c r="E38" s="892"/>
      <c r="F38" s="892"/>
      <c r="G38" s="892"/>
      <c r="H38" s="892"/>
      <c r="I38" s="892"/>
      <c r="J38" s="892"/>
      <c r="K38" s="888"/>
    </row>
    <row r="39" spans="1:11" s="383" customFormat="1" ht="11.4">
      <c r="A39" s="369" t="s">
        <v>1004</v>
      </c>
      <c r="B39" s="893">
        <f>'Sources and Uses Budget'!C40</f>
        <v>919135</v>
      </c>
      <c r="C39" s="894"/>
      <c r="D39" s="894"/>
      <c r="E39" s="893">
        <f>'Sources and Uses Budget'!S40</f>
        <v>919135</v>
      </c>
      <c r="F39" s="894"/>
      <c r="G39" s="894"/>
      <c r="H39" s="893">
        <f>'Sources and Uses Budget'!T40</f>
        <v>0</v>
      </c>
      <c r="I39" s="894"/>
      <c r="J39" s="894"/>
      <c r="K39" s="888"/>
    </row>
    <row r="40" spans="1:11" s="383" customFormat="1" ht="11.4">
      <c r="A40" s="369" t="s">
        <v>1005</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1006</v>
      </c>
      <c r="B41" s="893">
        <f>'Sources and Uses Budget'!C42</f>
        <v>919135</v>
      </c>
      <c r="C41" s="893">
        <f>SUM(C38:C40)</f>
        <v>0</v>
      </c>
      <c r="D41" s="893">
        <f>SUM(D38:D40)</f>
        <v>0</v>
      </c>
      <c r="E41" s="893">
        <f>'Sources and Uses Budget'!S42</f>
        <v>919135</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600459</v>
      </c>
      <c r="C42" s="894"/>
      <c r="D42" s="894"/>
      <c r="E42" s="893">
        <f>'Sources and Uses Budget'!S43</f>
        <v>600459</v>
      </c>
      <c r="F42" s="894"/>
      <c r="G42" s="894"/>
      <c r="H42" s="893">
        <f>'Sources and Uses Budget'!T43</f>
        <v>0</v>
      </c>
      <c r="I42" s="894"/>
      <c r="J42" s="894"/>
      <c r="K42" s="888"/>
    </row>
    <row r="43" spans="1:11" s="383" customFormat="1" ht="11.4">
      <c r="A43" s="365" t="s">
        <v>1008</v>
      </c>
      <c r="B43" s="892"/>
      <c r="C43" s="892"/>
      <c r="D43" s="892"/>
      <c r="E43" s="892"/>
      <c r="F43" s="892"/>
      <c r="G43" s="892"/>
      <c r="H43" s="892"/>
      <c r="I43" s="892"/>
      <c r="J43" s="892"/>
      <c r="K43" s="888"/>
    </row>
    <row r="44" spans="1:11" s="383" customFormat="1" ht="11.4">
      <c r="A44" s="369" t="s">
        <v>1009</v>
      </c>
      <c r="B44" s="893">
        <f>'Sources and Uses Budget'!C45</f>
        <v>707000</v>
      </c>
      <c r="C44" s="894"/>
      <c r="D44" s="894"/>
      <c r="E44" s="893">
        <f>'Sources and Uses Budget'!S45</f>
        <v>707000</v>
      </c>
      <c r="F44" s="894"/>
      <c r="G44" s="894"/>
      <c r="H44" s="893">
        <f>'Sources and Uses Budget'!T45</f>
        <v>0</v>
      </c>
      <c r="I44" s="894"/>
      <c r="J44" s="894"/>
      <c r="K44" s="888"/>
    </row>
    <row r="45" spans="1:11" s="383" customFormat="1" ht="11.4">
      <c r="A45" s="369" t="s">
        <v>1010</v>
      </c>
      <c r="B45" s="893">
        <f>'Sources and Uses Budget'!C46</f>
        <v>244000</v>
      </c>
      <c r="C45" s="894"/>
      <c r="D45" s="894"/>
      <c r="E45" s="893">
        <f>'Sources and Uses Budget'!S46</f>
        <v>15860</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ht="11.4">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ht="11.4">
      <c r="A48" s="369" t="s">
        <v>1015</v>
      </c>
      <c r="B48" s="893">
        <f>'Sources and Uses Budget'!C49</f>
        <v>55000</v>
      </c>
      <c r="C48" s="894"/>
      <c r="D48" s="894"/>
      <c r="E48" s="893">
        <f>'Sources and Uses Budget'!S49</f>
        <v>55000</v>
      </c>
      <c r="F48" s="894"/>
      <c r="G48" s="894"/>
      <c r="H48" s="893">
        <f>'Sources and Uses Budget'!T49</f>
        <v>0</v>
      </c>
      <c r="I48" s="894"/>
      <c r="J48" s="894"/>
      <c r="K48" s="888"/>
    </row>
    <row r="49" spans="1:11" s="383" customFormat="1" ht="11.4">
      <c r="A49" s="369" t="s">
        <v>1013</v>
      </c>
      <c r="B49" s="893">
        <f>'Sources and Uses Budget'!C50</f>
        <v>3000</v>
      </c>
      <c r="C49" s="894"/>
      <c r="D49" s="894"/>
      <c r="E49" s="893">
        <f>'Sources and Uses Budget'!S50</f>
        <v>3000</v>
      </c>
      <c r="F49" s="894"/>
      <c r="G49" s="894"/>
      <c r="H49" s="893">
        <f>'Sources and Uses Budget'!T50</f>
        <v>0</v>
      </c>
      <c r="I49" s="894"/>
      <c r="J49" s="894"/>
      <c r="K49" s="888"/>
    </row>
    <row r="50" spans="1:11" s="383" customFormat="1" ht="11.4">
      <c r="A50" s="369" t="s">
        <v>1014</v>
      </c>
      <c r="B50" s="893">
        <f>'Sources and Uses Budget'!C51</f>
        <v>400000</v>
      </c>
      <c r="C50" s="894"/>
      <c r="D50" s="894"/>
      <c r="E50" s="893">
        <f>'Sources and Uses Budget'!S51</f>
        <v>400000</v>
      </c>
      <c r="F50" s="894"/>
      <c r="G50" s="894"/>
      <c r="H50" s="893">
        <f>'Sources and Uses Budget'!T51</f>
        <v>0</v>
      </c>
      <c r="I50" s="894"/>
      <c r="J50" s="894"/>
      <c r="K50" s="888"/>
    </row>
    <row r="51" spans="1:11" s="383" customFormat="1" ht="22.8">
      <c r="A51" s="700" t="str">
        <f>'Sources and Uses Budget'!$A52</f>
        <v>Other: Lender Constr. Svcs Fee &amp; Contstr. Mgmt</v>
      </c>
      <c r="B51" s="893">
        <f>'Sources and Uses Budget'!C52</f>
        <v>190000</v>
      </c>
      <c r="C51" s="894"/>
      <c r="D51" s="894"/>
      <c r="E51" s="893">
        <f>'Sources and Uses Budget'!S52</f>
        <v>190000</v>
      </c>
      <c r="F51" s="894"/>
      <c r="G51" s="894"/>
      <c r="H51" s="893">
        <f>'Sources and Uses Budget'!T52</f>
        <v>0</v>
      </c>
      <c r="I51" s="894"/>
      <c r="J51" s="894"/>
      <c r="K51" s="888"/>
    </row>
    <row r="52" spans="1:11" s="885" customFormat="1">
      <c r="A52" s="373" t="s">
        <v>1016</v>
      </c>
      <c r="B52" s="893">
        <f>'Sources and Uses Budget'!C53</f>
        <v>1599000</v>
      </c>
      <c r="C52" s="896">
        <f>SUM(C44:C51)</f>
        <v>0</v>
      </c>
      <c r="D52" s="896">
        <f>SUM(D44:D51)</f>
        <v>0</v>
      </c>
      <c r="E52" s="893">
        <f>'Sources and Uses Budget'!S53</f>
        <v>1370860</v>
      </c>
      <c r="F52" s="896">
        <f>SUM(F44:F51)</f>
        <v>0</v>
      </c>
      <c r="G52" s="896">
        <f>SUM(G44:G51)</f>
        <v>0</v>
      </c>
      <c r="H52" s="893">
        <f>'Sources and Uses Budget'!T53</f>
        <v>0</v>
      </c>
      <c r="I52" s="896">
        <f>SUM(I44:I51)</f>
        <v>0</v>
      </c>
      <c r="J52" s="896">
        <f>SUM(J44:J51)</f>
        <v>0</v>
      </c>
      <c r="K52" s="889"/>
    </row>
    <row r="53" spans="1:11" s="383" customFormat="1" ht="11.4">
      <c r="A53" s="365" t="s">
        <v>745</v>
      </c>
      <c r="B53" s="892"/>
      <c r="C53" s="892"/>
      <c r="D53" s="892"/>
      <c r="E53" s="892"/>
      <c r="F53" s="892"/>
      <c r="G53" s="892"/>
      <c r="H53" s="892"/>
      <c r="I53" s="892"/>
      <c r="J53" s="892"/>
      <c r="K53" s="888"/>
    </row>
    <row r="54" spans="1:11" s="383" customFormat="1" ht="11.4">
      <c r="A54" s="369" t="s">
        <v>1017</v>
      </c>
      <c r="B54" s="893">
        <f>'Sources and Uses Budget'!C55</f>
        <v>0</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ht="11.4">
      <c r="A56" s="369" t="s">
        <v>1015</v>
      </c>
      <c r="B56" s="893">
        <f>'Sources and Uses Budget'!C57</f>
        <v>0</v>
      </c>
      <c r="C56" s="894"/>
      <c r="D56" s="894"/>
      <c r="E56" s="895"/>
      <c r="F56" s="895"/>
      <c r="G56" s="895"/>
      <c r="H56" s="895"/>
      <c r="I56" s="895"/>
      <c r="J56" s="895"/>
      <c r="K56" s="888"/>
    </row>
    <row r="57" spans="1:11" s="383" customFormat="1" ht="11.4">
      <c r="A57" s="369" t="s">
        <v>1013</v>
      </c>
      <c r="B57" s="893">
        <f>'Sources and Uses Budget'!C58</f>
        <v>0</v>
      </c>
      <c r="C57" s="894"/>
      <c r="D57" s="894"/>
      <c r="E57" s="895"/>
      <c r="F57" s="895"/>
      <c r="G57" s="895"/>
      <c r="H57" s="895"/>
      <c r="I57" s="895"/>
      <c r="J57" s="895"/>
      <c r="K57" s="888"/>
    </row>
    <row r="58" spans="1:11" s="383" customFormat="1" ht="11.4">
      <c r="A58" s="369" t="s">
        <v>1014</v>
      </c>
      <c r="B58" s="893">
        <f>'Sources and Uses Budget'!C59</f>
        <v>0</v>
      </c>
      <c r="C58" s="894"/>
      <c r="D58" s="894"/>
      <c r="E58" s="895"/>
      <c r="F58" s="895"/>
      <c r="G58" s="895"/>
      <c r="H58" s="895"/>
      <c r="I58" s="895"/>
      <c r="J58" s="895"/>
      <c r="K58" s="888"/>
    </row>
    <row r="59" spans="1:11" s="383" customFormat="1" ht="11.4">
      <c r="A59" s="700" t="str">
        <f>'Sources and Uses Budget'!$A60</f>
        <v>Other: Interest prior to conversion</v>
      </c>
      <c r="B59" s="893">
        <f>'Sources and Uses Budget'!C60</f>
        <v>652000</v>
      </c>
      <c r="C59" s="894"/>
      <c r="D59" s="894"/>
      <c r="E59" s="895"/>
      <c r="F59" s="895"/>
      <c r="G59" s="895"/>
      <c r="H59" s="895"/>
      <c r="I59" s="895"/>
      <c r="J59" s="895"/>
      <c r="K59" s="888"/>
    </row>
    <row r="60" spans="1:11" s="383" customFormat="1" ht="13.95" customHeight="1">
      <c r="A60" s="373" t="s">
        <v>546</v>
      </c>
      <c r="B60" s="893">
        <f>'Sources and Uses Budget'!C61</f>
        <v>652000</v>
      </c>
      <c r="C60" s="893">
        <f>SUM(C54:C59)</f>
        <v>0</v>
      </c>
      <c r="D60" s="893">
        <f>SUM(D54:D59)</f>
        <v>0</v>
      </c>
      <c r="E60" s="895"/>
      <c r="F60" s="895"/>
      <c r="G60" s="895"/>
      <c r="H60" s="895"/>
      <c r="I60" s="895"/>
      <c r="J60" s="895"/>
      <c r="K60" s="888"/>
    </row>
    <row r="61" spans="1:11" s="383" customFormat="1" ht="11.4">
      <c r="A61" s="379" t="s">
        <v>547</v>
      </c>
      <c r="B61" s="893">
        <f>'Sources and Uses Budget'!C62</f>
        <v>42031872</v>
      </c>
      <c r="C61" s="893">
        <f>SUM(C8+C11+C13+C14+C15+C25+C26+C37+C41+C42+C52+C60)</f>
        <v>0</v>
      </c>
      <c r="D61" s="893">
        <f>SUM(D8+D11+D13+D14+D15+D25+D26+D37+D41+D42+D52+D60)</f>
        <v>0</v>
      </c>
      <c r="E61" s="893">
        <f>'Sources and Uses Budget'!S62</f>
        <v>31690454</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2.8">
      <c r="A62" s="365" t="s">
        <v>2164</v>
      </c>
      <c r="B62" s="892"/>
      <c r="C62" s="892"/>
      <c r="D62" s="892"/>
      <c r="E62" s="892"/>
      <c r="F62" s="892"/>
      <c r="G62" s="892"/>
      <c r="H62" s="892"/>
      <c r="I62" s="892"/>
      <c r="J62" s="892"/>
      <c r="K62" s="888"/>
    </row>
    <row r="63" spans="1:11" s="383" customFormat="1" ht="11.4">
      <c r="A63" s="369" t="s">
        <v>311</v>
      </c>
      <c r="B63" s="893">
        <f>'Sources and Uses Budget'!C64</f>
        <v>120000</v>
      </c>
      <c r="C63" s="894"/>
      <c r="D63" s="894"/>
      <c r="E63" s="893">
        <f>'Sources and Uses Budget'!S64</f>
        <v>80000</v>
      </c>
      <c r="F63" s="894"/>
      <c r="G63" s="894"/>
      <c r="H63" s="893">
        <f>'Sources and Uses Budget'!T64</f>
        <v>0</v>
      </c>
      <c r="I63" s="894"/>
      <c r="J63" s="894"/>
      <c r="K63" s="888"/>
    </row>
    <row r="64" spans="1:11" s="1335" customFormat="1" ht="22.8">
      <c r="A64" s="369" t="s">
        <v>2165</v>
      </c>
      <c r="B64" s="893">
        <f>'Sources and Uses Budget'!C65</f>
        <v>0</v>
      </c>
      <c r="C64" s="894"/>
      <c r="D64" s="894"/>
      <c r="E64" s="893">
        <f>'Sources and Uses Budget'!S65</f>
        <v>0</v>
      </c>
      <c r="F64" s="894"/>
      <c r="G64" s="894"/>
      <c r="H64" s="893">
        <f>'Sources and Uses Budget'!T65</f>
        <v>0</v>
      </c>
      <c r="I64" s="894"/>
      <c r="J64" s="894"/>
      <c r="K64" s="888"/>
    </row>
    <row r="65" spans="1:11" s="1335" customFormat="1" ht="22.8">
      <c r="A65" s="369" t="s">
        <v>2166</v>
      </c>
      <c r="B65" s="893">
        <f>'Sources and Uses Budget'!C66</f>
        <v>0</v>
      </c>
      <c r="C65" s="894"/>
      <c r="D65" s="894"/>
      <c r="E65" s="893">
        <f>'Sources and Uses Budget'!S66</f>
        <v>0</v>
      </c>
      <c r="F65" s="894"/>
      <c r="G65" s="894"/>
      <c r="H65" s="893">
        <f>'Sources and Uses Budget'!T66</f>
        <v>0</v>
      </c>
      <c r="I65" s="894"/>
      <c r="J65" s="894"/>
      <c r="K65" s="888"/>
    </row>
    <row r="66" spans="1:11" s="1335" customFormat="1" ht="11.4">
      <c r="A66" s="369" t="s">
        <v>2167</v>
      </c>
      <c r="B66" s="893">
        <f>'Sources and Uses Budget'!C67</f>
        <v>0</v>
      </c>
      <c r="C66" s="894"/>
      <c r="D66" s="894"/>
      <c r="E66" s="893">
        <f>'Sources and Uses Budget'!S67</f>
        <v>0</v>
      </c>
      <c r="F66" s="894"/>
      <c r="G66" s="894"/>
      <c r="H66" s="893">
        <f>'Sources and Uses Budget'!T67</f>
        <v>0</v>
      </c>
      <c r="I66" s="894"/>
      <c r="J66" s="894"/>
      <c r="K66" s="888"/>
    </row>
    <row r="67" spans="1:11" s="383" customFormat="1" ht="11.4">
      <c r="A67" s="700" t="str">
        <f>'Sources and Uses Budget'!$A68</f>
        <v>Other: Partnership &amp; transaction</v>
      </c>
      <c r="B67" s="893">
        <f>'Sources and Uses Budget'!C68</f>
        <v>200000</v>
      </c>
      <c r="C67" s="894"/>
      <c r="D67" s="894"/>
      <c r="E67" s="893">
        <f>'Sources and Uses Budget'!S68</f>
        <v>15000</v>
      </c>
      <c r="F67" s="894"/>
      <c r="G67" s="894"/>
      <c r="H67" s="893">
        <f>'Sources and Uses Budget'!T68</f>
        <v>0</v>
      </c>
      <c r="I67" s="894"/>
      <c r="J67" s="894"/>
      <c r="K67" s="888"/>
    </row>
    <row r="68" spans="1:11" s="383" customFormat="1">
      <c r="A68" s="373" t="s">
        <v>2168</v>
      </c>
      <c r="B68" s="893">
        <f>'Sources and Uses Budget'!C69</f>
        <v>320000</v>
      </c>
      <c r="C68" s="893">
        <f>SUM(C62:C67)</f>
        <v>0</v>
      </c>
      <c r="D68" s="893">
        <f>SUM(D62:D67)</f>
        <v>0</v>
      </c>
      <c r="E68" s="893">
        <f>'Sources and Uses Budget'!S69</f>
        <v>95000</v>
      </c>
      <c r="F68" s="896">
        <f>SUM(F63:F67)</f>
        <v>0</v>
      </c>
      <c r="G68" s="896">
        <f>SUM(G63:G67)</f>
        <v>0</v>
      </c>
      <c r="H68" s="893">
        <f>'Sources and Uses Budget'!T69</f>
        <v>0</v>
      </c>
      <c r="I68" s="896">
        <f>SUM(I63:I67)</f>
        <v>0</v>
      </c>
      <c r="J68" s="896">
        <f>SUM(J63:J67)</f>
        <v>0</v>
      </c>
      <c r="K68" s="888"/>
    </row>
    <row r="69" spans="1:11" s="383" customFormat="1" ht="11.4">
      <c r="A69" s="365" t="s">
        <v>312</v>
      </c>
      <c r="B69" s="892"/>
      <c r="C69" s="892"/>
      <c r="D69" s="892"/>
      <c r="E69" s="892"/>
      <c r="F69" s="892"/>
      <c r="G69" s="892"/>
      <c r="H69" s="892"/>
      <c r="I69" s="892"/>
      <c r="J69" s="892"/>
      <c r="K69" s="888"/>
    </row>
    <row r="70" spans="1:11" s="383" customFormat="1" ht="11.4">
      <c r="A70" s="369" t="s">
        <v>313</v>
      </c>
      <c r="B70" s="893">
        <f>'Sources and Uses Budget'!C71</f>
        <v>0</v>
      </c>
      <c r="C70" s="894"/>
      <c r="D70" s="894"/>
      <c r="E70" s="895"/>
      <c r="F70" s="895"/>
      <c r="G70" s="895"/>
      <c r="H70" s="895"/>
      <c r="I70" s="895"/>
      <c r="J70" s="895"/>
      <c r="K70" s="888"/>
    </row>
    <row r="71" spans="1:11" s="383" customFormat="1" ht="11.4">
      <c r="A71" s="369" t="s">
        <v>314</v>
      </c>
      <c r="B71" s="893">
        <f>'Sources and Uses Budget'!C72</f>
        <v>0</v>
      </c>
      <c r="C71" s="894"/>
      <c r="D71" s="894"/>
      <c r="E71" s="895"/>
      <c r="F71" s="895"/>
      <c r="G71" s="895"/>
      <c r="H71" s="895"/>
      <c r="I71" s="895"/>
      <c r="J71" s="895"/>
      <c r="K71" s="888"/>
    </row>
    <row r="72" spans="1:11" s="383" customFormat="1" ht="11.4">
      <c r="A72" s="973" t="s">
        <v>1340</v>
      </c>
      <c r="B72" s="893">
        <f>'Sources and Uses Budget'!C73</f>
        <v>0</v>
      </c>
      <c r="C72" s="894"/>
      <c r="D72" s="894"/>
      <c r="E72" s="895"/>
      <c r="F72" s="895"/>
      <c r="G72" s="895"/>
      <c r="H72" s="895"/>
      <c r="I72" s="895"/>
      <c r="J72" s="895"/>
      <c r="K72" s="888"/>
    </row>
    <row r="73" spans="1:11" s="383" customFormat="1" ht="11.4">
      <c r="A73" s="369" t="s">
        <v>315</v>
      </c>
      <c r="B73" s="893">
        <f>'Sources and Uses Budget'!C74</f>
        <v>488000</v>
      </c>
      <c r="C73" s="894"/>
      <c r="D73" s="894"/>
      <c r="E73" s="895"/>
      <c r="F73" s="895"/>
      <c r="G73" s="895"/>
      <c r="H73" s="895"/>
      <c r="I73" s="895"/>
      <c r="J73" s="895"/>
      <c r="K73" s="888"/>
    </row>
    <row r="74" spans="1:11" s="383" customFormat="1" ht="11.4">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488000</v>
      </c>
      <c r="C75" s="893">
        <f>SUM(C70:C74)</f>
        <v>0</v>
      </c>
      <c r="D75" s="893">
        <f>SUM(D70:D74)</f>
        <v>0</v>
      </c>
      <c r="E75" s="895"/>
      <c r="F75" s="895"/>
      <c r="G75" s="895"/>
      <c r="H75" s="895"/>
      <c r="I75" s="895"/>
      <c r="J75" s="895"/>
      <c r="K75" s="888"/>
    </row>
    <row r="76" spans="1:11" s="383" customFormat="1" ht="11.4">
      <c r="A76" s="365" t="s">
        <v>1908</v>
      </c>
      <c r="B76" s="892"/>
      <c r="C76" s="892"/>
      <c r="D76" s="892"/>
      <c r="E76" s="892"/>
      <c r="F76" s="892"/>
      <c r="G76" s="892"/>
      <c r="H76" s="892"/>
      <c r="I76" s="892"/>
      <c r="J76" s="892"/>
      <c r="K76" s="888"/>
    </row>
    <row r="77" spans="1:11" s="383" customFormat="1" ht="11.4">
      <c r="A77" s="369" t="s">
        <v>1909</v>
      </c>
      <c r="B77" s="893">
        <f>'Sources and Uses Budget'!C78</f>
        <v>2016000</v>
      </c>
      <c r="C77" s="894"/>
      <c r="D77" s="894"/>
      <c r="E77" s="893">
        <f>'Sources and Uses Budget'!S78</f>
        <v>2016000</v>
      </c>
      <c r="F77" s="894"/>
      <c r="G77" s="894"/>
      <c r="H77" s="893">
        <f>'Sources and Uses Budget'!T78</f>
        <v>0</v>
      </c>
      <c r="I77" s="894"/>
      <c r="J77" s="894"/>
      <c r="K77" s="888"/>
    </row>
    <row r="78" spans="1:11" s="1066" customFormat="1" ht="11.4">
      <c r="A78" s="369" t="s">
        <v>594</v>
      </c>
      <c r="B78" s="893">
        <f>'Sources and Uses Budget'!C79</f>
        <v>375572</v>
      </c>
      <c r="C78" s="894"/>
      <c r="D78" s="894"/>
      <c r="E78" s="893">
        <f>'Sources and Uses Budget'!S79</f>
        <v>375572</v>
      </c>
      <c r="F78" s="894"/>
      <c r="G78" s="894"/>
      <c r="H78" s="893">
        <f>'Sources and Uses Budget'!T79</f>
        <v>0</v>
      </c>
      <c r="I78" s="894"/>
      <c r="J78" s="894"/>
      <c r="K78" s="888"/>
    </row>
    <row r="79" spans="1:11" s="383" customFormat="1">
      <c r="A79" s="373" t="s">
        <v>1907</v>
      </c>
      <c r="B79" s="893">
        <f>'Sources and Uses Budget'!C80</f>
        <v>2391572</v>
      </c>
      <c r="C79" s="1075">
        <f>SUM(C77:C78)</f>
        <v>0</v>
      </c>
      <c r="D79" s="1075">
        <f>SUM(D77:D78)</f>
        <v>0</v>
      </c>
      <c r="E79" s="893">
        <f>'Sources and Uses Budget'!S80</f>
        <v>2391572</v>
      </c>
      <c r="F79" s="1075">
        <f>SUM(F77:F78)</f>
        <v>0</v>
      </c>
      <c r="G79" s="1075">
        <f>SUM(G77:G78)</f>
        <v>0</v>
      </c>
      <c r="H79" s="893">
        <f>'Sources and Uses Budget'!T80</f>
        <v>0</v>
      </c>
      <c r="I79" s="1075">
        <f>SUM(I77:I78)</f>
        <v>0</v>
      </c>
      <c r="J79" s="1075">
        <f>SUM(J77:J78)</f>
        <v>0</v>
      </c>
      <c r="K79" s="888"/>
    </row>
    <row r="80" spans="1:11" s="383" customFormat="1" ht="11.4">
      <c r="A80" s="365" t="s">
        <v>570</v>
      </c>
      <c r="B80" s="892"/>
      <c r="C80" s="892"/>
      <c r="D80" s="892"/>
      <c r="E80" s="892"/>
      <c r="F80" s="892"/>
      <c r="G80" s="892"/>
      <c r="H80" s="892"/>
      <c r="I80" s="892"/>
      <c r="J80" s="892"/>
      <c r="K80" s="888"/>
    </row>
    <row r="81" spans="1:11" s="383" customFormat="1" ht="13.95" customHeight="1">
      <c r="A81" s="369" t="s">
        <v>571</v>
      </c>
      <c r="B81" s="893">
        <f>'Sources and Uses Budget'!C82</f>
        <v>165000</v>
      </c>
      <c r="C81" s="894"/>
      <c r="D81" s="894"/>
      <c r="E81" s="895"/>
      <c r="F81" s="895"/>
      <c r="G81" s="895"/>
      <c r="H81" s="895"/>
      <c r="I81" s="895"/>
      <c r="J81" s="895"/>
      <c r="K81" s="888"/>
    </row>
    <row r="82" spans="1:11" s="383" customFormat="1" ht="11.4">
      <c r="A82" s="369" t="s">
        <v>572</v>
      </c>
      <c r="B82" s="893">
        <f>'Sources and Uses Budget'!C83</f>
        <v>9300</v>
      </c>
      <c r="C82" s="894"/>
      <c r="D82" s="894"/>
      <c r="E82" s="893">
        <f>'Sources and Uses Budget'!S83</f>
        <v>9300</v>
      </c>
      <c r="F82" s="894"/>
      <c r="G82" s="894"/>
      <c r="H82" s="893">
        <f>'Sources and Uses Budget'!T83</f>
        <v>0</v>
      </c>
      <c r="I82" s="894"/>
      <c r="J82" s="894"/>
      <c r="K82" s="888"/>
    </row>
    <row r="83" spans="1:11" s="383" customFormat="1" ht="11.4">
      <c r="A83" s="369" t="s">
        <v>573</v>
      </c>
      <c r="B83" s="893">
        <f>'Sources and Uses Budget'!C84</f>
        <v>1670124</v>
      </c>
      <c r="C83" s="894"/>
      <c r="D83" s="894"/>
      <c r="E83" s="893">
        <f>'Sources and Uses Budget'!S84</f>
        <v>1670124</v>
      </c>
      <c r="F83" s="894"/>
      <c r="G83" s="894"/>
      <c r="H83" s="893">
        <f>'Sources and Uses Budget'!T84</f>
        <v>0</v>
      </c>
      <c r="I83" s="894"/>
      <c r="J83" s="894"/>
      <c r="K83" s="888"/>
    </row>
    <row r="84" spans="1:11" s="383" customFormat="1" ht="11.4">
      <c r="A84" s="369" t="s">
        <v>574</v>
      </c>
      <c r="B84" s="893">
        <f>'Sources and Uses Budget'!C85</f>
        <v>861423</v>
      </c>
      <c r="C84" s="894"/>
      <c r="D84" s="894"/>
      <c r="E84" s="893">
        <f>'Sources and Uses Budget'!S85</f>
        <v>861423</v>
      </c>
      <c r="F84" s="894"/>
      <c r="G84" s="894"/>
      <c r="H84" s="893">
        <f>'Sources and Uses Budget'!T85</f>
        <v>0</v>
      </c>
      <c r="I84" s="894"/>
      <c r="J84" s="894"/>
      <c r="K84" s="888"/>
    </row>
    <row r="85" spans="1:11" s="383" customFormat="1" ht="11.4">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ht="11.4">
      <c r="A86" s="369" t="s">
        <v>576</v>
      </c>
      <c r="B86" s="893">
        <f>'Sources and Uses Budget'!C87</f>
        <v>25000</v>
      </c>
      <c r="C86" s="894"/>
      <c r="D86" s="894"/>
      <c r="E86" s="895"/>
      <c r="F86" s="895"/>
      <c r="G86" s="895"/>
      <c r="H86" s="895"/>
      <c r="I86" s="895"/>
      <c r="J86" s="895"/>
      <c r="K86" s="888"/>
    </row>
    <row r="87" spans="1:11" s="383" customFormat="1" ht="11.4">
      <c r="A87" s="369" t="s">
        <v>577</v>
      </c>
      <c r="B87" s="893">
        <f>'Sources and Uses Budget'!C88</f>
        <v>384000</v>
      </c>
      <c r="C87" s="894"/>
      <c r="D87" s="894"/>
      <c r="E87" s="893">
        <f>'Sources and Uses Budget'!S88</f>
        <v>384000</v>
      </c>
      <c r="F87" s="894"/>
      <c r="G87" s="894"/>
      <c r="H87" s="893">
        <f>'Sources and Uses Budget'!T88</f>
        <v>0</v>
      </c>
      <c r="I87" s="894"/>
      <c r="J87" s="894"/>
      <c r="K87" s="888"/>
    </row>
    <row r="88" spans="1:11" s="383" customFormat="1" ht="11.4">
      <c r="A88" s="369" t="s">
        <v>578</v>
      </c>
      <c r="B88" s="893">
        <f>'Sources and Uses Budget'!C89</f>
        <v>7000</v>
      </c>
      <c r="C88" s="894"/>
      <c r="D88" s="894"/>
      <c r="E88" s="893">
        <f>'Sources and Uses Budget'!S89</f>
        <v>7000</v>
      </c>
      <c r="F88" s="894"/>
      <c r="G88" s="894"/>
      <c r="H88" s="893">
        <f>'Sources and Uses Budget'!T89</f>
        <v>0</v>
      </c>
      <c r="I88" s="894"/>
      <c r="J88" s="894"/>
      <c r="K88" s="888"/>
    </row>
    <row r="89" spans="1:11" s="383" customFormat="1" ht="11.4">
      <c r="A89" s="700" t="s">
        <v>1422</v>
      </c>
      <c r="B89" s="893">
        <f>'Sources and Uses Budget'!C90</f>
        <v>30000</v>
      </c>
      <c r="C89" s="894"/>
      <c r="D89" s="894"/>
      <c r="E89" s="893">
        <f>'Sources and Uses Budget'!S90</f>
        <v>30000</v>
      </c>
      <c r="F89" s="894"/>
      <c r="G89" s="894"/>
      <c r="H89" s="893">
        <f>'Sources and Uses Budget'!T90</f>
        <v>0</v>
      </c>
      <c r="I89" s="894"/>
      <c r="J89" s="894"/>
      <c r="K89" s="888"/>
    </row>
    <row r="90" spans="1:11" s="383" customFormat="1" ht="11.4">
      <c r="A90" s="700" t="s">
        <v>1905</v>
      </c>
      <c r="B90" s="893">
        <f>'Sources and Uses Budget'!C91</f>
        <v>10000</v>
      </c>
      <c r="C90" s="894"/>
      <c r="D90" s="894"/>
      <c r="E90" s="893">
        <f>'Sources and Uses Budget'!S91</f>
        <v>10000</v>
      </c>
      <c r="F90" s="894"/>
      <c r="G90" s="894"/>
      <c r="H90" s="893">
        <f>'Sources and Uses Budget'!T91</f>
        <v>0</v>
      </c>
      <c r="I90" s="894"/>
      <c r="J90" s="894"/>
      <c r="K90" s="888"/>
    </row>
    <row r="91" spans="1:11" s="383" customFormat="1" ht="11.4">
      <c r="A91" s="700" t="str">
        <f>'Sources and Uses Budget'!$A92</f>
        <v>Other: Lease-up costs</v>
      </c>
      <c r="B91" s="893">
        <f>'Sources and Uses Budget'!C92</f>
        <v>50000</v>
      </c>
      <c r="C91" s="894"/>
      <c r="D91" s="894"/>
      <c r="E91" s="893">
        <f>'Sources and Uses Budget'!S92</f>
        <v>0</v>
      </c>
      <c r="F91" s="894"/>
      <c r="G91" s="894"/>
      <c r="H91" s="893">
        <f>'Sources and Uses Budget'!T92</f>
        <v>0</v>
      </c>
      <c r="I91" s="894"/>
      <c r="J91" s="894"/>
      <c r="K91" s="888"/>
    </row>
    <row r="92" spans="1:11" s="383" customFormat="1" ht="11.4">
      <c r="A92" s="700" t="str">
        <f>'Sources and Uses Budget'!$A93</f>
        <v>Other: Utilities</v>
      </c>
      <c r="B92" s="893">
        <f>'Sources and Uses Budget'!C93</f>
        <v>260000</v>
      </c>
      <c r="C92" s="894"/>
      <c r="D92" s="894"/>
      <c r="E92" s="893">
        <f>'Sources and Uses Budget'!S93</f>
        <v>260000</v>
      </c>
      <c r="F92" s="894"/>
      <c r="G92" s="894"/>
      <c r="H92" s="893">
        <f>'Sources and Uses Budget'!T93</f>
        <v>0</v>
      </c>
      <c r="I92" s="894"/>
      <c r="J92" s="894"/>
      <c r="K92" s="888"/>
    </row>
    <row r="93" spans="1:11" s="383" customFormat="1" ht="11.4">
      <c r="A93" s="700" t="str">
        <f>'Sources and Uses Budget'!$A94</f>
        <v>Other: Initial compliance monitoring fee</v>
      </c>
      <c r="B93" s="893">
        <f>'Sources and Uses Budget'!C94</f>
        <v>4000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3475847</v>
      </c>
      <c r="C94" s="893">
        <f>SUM(C81:C93)</f>
        <v>0</v>
      </c>
      <c r="D94" s="893">
        <f>SUM(D81:D93)</f>
        <v>0</v>
      </c>
      <c r="E94" s="893">
        <f>'Sources and Uses Budget'!S95</f>
        <v>3231847</v>
      </c>
      <c r="F94" s="896">
        <f>SUM(F82:F85,F87:F93)</f>
        <v>0</v>
      </c>
      <c r="G94" s="896">
        <f>SUM(G82:G85,G87:G93)</f>
        <v>0</v>
      </c>
      <c r="H94" s="893">
        <f>'Sources and Uses Budget'!T95</f>
        <v>0</v>
      </c>
      <c r="I94" s="893">
        <f>SUM(I82:I85,I87:I93)</f>
        <v>0</v>
      </c>
      <c r="J94" s="893">
        <f>SUM(J82:J85,J87:J93)</f>
        <v>0</v>
      </c>
      <c r="K94" s="888"/>
    </row>
    <row r="95" spans="1:11" s="383" customFormat="1">
      <c r="A95" s="373" t="s">
        <v>1476</v>
      </c>
      <c r="B95" s="893">
        <f>'Sources and Uses Budget'!C96</f>
        <v>48707291</v>
      </c>
      <c r="C95" s="893">
        <f>SUM(C61+C68+C75+C79+C94)</f>
        <v>0</v>
      </c>
      <c r="D95" s="893">
        <f>SUM(D61+D68+D75+D79+D94)</f>
        <v>0</v>
      </c>
      <c r="E95" s="893">
        <f>'Sources and Uses Budget'!S96</f>
        <v>37408873</v>
      </c>
      <c r="F95" s="896">
        <f>SUM(+F61+F68+F79+F94)</f>
        <v>0</v>
      </c>
      <c r="G95" s="896">
        <f>SUM(+G61+G68+G79+G94)</f>
        <v>0</v>
      </c>
      <c r="H95" s="893">
        <f>'Sources and Uses Budget'!T96</f>
        <v>0</v>
      </c>
      <c r="I95" s="896">
        <f>SUM(I61+I68+I79+I94)</f>
        <v>0</v>
      </c>
      <c r="J95" s="896">
        <f>SUM(J61+J68+J79+J94)</f>
        <v>0</v>
      </c>
      <c r="K95" s="888"/>
    </row>
    <row r="96" spans="1:11" s="383" customFormat="1" ht="11.4">
      <c r="A96" s="365" t="s">
        <v>581</v>
      </c>
      <c r="B96" s="892"/>
      <c r="C96" s="892"/>
      <c r="D96" s="892"/>
      <c r="E96" s="892"/>
      <c r="F96" s="892"/>
      <c r="G96" s="892"/>
      <c r="H96" s="892"/>
      <c r="I96" s="892"/>
      <c r="J96" s="892"/>
      <c r="K96" s="888"/>
    </row>
    <row r="97" spans="1:11" s="383" customFormat="1" ht="11.4">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ht="11.4">
      <c r="A98" s="369" t="s">
        <v>2169</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ht="11.4">
      <c r="A100" s="369" t="s">
        <v>1341</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ht="11.4">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1477</v>
      </c>
      <c r="B103" s="893">
        <f>'Sources and Uses Budget'!C104</f>
        <v>50907291</v>
      </c>
      <c r="C103" s="896">
        <f>SUM(C95+C102)</f>
        <v>0</v>
      </c>
      <c r="D103" s="896">
        <f>SUM(D95+D102)</f>
        <v>0</v>
      </c>
      <c r="E103" s="893">
        <f>'Sources and Uses Budget'!S104</f>
        <v>39608873</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39608873</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topLeftCell="A243" zoomScaleNormal="100" workbookViewId="0">
      <selection activeCell="AH278" sqref="AH278"/>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084" hidden="1" customWidth="1"/>
    <col min="41" max="41" width="5.5546875" style="132" hidden="1" customWidth="1"/>
    <col min="42" max="55" width="5.5546875" style="65" hidden="1" customWidth="1"/>
    <col min="56" max="60" width="5.5546875" style="68" hidden="1" customWidth="1"/>
    <col min="61" max="109" width="5.5546875" style="65" hidden="1" customWidth="1"/>
    <col min="110" max="153" width="0" style="65" hidden="1" customWidth="1"/>
    <col min="154" max="16384" width="9.109375" style="65" hidden="1"/>
  </cols>
  <sheetData>
    <row r="1" spans="1:42" ht="15.75" customHeight="1">
      <c r="A1" s="2052" t="s">
        <v>920</v>
      </c>
      <c r="B1" s="2052"/>
      <c r="C1" s="2052"/>
      <c r="D1" s="2052"/>
      <c r="E1" s="2052"/>
      <c r="F1" s="2052"/>
      <c r="G1" s="2052"/>
      <c r="H1" s="2052"/>
      <c r="I1" s="2052"/>
      <c r="J1" s="2052"/>
      <c r="K1" s="2052"/>
      <c r="L1" s="2052"/>
      <c r="M1" s="2052"/>
      <c r="N1" s="2052"/>
      <c r="O1" s="2052"/>
      <c r="P1" s="2052"/>
      <c r="Q1" s="2052"/>
      <c r="R1" s="2052"/>
      <c r="S1" s="2052"/>
      <c r="T1" s="2052"/>
      <c r="U1" s="2052"/>
      <c r="V1" s="2052"/>
      <c r="W1" s="2052"/>
      <c r="X1" s="2052"/>
      <c r="Y1" s="2052"/>
      <c r="Z1" s="2052"/>
      <c r="AA1" s="2052"/>
      <c r="AB1" s="2052"/>
      <c r="AC1" s="2052"/>
      <c r="AD1" s="2052"/>
      <c r="AE1" s="2052"/>
      <c r="AF1" s="2052"/>
      <c r="AG1" s="2052"/>
      <c r="AH1" s="2052"/>
      <c r="AI1" s="2052"/>
      <c r="AJ1" s="2052"/>
      <c r="AK1" s="2052"/>
      <c r="AL1" s="2052"/>
      <c r="AM1" s="2052"/>
    </row>
    <row r="2" spans="1:42" s="8" customFormat="1" ht="12.75" customHeight="1" thickBot="1">
      <c r="A2" s="2053"/>
      <c r="B2" s="2053"/>
      <c r="C2" s="2053"/>
      <c r="D2" s="2053"/>
      <c r="E2" s="2053"/>
      <c r="F2" s="2053"/>
      <c r="G2" s="2053"/>
      <c r="H2" s="2053"/>
      <c r="I2" s="2053"/>
      <c r="J2" s="2053"/>
      <c r="K2" s="2053"/>
      <c r="L2" s="2053"/>
      <c r="M2" s="2053"/>
      <c r="N2" s="2053"/>
      <c r="O2" s="2053"/>
      <c r="P2" s="2053"/>
      <c r="Q2" s="2053"/>
      <c r="R2" s="2053"/>
      <c r="S2" s="2053"/>
      <c r="T2" s="2053"/>
      <c r="U2" s="2053"/>
      <c r="V2" s="2053"/>
      <c r="W2" s="2053"/>
      <c r="X2" s="2053"/>
      <c r="Y2" s="2053"/>
      <c r="Z2" s="2053"/>
      <c r="AA2" s="2053"/>
      <c r="AB2" s="2053"/>
      <c r="AC2" s="2053"/>
      <c r="AD2" s="2053"/>
      <c r="AE2" s="2053"/>
      <c r="AF2" s="2053"/>
      <c r="AG2" s="2053"/>
      <c r="AH2" s="2053"/>
      <c r="AI2" s="2053"/>
      <c r="AJ2" s="2053"/>
      <c r="AK2" s="2053"/>
      <c r="AL2" s="2053"/>
      <c r="AM2" s="2053"/>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1589</v>
      </c>
      <c r="AE4" s="2506" t="s">
        <v>405</v>
      </c>
      <c r="AF4" s="2506"/>
      <c r="AG4" s="2506"/>
      <c r="AH4" s="2506"/>
      <c r="AI4" s="2506"/>
      <c r="AJ4" s="2506"/>
      <c r="AK4" s="2506"/>
      <c r="AL4" s="1254"/>
      <c r="AM4" s="48"/>
      <c r="AN4" s="1086"/>
    </row>
    <row r="5" spans="1:42" s="63" customFormat="1" ht="12.9" customHeight="1">
      <c r="A5" s="142"/>
      <c r="AE5" s="33"/>
      <c r="AF5" s="33"/>
      <c r="AG5" s="33"/>
      <c r="AH5" s="33"/>
      <c r="AI5" s="33"/>
      <c r="AJ5" s="33"/>
      <c r="AK5" s="33"/>
      <c r="AL5" s="1254"/>
      <c r="AM5" s="48"/>
      <c r="AN5" s="1086"/>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82" t="s">
        <v>929</v>
      </c>
      <c r="AG6" s="2382"/>
      <c r="AH6" s="2382"/>
      <c r="AI6" s="2382"/>
      <c r="AJ6" s="2382"/>
      <c r="AK6" s="2382"/>
      <c r="AL6" s="2382"/>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493" t="s">
        <v>2512</v>
      </c>
      <c r="C8" s="2493"/>
      <c r="D8" s="2493"/>
      <c r="E8" s="2493"/>
      <c r="F8" s="2493"/>
      <c r="G8" s="2493"/>
      <c r="H8" s="2493"/>
      <c r="I8" s="2493"/>
      <c r="J8" s="2493"/>
      <c r="K8" s="2493"/>
      <c r="L8" s="2493"/>
      <c r="M8" s="2493"/>
      <c r="N8" s="2493"/>
      <c r="O8" s="2493"/>
      <c r="P8" s="2493"/>
      <c r="Q8" s="2493"/>
      <c r="R8" s="2493"/>
      <c r="S8" s="2493"/>
      <c r="T8" s="2493"/>
      <c r="U8" s="2493"/>
      <c r="V8" s="2493"/>
      <c r="W8" s="2493"/>
      <c r="X8" s="2493"/>
      <c r="Y8" s="2493"/>
      <c r="Z8" s="2493"/>
      <c r="AA8" s="2493"/>
      <c r="AB8" s="2493"/>
      <c r="AC8" s="2493"/>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1343</v>
      </c>
      <c r="AP10" s="722">
        <v>5</v>
      </c>
    </row>
    <row r="11" spans="1:42" s="8" customFormat="1" ht="12.75" customHeight="1">
      <c r="A11" s="142"/>
      <c r="B11" s="2493" t="s">
        <v>1344</v>
      </c>
      <c r="C11" s="2493"/>
      <c r="D11" s="2493"/>
      <c r="E11" s="2493"/>
      <c r="F11" s="2493"/>
      <c r="G11" s="2493"/>
      <c r="H11" s="2493"/>
      <c r="I11" s="2493"/>
      <c r="J11" s="2493"/>
      <c r="K11" s="2493"/>
      <c r="L11" s="2493"/>
      <c r="M11" s="2493"/>
      <c r="N11" s="2493"/>
      <c r="O11" s="2493"/>
      <c r="P11" s="2493"/>
      <c r="Q11" s="2493"/>
      <c r="R11" s="2493"/>
      <c r="S11" s="2493"/>
      <c r="T11" s="2493"/>
      <c r="U11" s="2493"/>
      <c r="V11" s="2493"/>
      <c r="W11" s="2493"/>
      <c r="X11" s="2493"/>
      <c r="Y11" s="2493"/>
      <c r="Z11" s="2493"/>
      <c r="AA11" s="2493"/>
      <c r="AB11" s="2493"/>
      <c r="AC11" s="2493"/>
      <c r="AD11" s="2493"/>
      <c r="AE11" s="2493"/>
      <c r="AF11" s="2493"/>
      <c r="AG11" s="2493"/>
      <c r="AH11" s="2493"/>
      <c r="AI11" s="2493"/>
      <c r="AM11" s="48"/>
      <c r="AN11" s="1085"/>
      <c r="AO11" s="720" t="s">
        <v>1344</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1345</v>
      </c>
      <c r="AB13" s="2494" t="s">
        <v>135</v>
      </c>
      <c r="AC13" s="2494"/>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1346</v>
      </c>
      <c r="AP15" s="722">
        <v>5</v>
      </c>
    </row>
    <row r="16" spans="1:42" s="8" customFormat="1" ht="12.75" customHeight="1">
      <c r="A16" s="142"/>
      <c r="B16" s="2493" t="s">
        <v>1209</v>
      </c>
      <c r="C16" s="2493"/>
      <c r="D16" s="2493"/>
      <c r="E16" s="2493"/>
      <c r="F16" s="2493"/>
      <c r="G16" s="2493"/>
      <c r="H16" s="2493"/>
      <c r="I16" s="2493"/>
      <c r="J16" s="2493"/>
      <c r="K16" s="2493"/>
      <c r="L16" s="2493"/>
      <c r="M16" s="2493"/>
      <c r="N16" s="2493"/>
      <c r="O16" s="2493"/>
      <c r="P16" s="2493"/>
      <c r="Q16" s="2493"/>
      <c r="R16" s="2493"/>
      <c r="S16" s="2493"/>
      <c r="T16" s="2493"/>
      <c r="U16" s="2493"/>
      <c r="V16" s="2493"/>
      <c r="W16" s="2493"/>
      <c r="X16" s="2493"/>
      <c r="Y16" s="2493"/>
      <c r="Z16" s="2493"/>
      <c r="AA16" s="2493"/>
      <c r="AB16" s="2493"/>
      <c r="AC16" s="2493"/>
      <c r="AD16" s="2493"/>
      <c r="AE16" s="2493"/>
      <c r="AF16" s="2493"/>
      <c r="AG16" s="2493"/>
      <c r="AH16" s="2493"/>
      <c r="AI16" s="2493"/>
      <c r="AJ16" s="2493"/>
      <c r="AK16" s="757"/>
      <c r="AL16" s="757"/>
      <c r="AM16" s="757"/>
      <c r="AN16" s="1085"/>
      <c r="AO16" s="720" t="s">
        <v>1347</v>
      </c>
      <c r="AP16" s="722">
        <v>7</v>
      </c>
    </row>
    <row r="17" spans="1:42" s="8" customFormat="1" ht="12.75" customHeight="1">
      <c r="B17" s="101" t="s">
        <v>2010</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2009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72" t="s">
        <v>1787</v>
      </c>
      <c r="C20" s="2572"/>
      <c r="D20" s="2572"/>
      <c r="E20" s="2572"/>
      <c r="F20" s="2572"/>
      <c r="G20" s="2572"/>
      <c r="H20" s="2572"/>
      <c r="I20" s="2572"/>
      <c r="J20" s="2572"/>
      <c r="K20" s="2572"/>
      <c r="L20" s="2572"/>
      <c r="M20" s="2572"/>
      <c r="N20" s="2572"/>
      <c r="O20" s="2572"/>
      <c r="P20" s="2572"/>
      <c r="Q20" s="2572"/>
      <c r="R20" s="2572"/>
      <c r="S20" s="2572"/>
      <c r="T20" s="2572"/>
      <c r="U20" s="2572"/>
      <c r="V20" s="2572"/>
      <c r="W20" s="2572"/>
      <c r="X20" s="2572"/>
      <c r="Y20" s="2572"/>
      <c r="Z20" s="2572"/>
      <c r="AA20" s="2572"/>
      <c r="AB20" s="2572"/>
      <c r="AC20" s="2572"/>
      <c r="AD20" s="2572"/>
      <c r="AE20" s="2572"/>
      <c r="AF20" s="2572"/>
      <c r="AG20" s="2572"/>
      <c r="AH20" s="2572"/>
      <c r="AI20" s="2572"/>
      <c r="AJ20" s="2572"/>
      <c r="AK20" s="2572"/>
      <c r="AL20" s="1255"/>
      <c r="AM20" s="38"/>
      <c r="AN20" s="1085"/>
    </row>
    <row r="21" spans="1:42" s="8" customFormat="1" ht="12.75" customHeight="1">
      <c r="A21" s="38"/>
      <c r="B21" s="2572"/>
      <c r="C21" s="2572"/>
      <c r="D21" s="2572"/>
      <c r="E21" s="2572"/>
      <c r="F21" s="2572"/>
      <c r="G21" s="2572"/>
      <c r="H21" s="2572"/>
      <c r="I21" s="2572"/>
      <c r="J21" s="2572"/>
      <c r="K21" s="2572"/>
      <c r="L21" s="2572"/>
      <c r="M21" s="2572"/>
      <c r="N21" s="2572"/>
      <c r="O21" s="2572"/>
      <c r="P21" s="2572"/>
      <c r="Q21" s="2572"/>
      <c r="R21" s="2572"/>
      <c r="S21" s="2572"/>
      <c r="T21" s="2572"/>
      <c r="U21" s="2572"/>
      <c r="V21" s="2572"/>
      <c r="W21" s="2572"/>
      <c r="X21" s="2572"/>
      <c r="Y21" s="2572"/>
      <c r="Z21" s="2572"/>
      <c r="AA21" s="2572"/>
      <c r="AB21" s="2572"/>
      <c r="AC21" s="2572"/>
      <c r="AD21" s="2572"/>
      <c r="AE21" s="2572"/>
      <c r="AF21" s="2572"/>
      <c r="AG21" s="2572"/>
      <c r="AH21" s="2572"/>
      <c r="AI21" s="2572"/>
      <c r="AJ21" s="2572"/>
      <c r="AK21" s="2572"/>
      <c r="AL21" s="1255"/>
      <c r="AM21" s="38"/>
      <c r="AN21" s="1085"/>
      <c r="AP21" s="517"/>
    </row>
    <row r="22" spans="1:42" s="8" customFormat="1" ht="12.75" customHeight="1">
      <c r="A22" s="38"/>
      <c r="B22" s="2572"/>
      <c r="C22" s="2572"/>
      <c r="D22" s="2572"/>
      <c r="E22" s="2572"/>
      <c r="F22" s="2572"/>
      <c r="G22" s="2572"/>
      <c r="H22" s="2572"/>
      <c r="I22" s="2572"/>
      <c r="J22" s="2572"/>
      <c r="K22" s="2572"/>
      <c r="L22" s="2572"/>
      <c r="M22" s="2572"/>
      <c r="N22" s="2572"/>
      <c r="O22" s="2572"/>
      <c r="P22" s="2572"/>
      <c r="Q22" s="2572"/>
      <c r="R22" s="2572"/>
      <c r="S22" s="2572"/>
      <c r="T22" s="2572"/>
      <c r="U22" s="2572"/>
      <c r="V22" s="2572"/>
      <c r="W22" s="2572"/>
      <c r="X22" s="2572"/>
      <c r="Y22" s="2572"/>
      <c r="Z22" s="2572"/>
      <c r="AA22" s="2572"/>
      <c r="AB22" s="2572"/>
      <c r="AC22" s="2572"/>
      <c r="AD22" s="2572"/>
      <c r="AE22" s="2572"/>
      <c r="AF22" s="2572"/>
      <c r="AG22" s="2572"/>
      <c r="AH22" s="2572"/>
      <c r="AI22" s="2572"/>
      <c r="AJ22" s="2572"/>
      <c r="AK22" s="2572"/>
      <c r="AL22" s="1255"/>
      <c r="AM22" s="38"/>
      <c r="AN22" s="1085"/>
    </row>
    <row r="23" spans="1:42" s="46" customFormat="1" ht="12.75" customHeight="1">
      <c r="A23" s="38"/>
      <c r="B23" s="2572"/>
      <c r="C23" s="2572"/>
      <c r="D23" s="2572"/>
      <c r="E23" s="2572"/>
      <c r="F23" s="2572"/>
      <c r="G23" s="2572"/>
      <c r="H23" s="2572"/>
      <c r="I23" s="2572"/>
      <c r="J23" s="2572"/>
      <c r="K23" s="2572"/>
      <c r="L23" s="2572"/>
      <c r="M23" s="2572"/>
      <c r="N23" s="2572"/>
      <c r="O23" s="2572"/>
      <c r="P23" s="2572"/>
      <c r="Q23" s="2572"/>
      <c r="R23" s="2572"/>
      <c r="S23" s="2572"/>
      <c r="T23" s="2572"/>
      <c r="U23" s="2572"/>
      <c r="V23" s="2572"/>
      <c r="W23" s="2572"/>
      <c r="X23" s="2572"/>
      <c r="Y23" s="2572"/>
      <c r="Z23" s="2572"/>
      <c r="AA23" s="2572"/>
      <c r="AB23" s="2572"/>
      <c r="AC23" s="2572"/>
      <c r="AD23" s="2572"/>
      <c r="AE23" s="2572"/>
      <c r="AF23" s="2572"/>
      <c r="AG23" s="2572"/>
      <c r="AH23" s="2572"/>
      <c r="AI23" s="2572"/>
      <c r="AJ23" s="2572"/>
      <c r="AK23" s="2572"/>
      <c r="AL23" s="1255"/>
      <c r="AM23" s="38"/>
      <c r="AN23" s="439"/>
    </row>
    <row r="24" spans="1:42" s="46" customFormat="1" ht="12.75" customHeight="1">
      <c r="A24" s="38"/>
      <c r="B24" s="2572"/>
      <c r="C24" s="2572"/>
      <c r="D24" s="2572"/>
      <c r="E24" s="2572"/>
      <c r="F24" s="2572"/>
      <c r="G24" s="2572"/>
      <c r="H24" s="2572"/>
      <c r="I24" s="2572"/>
      <c r="J24" s="2572"/>
      <c r="K24" s="2572"/>
      <c r="L24" s="2572"/>
      <c r="M24" s="2572"/>
      <c r="N24" s="2572"/>
      <c r="O24" s="2572"/>
      <c r="P24" s="2572"/>
      <c r="Q24" s="2572"/>
      <c r="R24" s="2572"/>
      <c r="S24" s="2572"/>
      <c r="T24" s="2572"/>
      <c r="U24" s="2572"/>
      <c r="V24" s="2572"/>
      <c r="W24" s="2572"/>
      <c r="X24" s="2572"/>
      <c r="Y24" s="2572"/>
      <c r="Z24" s="2572"/>
      <c r="AA24" s="2572"/>
      <c r="AB24" s="2572"/>
      <c r="AC24" s="2572"/>
      <c r="AD24" s="2572"/>
      <c r="AE24" s="2572"/>
      <c r="AF24" s="2572"/>
      <c r="AG24" s="2572"/>
      <c r="AH24" s="2572"/>
      <c r="AI24" s="2572"/>
      <c r="AJ24" s="2572"/>
      <c r="AK24" s="2572"/>
      <c r="AL24" s="1255"/>
      <c r="AM24" s="38"/>
      <c r="AN24" s="1088"/>
      <c r="AO24" s="155"/>
    </row>
    <row r="25" spans="1:42" s="46" customFormat="1" ht="12.75" customHeight="1">
      <c r="A25" s="38"/>
      <c r="B25" s="2572"/>
      <c r="C25" s="2572"/>
      <c r="D25" s="2572"/>
      <c r="E25" s="2572"/>
      <c r="F25" s="2572"/>
      <c r="G25" s="2572"/>
      <c r="H25" s="2572"/>
      <c r="I25" s="2572"/>
      <c r="J25" s="2572"/>
      <c r="K25" s="2572"/>
      <c r="L25" s="2572"/>
      <c r="M25" s="2572"/>
      <c r="N25" s="2572"/>
      <c r="O25" s="2572"/>
      <c r="P25" s="2572"/>
      <c r="Q25" s="2572"/>
      <c r="R25" s="2572"/>
      <c r="S25" s="2572"/>
      <c r="T25" s="2572"/>
      <c r="U25" s="2572"/>
      <c r="V25" s="2572"/>
      <c r="W25" s="2572"/>
      <c r="X25" s="2572"/>
      <c r="Y25" s="2572"/>
      <c r="Z25" s="2572"/>
      <c r="AA25" s="2572"/>
      <c r="AB25" s="2572"/>
      <c r="AC25" s="2572"/>
      <c r="AD25" s="2572"/>
      <c r="AE25" s="2572"/>
      <c r="AF25" s="2572"/>
      <c r="AG25" s="2572"/>
      <c r="AH25" s="2572"/>
      <c r="AI25" s="2572"/>
      <c r="AJ25" s="2572"/>
      <c r="AK25" s="2572"/>
      <c r="AL25" s="1255"/>
      <c r="AM25" s="38"/>
      <c r="AN25" s="1088"/>
    </row>
    <row r="26" spans="1:42" s="137" customFormat="1" ht="12.75" customHeight="1">
      <c r="A26" s="38"/>
      <c r="B26" s="2572"/>
      <c r="C26" s="2572"/>
      <c r="D26" s="2572"/>
      <c r="E26" s="2572"/>
      <c r="F26" s="2572"/>
      <c r="G26" s="2572"/>
      <c r="H26" s="2572"/>
      <c r="I26" s="2572"/>
      <c r="J26" s="2572"/>
      <c r="K26" s="2572"/>
      <c r="L26" s="2572"/>
      <c r="M26" s="2572"/>
      <c r="N26" s="2572"/>
      <c r="O26" s="2572"/>
      <c r="P26" s="2572"/>
      <c r="Q26" s="2572"/>
      <c r="R26" s="2572"/>
      <c r="S26" s="2572"/>
      <c r="T26" s="2572"/>
      <c r="U26" s="2572"/>
      <c r="V26" s="2572"/>
      <c r="W26" s="2572"/>
      <c r="X26" s="2572"/>
      <c r="Y26" s="2572"/>
      <c r="Z26" s="2572"/>
      <c r="AA26" s="2572"/>
      <c r="AB26" s="2572"/>
      <c r="AC26" s="2572"/>
      <c r="AD26" s="2572"/>
      <c r="AE26" s="2572"/>
      <c r="AF26" s="2572"/>
      <c r="AG26" s="2572"/>
      <c r="AH26" s="2572"/>
      <c r="AI26" s="2572"/>
      <c r="AJ26" s="2572"/>
      <c r="AK26" s="2572"/>
      <c r="AL26" s="1255"/>
      <c r="AM26" s="38"/>
      <c r="AN26" s="1089"/>
    </row>
    <row r="27" spans="1:42" s="46" customFormat="1" ht="12.75" customHeight="1">
      <c r="A27" s="38"/>
      <c r="B27" s="2572"/>
      <c r="C27" s="2572"/>
      <c r="D27" s="2572"/>
      <c r="E27" s="2572"/>
      <c r="F27" s="2572"/>
      <c r="G27" s="2572"/>
      <c r="H27" s="2572"/>
      <c r="I27" s="2572"/>
      <c r="J27" s="2572"/>
      <c r="K27" s="2572"/>
      <c r="L27" s="2572"/>
      <c r="M27" s="2572"/>
      <c r="N27" s="2572"/>
      <c r="O27" s="2572"/>
      <c r="P27" s="2572"/>
      <c r="Q27" s="2572"/>
      <c r="R27" s="2572"/>
      <c r="S27" s="2572"/>
      <c r="T27" s="2572"/>
      <c r="U27" s="2572"/>
      <c r="V27" s="2572"/>
      <c r="W27" s="2572"/>
      <c r="X27" s="2572"/>
      <c r="Y27" s="2572"/>
      <c r="Z27" s="2572"/>
      <c r="AA27" s="2572"/>
      <c r="AB27" s="2572"/>
      <c r="AC27" s="2572"/>
      <c r="AD27" s="2572"/>
      <c r="AE27" s="2572"/>
      <c r="AF27" s="2572"/>
      <c r="AG27" s="2572"/>
      <c r="AH27" s="2572"/>
      <c r="AI27" s="2572"/>
      <c r="AJ27" s="2572"/>
      <c r="AK27" s="2572"/>
      <c r="AL27" s="1255"/>
      <c r="AM27" s="38"/>
      <c r="AN27" s="1090"/>
    </row>
    <row r="28" spans="1:42" s="46" customFormat="1" ht="12.75" customHeight="1">
      <c r="A28" s="38"/>
      <c r="B28" s="2572"/>
      <c r="C28" s="2572"/>
      <c r="D28" s="2572"/>
      <c r="E28" s="2572"/>
      <c r="F28" s="2572"/>
      <c r="G28" s="2572"/>
      <c r="H28" s="2572"/>
      <c r="I28" s="2572"/>
      <c r="J28" s="2572"/>
      <c r="K28" s="2572"/>
      <c r="L28" s="2572"/>
      <c r="M28" s="2572"/>
      <c r="N28" s="2572"/>
      <c r="O28" s="2572"/>
      <c r="P28" s="2572"/>
      <c r="Q28" s="2572"/>
      <c r="R28" s="2572"/>
      <c r="S28" s="2572"/>
      <c r="T28" s="2572"/>
      <c r="U28" s="2572"/>
      <c r="V28" s="2572"/>
      <c r="W28" s="2572"/>
      <c r="X28" s="2572"/>
      <c r="Y28" s="2572"/>
      <c r="Z28" s="2572"/>
      <c r="AA28" s="2572"/>
      <c r="AB28" s="2572"/>
      <c r="AC28" s="2572"/>
      <c r="AD28" s="2572"/>
      <c r="AE28" s="2572"/>
      <c r="AF28" s="2572"/>
      <c r="AG28" s="2572"/>
      <c r="AH28" s="2572"/>
      <c r="AI28" s="2572"/>
      <c r="AJ28" s="2572"/>
      <c r="AK28" s="2572"/>
      <c r="AL28" s="1255"/>
      <c r="AM28" s="38"/>
      <c r="AN28" s="1090"/>
    </row>
    <row r="29" spans="1:42" s="46" customFormat="1" ht="31.65" customHeight="1">
      <c r="A29" s="38"/>
      <c r="B29" s="2572"/>
      <c r="C29" s="2572"/>
      <c r="D29" s="2572"/>
      <c r="E29" s="2572"/>
      <c r="F29" s="2572"/>
      <c r="G29" s="2572"/>
      <c r="H29" s="2572"/>
      <c r="I29" s="2572"/>
      <c r="J29" s="2572"/>
      <c r="K29" s="2572"/>
      <c r="L29" s="2572"/>
      <c r="M29" s="2572"/>
      <c r="N29" s="2572"/>
      <c r="O29" s="2572"/>
      <c r="P29" s="2572"/>
      <c r="Q29" s="2572"/>
      <c r="R29" s="2572"/>
      <c r="S29" s="2572"/>
      <c r="T29" s="2572"/>
      <c r="U29" s="2572"/>
      <c r="V29" s="2572"/>
      <c r="W29" s="2572"/>
      <c r="X29" s="2572"/>
      <c r="Y29" s="2572"/>
      <c r="Z29" s="2572"/>
      <c r="AA29" s="2572"/>
      <c r="AB29" s="2572"/>
      <c r="AC29" s="2572"/>
      <c r="AD29" s="2572"/>
      <c r="AE29" s="2572"/>
      <c r="AF29" s="2572"/>
      <c r="AG29" s="2572"/>
      <c r="AH29" s="2572"/>
      <c r="AI29" s="2572"/>
      <c r="AJ29" s="2572"/>
      <c r="AK29" s="2572"/>
      <c r="AL29" s="1255"/>
      <c r="AM29" s="38"/>
      <c r="AN29" s="1090"/>
      <c r="AO29" s="724" t="s">
        <v>86</v>
      </c>
      <c r="AP29" s="578"/>
    </row>
    <row r="30" spans="1:42" s="46" customFormat="1" ht="12.75" customHeight="1">
      <c r="A30" s="8"/>
      <c r="B30" s="2573"/>
      <c r="C30" s="2573"/>
      <c r="D30" s="2573"/>
      <c r="E30" s="2573"/>
      <c r="F30" s="2573"/>
      <c r="G30" s="2573"/>
      <c r="H30" s="2573"/>
      <c r="I30" s="2573"/>
      <c r="J30" s="2573"/>
      <c r="K30" s="2573"/>
      <c r="L30" s="2573"/>
      <c r="M30" s="2573"/>
      <c r="N30" s="2573"/>
      <c r="O30" s="2573"/>
      <c r="P30" s="2573"/>
      <c r="Q30" s="2573"/>
      <c r="R30" s="2573"/>
      <c r="S30" s="2573"/>
      <c r="T30" s="2573"/>
      <c r="U30" s="2573"/>
      <c r="V30" s="2573"/>
      <c r="W30" s="2573"/>
      <c r="X30" s="2573"/>
      <c r="Y30" s="2573"/>
      <c r="Z30" s="2573"/>
      <c r="AA30" s="2573"/>
      <c r="AB30" s="2573"/>
      <c r="AC30" s="2573"/>
      <c r="AD30" s="2573"/>
      <c r="AE30" s="2573"/>
      <c r="AF30" s="2573"/>
      <c r="AG30" s="2573"/>
      <c r="AH30" s="2573"/>
      <c r="AI30" s="2573"/>
      <c r="AJ30" s="2573"/>
      <c r="AK30" s="2573"/>
      <c r="AL30" s="25"/>
      <c r="AM30" s="74"/>
      <c r="AN30" s="1090"/>
      <c r="AO30" s="578" t="s">
        <v>1349</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507">
        <f>IF((AND(AND(OR(Application!D211="Nonprofit (qualified nonprofit organization)",Application!D211="Nonprofit (homeless assistance)",Application!D211="Special Needs/SRO"),Application!D214="Special Needs"),$AB$13="N/A")),VLOOKUP($B$16,$AO$14:$AP$16,2,FALSE),VLOOKUP($B$11,$AO$9:$AP$11,2,FALSE))</f>
        <v>7</v>
      </c>
      <c r="AK31" s="2507"/>
      <c r="AL31" s="1258"/>
      <c r="AM31" s="136"/>
      <c r="AN31" s="1090"/>
      <c r="AO31" s="578" t="s">
        <v>1348</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82" t="s">
        <v>66</v>
      </c>
      <c r="AG33" s="2382"/>
      <c r="AH33" s="2382"/>
      <c r="AI33" s="2382"/>
      <c r="AJ33" s="2382"/>
      <c r="AK33" s="2382"/>
      <c r="AL33" s="2382"/>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493" t="s">
        <v>1348</v>
      </c>
      <c r="D35" s="2493"/>
      <c r="E35" s="2493"/>
      <c r="F35" s="2493"/>
      <c r="G35" s="2493"/>
      <c r="H35" s="2493"/>
      <c r="I35" s="2493"/>
      <c r="J35" s="2493"/>
      <c r="K35" s="2493"/>
      <c r="L35" s="2493"/>
      <c r="M35" s="2493"/>
      <c r="N35" s="2493"/>
      <c r="O35" s="2493"/>
      <c r="P35" s="2493"/>
      <c r="Q35" s="2493"/>
      <c r="R35" s="2493"/>
      <c r="S35" s="2493"/>
      <c r="T35" s="2493"/>
      <c r="U35" s="2493"/>
      <c r="V35" s="2493"/>
      <c r="W35" s="2493"/>
      <c r="X35" s="2493"/>
      <c r="Y35" s="2493"/>
      <c r="Z35" s="2493"/>
      <c r="AA35" s="2493"/>
      <c r="AB35" s="2493"/>
      <c r="AC35" s="2493"/>
      <c r="AD35" s="2493"/>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94" t="s">
        <v>135</v>
      </c>
      <c r="AD37" s="2494"/>
      <c r="AE37" s="137"/>
      <c r="AF37" s="137"/>
      <c r="AG37" s="137"/>
      <c r="AH37" s="137"/>
      <c r="AI37" s="137"/>
      <c r="AJ37" s="137"/>
      <c r="AK37" s="137"/>
      <c r="AL37" s="137"/>
      <c r="AM37" s="621"/>
      <c r="AN37" s="439"/>
      <c r="AO37" s="578" t="s">
        <v>1381</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93" t="s">
        <v>1209</v>
      </c>
      <c r="D40" s="2493"/>
      <c r="E40" s="2493"/>
      <c r="F40" s="2493"/>
      <c r="G40" s="2493"/>
      <c r="H40" s="2493"/>
      <c r="I40" s="2493"/>
      <c r="J40" s="2493"/>
      <c r="K40" s="2493"/>
      <c r="L40" s="2493"/>
      <c r="M40" s="2493"/>
      <c r="N40" s="2493"/>
      <c r="O40" s="2493"/>
      <c r="P40" s="2493"/>
      <c r="Q40" s="2493"/>
      <c r="R40" s="2493"/>
      <c r="S40" s="2493"/>
      <c r="T40" s="2493"/>
      <c r="U40" s="2493"/>
      <c r="V40" s="2493"/>
      <c r="W40" s="2493"/>
      <c r="X40" s="2493"/>
      <c r="Y40" s="2493"/>
      <c r="Z40" s="2493"/>
      <c r="AA40" s="2493"/>
      <c r="AB40" s="2493"/>
      <c r="AC40" s="2493"/>
      <c r="AD40" s="2493"/>
      <c r="AE40" s="137"/>
      <c r="AF40" s="137"/>
      <c r="AG40" s="137"/>
      <c r="AH40" s="137"/>
      <c r="AI40" s="137"/>
      <c r="AJ40" s="137"/>
      <c r="AK40" s="137"/>
      <c r="AL40" s="137"/>
      <c r="AM40" s="151"/>
      <c r="AN40" s="439"/>
    </row>
    <row r="41" spans="1:43" s="46" customFormat="1" ht="12.75" customHeight="1">
      <c r="A41" s="136"/>
      <c r="B41" s="8"/>
      <c r="C41" s="29" t="s">
        <v>2023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93" t="s">
        <v>2340</v>
      </c>
      <c r="D45" s="2493"/>
      <c r="E45" s="2493"/>
      <c r="F45" s="2493"/>
      <c r="G45" s="2493"/>
      <c r="H45" s="2493"/>
      <c r="I45" s="2493"/>
      <c r="J45" s="2493"/>
      <c r="K45" s="2493"/>
      <c r="L45" s="2493"/>
      <c r="M45" s="2493"/>
      <c r="N45" s="2493"/>
      <c r="O45" s="2493"/>
      <c r="P45" s="2493"/>
      <c r="Q45" s="2493"/>
      <c r="R45" s="2493"/>
      <c r="S45" s="2493"/>
      <c r="T45" s="2493"/>
      <c r="U45" s="2493"/>
      <c r="V45" s="2493"/>
      <c r="W45" s="2493"/>
      <c r="X45" s="2493"/>
      <c r="Y45" s="2493"/>
      <c r="Z45" s="2493"/>
      <c r="AA45" s="2493"/>
      <c r="AB45" s="2493"/>
      <c r="AC45" s="2493"/>
      <c r="AD45" s="2493"/>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442">
        <f>IF((AND(AND(OR(Application!D211="Nonprofit (qualified nonprofit organization)",Application!D211="Nonprofit (homeless assistance)",Application!D211="Special Needs/SRO"),Application!D214="Special Needs"),$AC$37="N/A")),VLOOKUP($C$40,$AO$35:$AP$37,2,FALSE),VLOOKUP($C$35,$AO$29:$AP$32,2,FALSE))</f>
        <v>3</v>
      </c>
      <c r="AK47" s="2442"/>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50" t="s">
        <v>1603</v>
      </c>
      <c r="C49" s="2350"/>
      <c r="D49" s="2350"/>
      <c r="E49" s="2350"/>
      <c r="F49" s="2350"/>
      <c r="G49" s="2350"/>
      <c r="H49" s="2350"/>
      <c r="I49" s="2350"/>
      <c r="J49" s="2350"/>
      <c r="K49" s="2350"/>
      <c r="L49" s="2350"/>
      <c r="M49" s="2350"/>
      <c r="N49" s="2350"/>
      <c r="O49" s="2350"/>
      <c r="P49" s="2350"/>
      <c r="Q49" s="2350"/>
      <c r="R49" s="2350"/>
      <c r="S49" s="2350"/>
      <c r="T49" s="2350"/>
      <c r="U49" s="2350"/>
      <c r="V49" s="2350"/>
      <c r="W49" s="2350"/>
      <c r="X49" s="2350"/>
      <c r="Y49" s="2350"/>
      <c r="Z49" s="2350"/>
      <c r="AA49" s="2350"/>
      <c r="AB49" s="2350"/>
      <c r="AC49" s="2350"/>
      <c r="AD49" s="2350"/>
      <c r="AE49" s="2350"/>
      <c r="AF49" s="2350"/>
      <c r="AG49" s="2350"/>
      <c r="AH49" s="2350"/>
      <c r="AI49" s="2350"/>
      <c r="AJ49" s="2350"/>
      <c r="AK49" s="2350"/>
      <c r="AL49" s="1252"/>
      <c r="AM49" s="163"/>
      <c r="AN49" s="439"/>
      <c r="AP49" s="46" t="s">
        <v>621</v>
      </c>
      <c r="AQ49" s="46">
        <v>10</v>
      </c>
    </row>
    <row r="50" spans="1:43" s="46" customFormat="1" ht="12.75" customHeight="1">
      <c r="A50" s="164"/>
      <c r="B50" s="2350"/>
      <c r="C50" s="2350"/>
      <c r="D50" s="2350"/>
      <c r="E50" s="2350"/>
      <c r="F50" s="2350"/>
      <c r="G50" s="2350"/>
      <c r="H50" s="2350"/>
      <c r="I50" s="2350"/>
      <c r="J50" s="2350"/>
      <c r="K50" s="2350"/>
      <c r="L50" s="2350"/>
      <c r="M50" s="2350"/>
      <c r="N50" s="2350"/>
      <c r="O50" s="2350"/>
      <c r="P50" s="2350"/>
      <c r="Q50" s="2350"/>
      <c r="R50" s="2350"/>
      <c r="S50" s="2350"/>
      <c r="T50" s="2350"/>
      <c r="U50" s="2350"/>
      <c r="V50" s="2350"/>
      <c r="W50" s="2350"/>
      <c r="X50" s="2350"/>
      <c r="Y50" s="2350"/>
      <c r="Z50" s="2350"/>
      <c r="AA50" s="2350"/>
      <c r="AB50" s="2350"/>
      <c r="AC50" s="2350"/>
      <c r="AD50" s="2350"/>
      <c r="AE50" s="2350"/>
      <c r="AF50" s="2350"/>
      <c r="AG50" s="2350"/>
      <c r="AH50" s="2350"/>
      <c r="AI50" s="2350"/>
      <c r="AJ50" s="2350"/>
      <c r="AK50" s="2350"/>
      <c r="AL50" s="1252"/>
      <c r="AM50" s="163"/>
      <c r="AN50" s="439"/>
      <c r="AP50" s="46" t="s">
        <v>677</v>
      </c>
      <c r="AQ50" s="46">
        <v>10</v>
      </c>
    </row>
    <row r="51" spans="1:43" s="46" customFormat="1" ht="12.75" customHeight="1">
      <c r="A51" s="164"/>
      <c r="B51" s="2350"/>
      <c r="C51" s="2350"/>
      <c r="D51" s="2350"/>
      <c r="E51" s="2350"/>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2350"/>
      <c r="AB51" s="2350"/>
      <c r="AC51" s="2350"/>
      <c r="AD51" s="2350"/>
      <c r="AE51" s="2350"/>
      <c r="AF51" s="2350"/>
      <c r="AG51" s="2350"/>
      <c r="AH51" s="2350"/>
      <c r="AI51" s="2350"/>
      <c r="AJ51" s="2350"/>
      <c r="AK51" s="2350"/>
      <c r="AL51" s="1252"/>
      <c r="AM51" s="163"/>
      <c r="AN51" s="439"/>
    </row>
    <row r="52" spans="1:43" s="137" customFormat="1" ht="12.75" customHeight="1">
      <c r="A52" s="164"/>
      <c r="B52" s="2350"/>
      <c r="C52" s="2350"/>
      <c r="D52" s="2350"/>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2350"/>
      <c r="AB52" s="2350"/>
      <c r="AC52" s="2350"/>
      <c r="AD52" s="2350"/>
      <c r="AE52" s="2350"/>
      <c r="AF52" s="2350"/>
      <c r="AG52" s="2350"/>
      <c r="AH52" s="2350"/>
      <c r="AI52" s="2350"/>
      <c r="AJ52" s="2350"/>
      <c r="AK52" s="2350"/>
      <c r="AL52" s="1252"/>
      <c r="AM52" s="163"/>
      <c r="AN52" s="1089"/>
    </row>
    <row r="53" spans="1:43" s="46" customFormat="1" ht="12.75" customHeight="1">
      <c r="A53" s="164"/>
      <c r="B53" s="2350"/>
      <c r="C53" s="2350"/>
      <c r="D53" s="2350"/>
      <c r="E53" s="2350"/>
      <c r="F53" s="2350"/>
      <c r="G53" s="2350"/>
      <c r="H53" s="2350"/>
      <c r="I53" s="2350"/>
      <c r="J53" s="2350"/>
      <c r="K53" s="2350"/>
      <c r="L53" s="2350"/>
      <c r="M53" s="2350"/>
      <c r="N53" s="2350"/>
      <c r="O53" s="2350"/>
      <c r="P53" s="2350"/>
      <c r="Q53" s="2350"/>
      <c r="R53" s="2350"/>
      <c r="S53" s="2350"/>
      <c r="T53" s="2350"/>
      <c r="U53" s="2350"/>
      <c r="V53" s="2350"/>
      <c r="W53" s="2350"/>
      <c r="X53" s="2350"/>
      <c r="Y53" s="2350"/>
      <c r="Z53" s="2350"/>
      <c r="AA53" s="2350"/>
      <c r="AB53" s="2350"/>
      <c r="AC53" s="2350"/>
      <c r="AD53" s="2350"/>
      <c r="AE53" s="2350"/>
      <c r="AF53" s="2350"/>
      <c r="AG53" s="2350"/>
      <c r="AH53" s="2350"/>
      <c r="AI53" s="2350"/>
      <c r="AJ53" s="2350"/>
      <c r="AK53" s="2350"/>
      <c r="AL53" s="1252"/>
      <c r="AM53" s="163"/>
      <c r="AN53" s="439"/>
    </row>
    <row r="54" spans="1:43" s="46" customFormat="1" ht="12.75" customHeight="1">
      <c r="A54" s="164"/>
      <c r="B54" s="2350"/>
      <c r="C54" s="2350"/>
      <c r="D54" s="2350"/>
      <c r="E54" s="2350"/>
      <c r="F54" s="2350"/>
      <c r="G54" s="2350"/>
      <c r="H54" s="2350"/>
      <c r="I54" s="2350"/>
      <c r="J54" s="2350"/>
      <c r="K54" s="2350"/>
      <c r="L54" s="2350"/>
      <c r="M54" s="2350"/>
      <c r="N54" s="2350"/>
      <c r="O54" s="2350"/>
      <c r="P54" s="2350"/>
      <c r="Q54" s="2350"/>
      <c r="R54" s="2350"/>
      <c r="S54" s="2350"/>
      <c r="T54" s="2350"/>
      <c r="U54" s="2350"/>
      <c r="V54" s="2350"/>
      <c r="W54" s="2350"/>
      <c r="X54" s="2350"/>
      <c r="Y54" s="2350"/>
      <c r="Z54" s="2350"/>
      <c r="AA54" s="2350"/>
      <c r="AB54" s="2350"/>
      <c r="AC54" s="2350"/>
      <c r="AD54" s="2350"/>
      <c r="AE54" s="2350"/>
      <c r="AF54" s="2350"/>
      <c r="AG54" s="2350"/>
      <c r="AH54" s="2350"/>
      <c r="AI54" s="2350"/>
      <c r="AJ54" s="2350"/>
      <c r="AK54" s="2350"/>
      <c r="AL54" s="1252"/>
      <c r="AM54" s="163"/>
      <c r="AN54" s="439"/>
    </row>
    <row r="55" spans="1:43" s="46" customFormat="1" ht="33.450000000000003" customHeight="1">
      <c r="A55" s="164"/>
      <c r="B55" s="2350"/>
      <c r="C55" s="2350"/>
      <c r="D55" s="2350"/>
      <c r="E55" s="2350"/>
      <c r="F55" s="2350"/>
      <c r="G55" s="2350"/>
      <c r="H55" s="2350"/>
      <c r="I55" s="2350"/>
      <c r="J55" s="2350"/>
      <c r="K55" s="2350"/>
      <c r="L55" s="2350"/>
      <c r="M55" s="2350"/>
      <c r="N55" s="2350"/>
      <c r="O55" s="2350"/>
      <c r="P55" s="2350"/>
      <c r="Q55" s="2350"/>
      <c r="R55" s="2350"/>
      <c r="S55" s="2350"/>
      <c r="T55" s="2350"/>
      <c r="U55" s="2350"/>
      <c r="V55" s="2350"/>
      <c r="W55" s="2350"/>
      <c r="X55" s="2350"/>
      <c r="Y55" s="2350"/>
      <c r="Z55" s="2350"/>
      <c r="AA55" s="2350"/>
      <c r="AB55" s="2350"/>
      <c r="AC55" s="2350"/>
      <c r="AD55" s="2350"/>
      <c r="AE55" s="2350"/>
      <c r="AF55" s="2350"/>
      <c r="AG55" s="2350"/>
      <c r="AH55" s="2350"/>
      <c r="AI55" s="2350"/>
      <c r="AJ55" s="2350"/>
      <c r="AK55" s="2350"/>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50" t="s">
        <v>1604</v>
      </c>
      <c r="C57" s="2350"/>
      <c r="D57" s="2350"/>
      <c r="E57" s="2350"/>
      <c r="F57" s="2350"/>
      <c r="G57" s="2350"/>
      <c r="H57" s="2350"/>
      <c r="I57" s="2350"/>
      <c r="J57" s="2350"/>
      <c r="K57" s="2350"/>
      <c r="L57" s="2350"/>
      <c r="M57" s="2350"/>
      <c r="N57" s="2350"/>
      <c r="O57" s="2350"/>
      <c r="P57" s="2350"/>
      <c r="Q57" s="2350"/>
      <c r="R57" s="2350"/>
      <c r="S57" s="2350"/>
      <c r="T57" s="2350"/>
      <c r="U57" s="2350"/>
      <c r="V57" s="2350"/>
      <c r="W57" s="2350"/>
      <c r="X57" s="2350"/>
      <c r="Y57" s="2350"/>
      <c r="Z57" s="2350"/>
      <c r="AA57" s="2350"/>
      <c r="AB57" s="2350"/>
      <c r="AC57" s="2350"/>
      <c r="AD57" s="2350"/>
      <c r="AE57" s="2350"/>
      <c r="AF57" s="2350"/>
      <c r="AG57" s="2350"/>
      <c r="AH57" s="2350"/>
      <c r="AI57" s="2350"/>
      <c r="AJ57" s="2350"/>
      <c r="AK57" s="2350"/>
      <c r="AL57" s="1252"/>
      <c r="AM57" s="163"/>
      <c r="AN57" s="439"/>
    </row>
    <row r="58" spans="1:43" s="46" customFormat="1" ht="12.75" customHeight="1">
      <c r="A58" s="164"/>
      <c r="B58" s="2350"/>
      <c r="C58" s="2350"/>
      <c r="D58" s="2350"/>
      <c r="E58" s="2350"/>
      <c r="F58" s="2350"/>
      <c r="G58" s="2350"/>
      <c r="H58" s="2350"/>
      <c r="I58" s="2350"/>
      <c r="J58" s="2350"/>
      <c r="K58" s="2350"/>
      <c r="L58" s="2350"/>
      <c r="M58" s="2350"/>
      <c r="N58" s="2350"/>
      <c r="O58" s="2350"/>
      <c r="P58" s="2350"/>
      <c r="Q58" s="2350"/>
      <c r="R58" s="2350"/>
      <c r="S58" s="2350"/>
      <c r="T58" s="2350"/>
      <c r="U58" s="2350"/>
      <c r="V58" s="2350"/>
      <c r="W58" s="2350"/>
      <c r="X58" s="2350"/>
      <c r="Y58" s="2350"/>
      <c r="Z58" s="2350"/>
      <c r="AA58" s="2350"/>
      <c r="AB58" s="2350"/>
      <c r="AC58" s="2350"/>
      <c r="AD58" s="2350"/>
      <c r="AE58" s="2350"/>
      <c r="AF58" s="2350"/>
      <c r="AG58" s="2350"/>
      <c r="AH58" s="2350"/>
      <c r="AI58" s="2350"/>
      <c r="AJ58" s="2350"/>
      <c r="AK58" s="2350"/>
      <c r="AL58" s="1252"/>
      <c r="AM58" s="163"/>
      <c r="AN58" s="439"/>
    </row>
    <row r="59" spans="1:43" s="46" customFormat="1" ht="12.75" customHeight="1">
      <c r="A59" s="164"/>
      <c r="B59" s="2350"/>
      <c r="C59" s="2350"/>
      <c r="D59" s="2350"/>
      <c r="E59" s="2350"/>
      <c r="F59" s="2350"/>
      <c r="G59" s="2350"/>
      <c r="H59" s="2350"/>
      <c r="I59" s="2350"/>
      <c r="J59" s="2350"/>
      <c r="K59" s="2350"/>
      <c r="L59" s="2350"/>
      <c r="M59" s="2350"/>
      <c r="N59" s="2350"/>
      <c r="O59" s="2350"/>
      <c r="P59" s="2350"/>
      <c r="Q59" s="2350"/>
      <c r="R59" s="2350"/>
      <c r="S59" s="2350"/>
      <c r="T59" s="2350"/>
      <c r="U59" s="2350"/>
      <c r="V59" s="2350"/>
      <c r="W59" s="2350"/>
      <c r="X59" s="2350"/>
      <c r="Y59" s="2350"/>
      <c r="Z59" s="2350"/>
      <c r="AA59" s="2350"/>
      <c r="AB59" s="2350"/>
      <c r="AC59" s="2350"/>
      <c r="AD59" s="2350"/>
      <c r="AE59" s="2350"/>
      <c r="AF59" s="2350"/>
      <c r="AG59" s="2350"/>
      <c r="AH59" s="2350"/>
      <c r="AI59" s="2350"/>
      <c r="AJ59" s="2350"/>
      <c r="AK59" s="2350"/>
      <c r="AL59" s="1252"/>
      <c r="AM59" s="163"/>
      <c r="AN59" s="439"/>
    </row>
    <row r="60" spans="1:43" s="46" customFormat="1" ht="17.7" customHeight="1">
      <c r="A60" s="164"/>
      <c r="B60" s="2350"/>
      <c r="C60" s="2350"/>
      <c r="D60" s="2350"/>
      <c r="E60" s="2350"/>
      <c r="F60" s="2350"/>
      <c r="G60" s="2350"/>
      <c r="H60" s="2350"/>
      <c r="I60" s="2350"/>
      <c r="J60" s="2350"/>
      <c r="K60" s="2350"/>
      <c r="L60" s="2350"/>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50" t="s">
        <v>1605</v>
      </c>
      <c r="C62" s="2350"/>
      <c r="D62" s="2350"/>
      <c r="E62" s="2350"/>
      <c r="F62" s="2350"/>
      <c r="G62" s="2350"/>
      <c r="H62" s="2350"/>
      <c r="I62" s="2350"/>
      <c r="J62" s="2350"/>
      <c r="K62" s="2350"/>
      <c r="L62" s="2350"/>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1252"/>
      <c r="AM62" s="163"/>
      <c r="AN62" s="439"/>
    </row>
    <row r="63" spans="1:43" s="46" customFormat="1" ht="12.75" customHeight="1">
      <c r="B63" s="2350"/>
      <c r="C63" s="2350"/>
      <c r="D63" s="2350"/>
      <c r="E63" s="2350"/>
      <c r="F63" s="2350"/>
      <c r="G63" s="2350"/>
      <c r="H63" s="2350"/>
      <c r="I63" s="2350"/>
      <c r="J63" s="2350"/>
      <c r="K63" s="2350"/>
      <c r="L63" s="2350"/>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1252"/>
      <c r="AM63" s="163"/>
      <c r="AN63" s="439"/>
    </row>
    <row r="64" spans="1:43" s="46" customFormat="1" ht="22.95" customHeight="1">
      <c r="A64" s="653"/>
      <c r="B64" s="2350"/>
      <c r="C64" s="2350"/>
      <c r="D64" s="2350"/>
      <c r="E64" s="2350"/>
      <c r="F64" s="2350"/>
      <c r="G64" s="2350"/>
      <c r="H64" s="2350"/>
      <c r="I64" s="2350"/>
      <c r="J64" s="2350"/>
      <c r="K64" s="2350"/>
      <c r="L64" s="2350"/>
      <c r="M64" s="2350"/>
      <c r="N64" s="2350"/>
      <c r="O64" s="2350"/>
      <c r="P64" s="2350"/>
      <c r="Q64" s="2350"/>
      <c r="R64" s="2350"/>
      <c r="S64" s="2350"/>
      <c r="T64" s="2350"/>
      <c r="U64" s="2350"/>
      <c r="V64" s="2350"/>
      <c r="W64" s="2350"/>
      <c r="X64" s="2350"/>
      <c r="Y64" s="2350"/>
      <c r="Z64" s="2350"/>
      <c r="AA64" s="2350"/>
      <c r="AB64" s="2350"/>
      <c r="AC64" s="2350"/>
      <c r="AD64" s="2350"/>
      <c r="AE64" s="2350"/>
      <c r="AF64" s="2350"/>
      <c r="AG64" s="2350"/>
      <c r="AH64" s="2350"/>
      <c r="AI64" s="2350"/>
      <c r="AJ64" s="2350"/>
      <c r="AK64" s="2350"/>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461">
        <f>$AJ$31+$AJ$47</f>
        <v>10</v>
      </c>
      <c r="AL66" s="2462"/>
      <c r="AM66" s="2463"/>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93" t="s">
        <v>405</v>
      </c>
      <c r="AF69" s="2393"/>
      <c r="AG69" s="2393"/>
      <c r="AH69" s="2393"/>
      <c r="AI69" s="2393"/>
      <c r="AJ69" s="2393"/>
      <c r="AK69" s="2393"/>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93" t="s">
        <v>725</v>
      </c>
      <c r="C71" s="2493"/>
      <c r="D71" s="2493"/>
      <c r="E71" s="2493"/>
      <c r="F71" s="2493"/>
      <c r="G71" s="2493"/>
      <c r="H71" s="2493"/>
      <c r="I71" s="2493"/>
      <c r="J71" s="2493"/>
      <c r="K71" s="2493"/>
      <c r="P71" s="153"/>
      <c r="Q71" s="153"/>
      <c r="R71" s="153"/>
      <c r="S71" s="153"/>
      <c r="T71" s="153"/>
      <c r="U71" s="153"/>
      <c r="V71" s="153"/>
      <c r="W71" s="153"/>
      <c r="X71" s="153"/>
      <c r="AF71" s="2382" t="s">
        <v>1021</v>
      </c>
      <c r="AG71" s="2382"/>
      <c r="AH71" s="2382"/>
      <c r="AI71" s="2382"/>
      <c r="AJ71" s="2382"/>
      <c r="AK71" s="2382"/>
      <c r="AL71" s="2382"/>
      <c r="AN71" s="439"/>
      <c r="AP71" s="46" t="s">
        <v>135</v>
      </c>
    </row>
    <row r="72" spans="1:42" s="46" customFormat="1" ht="12.75" customHeight="1">
      <c r="B72" s="2508" t="s">
        <v>1426</v>
      </c>
      <c r="C72" s="2508"/>
      <c r="D72" s="2508"/>
      <c r="E72" s="2508"/>
      <c r="F72" s="2508"/>
      <c r="G72" s="2508"/>
      <c r="H72" s="2508"/>
      <c r="I72" s="2508"/>
      <c r="J72" s="2508"/>
      <c r="K72" s="2508"/>
      <c r="L72" s="2508"/>
      <c r="M72" s="2508"/>
      <c r="N72" s="2508"/>
      <c r="O72" s="2508"/>
      <c r="P72" s="2508"/>
      <c r="Q72" s="2508"/>
      <c r="R72" s="2508"/>
      <c r="S72" s="2508"/>
      <c r="T72" s="2493" t="s">
        <v>135</v>
      </c>
      <c r="U72" s="2493"/>
      <c r="V72" s="2493"/>
      <c r="W72" s="2493"/>
      <c r="X72" s="2493"/>
      <c r="Y72" s="2493"/>
      <c r="Z72" s="2493"/>
      <c r="AA72" s="2493"/>
      <c r="AB72" s="2493"/>
      <c r="AC72" s="2493"/>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77">
        <f>VLOOKUP($B$71,$AP$45:$AR$50,2,FALSE)</f>
        <v>10</v>
      </c>
      <c r="AL73" s="2397"/>
      <c r="AM73" s="2397"/>
      <c r="AN73" s="1277"/>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93" t="s">
        <v>1060</v>
      </c>
      <c r="AF78" s="2393"/>
      <c r="AG78" s="2393"/>
      <c r="AH78" s="2393"/>
      <c r="AI78" s="2393"/>
      <c r="AJ78" s="2393"/>
      <c r="AK78" s="2393"/>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50" t="s">
        <v>2011</v>
      </c>
      <c r="C80" s="2350"/>
      <c r="D80" s="2350"/>
      <c r="E80" s="2350"/>
      <c r="F80" s="2350"/>
      <c r="G80" s="2350"/>
      <c r="H80" s="2350"/>
      <c r="I80" s="2350"/>
      <c r="J80" s="2350"/>
      <c r="K80" s="2350"/>
      <c r="L80" s="2350"/>
      <c r="M80" s="2350"/>
      <c r="N80" s="2350"/>
      <c r="O80" s="2350"/>
      <c r="P80" s="2350"/>
      <c r="Q80" s="2350"/>
      <c r="R80" s="2350"/>
      <c r="S80" s="2350"/>
      <c r="T80" s="2350"/>
      <c r="U80" s="2350"/>
      <c r="V80" s="2350"/>
      <c r="W80" s="2350"/>
      <c r="X80" s="2350"/>
      <c r="Y80" s="2350"/>
      <c r="Z80" s="2350"/>
      <c r="AA80" s="2350"/>
      <c r="AB80" s="2350"/>
      <c r="AC80" s="2350"/>
      <c r="AD80" s="2350"/>
      <c r="AE80" s="2350"/>
      <c r="AF80" s="2350"/>
      <c r="AG80" s="2350"/>
      <c r="AH80" s="2350"/>
      <c r="AI80" s="2350"/>
      <c r="AJ80" s="2350"/>
      <c r="AK80" s="2350"/>
      <c r="AL80" s="1252"/>
      <c r="AM80" s="163"/>
      <c r="AN80" s="439"/>
    </row>
    <row r="81" spans="1:42" s="46" customFormat="1" ht="12.75" customHeight="1">
      <c r="A81" s="163"/>
      <c r="B81" s="2350"/>
      <c r="C81" s="2350"/>
      <c r="D81" s="2350"/>
      <c r="E81" s="2350"/>
      <c r="F81" s="2350"/>
      <c r="G81" s="2350"/>
      <c r="H81" s="2350"/>
      <c r="I81" s="2350"/>
      <c r="J81" s="2350"/>
      <c r="K81" s="2350"/>
      <c r="L81" s="2350"/>
      <c r="M81" s="2350"/>
      <c r="N81" s="2350"/>
      <c r="O81" s="2350"/>
      <c r="P81" s="2350"/>
      <c r="Q81" s="2350"/>
      <c r="R81" s="2350"/>
      <c r="S81" s="2350"/>
      <c r="T81" s="2350"/>
      <c r="U81" s="2350"/>
      <c r="V81" s="2350"/>
      <c r="W81" s="2350"/>
      <c r="X81" s="2350"/>
      <c r="Y81" s="2350"/>
      <c r="Z81" s="2350"/>
      <c r="AA81" s="2350"/>
      <c r="AB81" s="2350"/>
      <c r="AC81" s="2350"/>
      <c r="AD81" s="2350"/>
      <c r="AE81" s="2350"/>
      <c r="AF81" s="2350"/>
      <c r="AG81" s="2350"/>
      <c r="AH81" s="2350"/>
      <c r="AI81" s="2350"/>
      <c r="AJ81" s="2350"/>
      <c r="AK81" s="2350"/>
      <c r="AL81" s="1252"/>
      <c r="AM81" s="163"/>
      <c r="AN81" s="439"/>
    </row>
    <row r="82" spans="1:42" s="46" customFormat="1" ht="12.75" customHeight="1">
      <c r="A82" s="163"/>
      <c r="B82" s="2350"/>
      <c r="C82" s="2350"/>
      <c r="D82" s="2350"/>
      <c r="E82" s="2350"/>
      <c r="F82" s="2350"/>
      <c r="G82" s="2350"/>
      <c r="H82" s="2350"/>
      <c r="I82" s="2350"/>
      <c r="J82" s="2350"/>
      <c r="K82" s="2350"/>
      <c r="L82" s="2350"/>
      <c r="M82" s="2350"/>
      <c r="N82" s="2350"/>
      <c r="O82" s="2350"/>
      <c r="P82" s="2350"/>
      <c r="Q82" s="2350"/>
      <c r="R82" s="2350"/>
      <c r="S82" s="2350"/>
      <c r="T82" s="2350"/>
      <c r="U82" s="2350"/>
      <c r="V82" s="2350"/>
      <c r="W82" s="2350"/>
      <c r="X82" s="2350"/>
      <c r="Y82" s="2350"/>
      <c r="Z82" s="2350"/>
      <c r="AA82" s="2350"/>
      <c r="AB82" s="2350"/>
      <c r="AC82" s="2350"/>
      <c r="AD82" s="2350"/>
      <c r="AE82" s="2350"/>
      <c r="AF82" s="2350"/>
      <c r="AG82" s="2350"/>
      <c r="AH82" s="2350"/>
      <c r="AI82" s="2350"/>
      <c r="AJ82" s="2350"/>
      <c r="AK82" s="2350"/>
      <c r="AL82" s="1252"/>
      <c r="AM82" s="163"/>
      <c r="AN82" s="439"/>
    </row>
    <row r="83" spans="1:42" s="46" customFormat="1" ht="12.75" customHeight="1">
      <c r="A83" s="163"/>
      <c r="B83" s="2350"/>
      <c r="C83" s="2350"/>
      <c r="D83" s="2350"/>
      <c r="E83" s="2350"/>
      <c r="F83" s="2350"/>
      <c r="G83" s="2350"/>
      <c r="H83" s="2350"/>
      <c r="I83" s="2350"/>
      <c r="J83" s="2350"/>
      <c r="K83" s="2350"/>
      <c r="L83" s="2350"/>
      <c r="M83" s="2350"/>
      <c r="N83" s="2350"/>
      <c r="O83" s="2350"/>
      <c r="P83" s="2350"/>
      <c r="Q83" s="2350"/>
      <c r="R83" s="2350"/>
      <c r="S83" s="2350"/>
      <c r="T83" s="2350"/>
      <c r="U83" s="2350"/>
      <c r="V83" s="2350"/>
      <c r="W83" s="2350"/>
      <c r="X83" s="2350"/>
      <c r="Y83" s="2350"/>
      <c r="Z83" s="2350"/>
      <c r="AA83" s="2350"/>
      <c r="AB83" s="2350"/>
      <c r="AC83" s="2350"/>
      <c r="AD83" s="2350"/>
      <c r="AE83" s="2350"/>
      <c r="AF83" s="2350"/>
      <c r="AG83" s="2350"/>
      <c r="AH83" s="2350"/>
      <c r="AI83" s="2350"/>
      <c r="AJ83" s="2350"/>
      <c r="AK83" s="2350"/>
      <c r="AL83" s="1252"/>
      <c r="AM83" s="163"/>
      <c r="AN83" s="439"/>
    </row>
    <row r="84" spans="1:42" s="46" customFormat="1" ht="12.75" customHeight="1">
      <c r="A84" s="163"/>
      <c r="B84" s="2350"/>
      <c r="C84" s="2350"/>
      <c r="D84" s="2350"/>
      <c r="E84" s="2350"/>
      <c r="F84" s="2350"/>
      <c r="G84" s="2350"/>
      <c r="H84" s="2350"/>
      <c r="I84" s="2350"/>
      <c r="J84" s="2350"/>
      <c r="K84" s="2350"/>
      <c r="L84" s="2350"/>
      <c r="M84" s="2350"/>
      <c r="N84" s="235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1252"/>
      <c r="AM84" s="163"/>
      <c r="AN84" s="439"/>
    </row>
    <row r="85" spans="1:42" s="46" customFormat="1" ht="12.75" customHeight="1">
      <c r="A85" s="163"/>
      <c r="B85" s="2350"/>
      <c r="C85" s="2350"/>
      <c r="D85" s="2350"/>
      <c r="E85" s="2350"/>
      <c r="F85" s="2350"/>
      <c r="G85" s="2350"/>
      <c r="H85" s="2350"/>
      <c r="I85" s="2350"/>
      <c r="J85" s="2350"/>
      <c r="K85" s="2350"/>
      <c r="L85" s="2350"/>
      <c r="M85" s="2350"/>
      <c r="N85" s="2350"/>
      <c r="O85" s="2350"/>
      <c r="P85" s="2350"/>
      <c r="Q85" s="2350"/>
      <c r="R85" s="2350"/>
      <c r="S85" s="2350"/>
      <c r="T85" s="2350"/>
      <c r="U85" s="2350"/>
      <c r="V85" s="2350"/>
      <c r="W85" s="2350"/>
      <c r="X85" s="2350"/>
      <c r="Y85" s="2350"/>
      <c r="Z85" s="2350"/>
      <c r="AA85" s="2350"/>
      <c r="AB85" s="2350"/>
      <c r="AC85" s="2350"/>
      <c r="AD85" s="2350"/>
      <c r="AE85" s="2350"/>
      <c r="AF85" s="2350"/>
      <c r="AG85" s="2350"/>
      <c r="AH85" s="2350"/>
      <c r="AI85" s="2350"/>
      <c r="AJ85" s="2350"/>
      <c r="AK85" s="2350"/>
      <c r="AL85" s="1252"/>
      <c r="AM85" s="163"/>
      <c r="AN85" s="439"/>
    </row>
    <row r="86" spans="1:42" ht="12.75" customHeight="1">
      <c r="A86" s="163"/>
      <c r="B86" s="2350"/>
      <c r="C86" s="2350"/>
      <c r="D86" s="2350"/>
      <c r="E86" s="2350"/>
      <c r="F86" s="2350"/>
      <c r="G86" s="2350"/>
      <c r="H86" s="2350"/>
      <c r="I86" s="2350"/>
      <c r="J86" s="2350"/>
      <c r="K86" s="2350"/>
      <c r="L86" s="2350"/>
      <c r="M86" s="2350"/>
      <c r="N86" s="2350"/>
      <c r="O86" s="2350"/>
      <c r="P86" s="2350"/>
      <c r="Q86" s="2350"/>
      <c r="R86" s="2350"/>
      <c r="S86" s="2350"/>
      <c r="T86" s="2350"/>
      <c r="U86" s="2350"/>
      <c r="V86" s="2350"/>
      <c r="W86" s="2350"/>
      <c r="X86" s="2350"/>
      <c r="Y86" s="2350"/>
      <c r="Z86" s="2350"/>
      <c r="AA86" s="2350"/>
      <c r="AB86" s="2350"/>
      <c r="AC86" s="2350"/>
      <c r="AD86" s="2350"/>
      <c r="AE86" s="2350"/>
      <c r="AF86" s="2350"/>
      <c r="AG86" s="2350"/>
      <c r="AH86" s="2350"/>
      <c r="AI86" s="2350"/>
      <c r="AJ86" s="2350"/>
      <c r="AK86" s="2350"/>
      <c r="AL86" s="1252"/>
      <c r="AM86" s="163"/>
    </row>
    <row r="87" spans="1:42" s="46" customFormat="1" ht="12.75" customHeight="1">
      <c r="A87" s="28"/>
      <c r="B87" s="2350"/>
      <c r="C87" s="2350"/>
      <c r="D87" s="2350"/>
      <c r="E87" s="2350"/>
      <c r="F87" s="2350"/>
      <c r="G87" s="2350"/>
      <c r="H87" s="2350"/>
      <c r="I87" s="2350"/>
      <c r="J87" s="2350"/>
      <c r="K87" s="2350"/>
      <c r="L87" s="2350"/>
      <c r="M87" s="2350"/>
      <c r="N87" s="2350"/>
      <c r="O87" s="2350"/>
      <c r="P87" s="2350"/>
      <c r="Q87" s="2350"/>
      <c r="R87" s="2350"/>
      <c r="S87" s="2350"/>
      <c r="T87" s="2350"/>
      <c r="U87" s="2350"/>
      <c r="V87" s="2350"/>
      <c r="W87" s="2350"/>
      <c r="X87" s="2350"/>
      <c r="Y87" s="2350"/>
      <c r="Z87" s="2350"/>
      <c r="AA87" s="2350"/>
      <c r="AB87" s="2350"/>
      <c r="AC87" s="2350"/>
      <c r="AD87" s="2350"/>
      <c r="AE87" s="2350"/>
      <c r="AF87" s="2350"/>
      <c r="AG87" s="2350"/>
      <c r="AH87" s="2350"/>
      <c r="AI87" s="2350"/>
      <c r="AJ87" s="2350"/>
      <c r="AK87" s="2350"/>
      <c r="AL87" s="1252"/>
      <c r="AM87" s="153"/>
      <c r="AN87" s="439"/>
    </row>
    <row r="88" spans="1:42" s="46" customFormat="1" ht="12.75" customHeight="1">
      <c r="A88" s="28"/>
      <c r="B88" s="2350"/>
      <c r="C88" s="2350"/>
      <c r="D88" s="2350"/>
      <c r="E88" s="2350"/>
      <c r="F88" s="2350"/>
      <c r="G88" s="2350"/>
      <c r="H88" s="2350"/>
      <c r="I88" s="2350"/>
      <c r="J88" s="2350"/>
      <c r="K88" s="2350"/>
      <c r="L88" s="2350"/>
      <c r="M88" s="2350"/>
      <c r="N88" s="2350"/>
      <c r="O88" s="2350"/>
      <c r="P88" s="2350"/>
      <c r="Q88" s="2350"/>
      <c r="R88" s="2350"/>
      <c r="S88" s="2350"/>
      <c r="T88" s="2350"/>
      <c r="U88" s="2350"/>
      <c r="V88" s="2350"/>
      <c r="W88" s="2350"/>
      <c r="X88" s="2350"/>
      <c r="Y88" s="2350"/>
      <c r="Z88" s="2350"/>
      <c r="AA88" s="2350"/>
      <c r="AB88" s="2350"/>
      <c r="AC88" s="2350"/>
      <c r="AD88" s="2350"/>
      <c r="AE88" s="2350"/>
      <c r="AF88" s="2350"/>
      <c r="AG88" s="2350"/>
      <c r="AH88" s="2350"/>
      <c r="AI88" s="2350"/>
      <c r="AJ88" s="2350"/>
      <c r="AK88" s="2350"/>
      <c r="AL88" s="1252"/>
      <c r="AM88" s="153"/>
      <c r="AN88" s="439"/>
    </row>
    <row r="89" spans="1:42" s="46" customFormat="1" ht="14.4" customHeight="1">
      <c r="A89" s="28"/>
      <c r="B89" s="2350"/>
      <c r="C89" s="2350"/>
      <c r="D89" s="2350"/>
      <c r="E89" s="2350"/>
      <c r="F89" s="2350"/>
      <c r="G89" s="2350"/>
      <c r="H89" s="2350"/>
      <c r="I89" s="2350"/>
      <c r="J89" s="2350"/>
      <c r="K89" s="2350"/>
      <c r="L89" s="2350"/>
      <c r="M89" s="2350"/>
      <c r="N89" s="2350"/>
      <c r="O89" s="2350"/>
      <c r="P89" s="2350"/>
      <c r="Q89" s="2350"/>
      <c r="R89" s="2350"/>
      <c r="S89" s="2350"/>
      <c r="T89" s="2350"/>
      <c r="U89" s="2350"/>
      <c r="V89" s="2350"/>
      <c r="W89" s="2350"/>
      <c r="X89" s="2350"/>
      <c r="Y89" s="2350"/>
      <c r="Z89" s="2350"/>
      <c r="AA89" s="2350"/>
      <c r="AB89" s="2350"/>
      <c r="AC89" s="2350"/>
      <c r="AD89" s="2350"/>
      <c r="AE89" s="2350"/>
      <c r="AF89" s="2350"/>
      <c r="AG89" s="2350"/>
      <c r="AH89" s="2350"/>
      <c r="AI89" s="2350"/>
      <c r="AJ89" s="2350"/>
      <c r="AK89" s="2350"/>
      <c r="AL89" s="1252"/>
      <c r="AM89" s="153"/>
      <c r="AN89" s="439"/>
    </row>
    <row r="90" spans="1:42" s="46" customFormat="1" ht="12.75" customHeight="1">
      <c r="A90" s="28"/>
      <c r="B90" s="2350"/>
      <c r="C90" s="2350"/>
      <c r="D90" s="2350"/>
      <c r="E90" s="2350"/>
      <c r="F90" s="2350"/>
      <c r="G90" s="2350"/>
      <c r="H90" s="2350"/>
      <c r="I90" s="2350"/>
      <c r="J90" s="2350"/>
      <c r="K90" s="2350"/>
      <c r="L90" s="2350"/>
      <c r="M90" s="2350"/>
      <c r="N90" s="2350"/>
      <c r="O90" s="2350"/>
      <c r="P90" s="2350"/>
      <c r="Q90" s="2350"/>
      <c r="R90" s="2350"/>
      <c r="S90" s="2350"/>
      <c r="T90" s="2350"/>
      <c r="U90" s="2350"/>
      <c r="V90" s="2350"/>
      <c r="W90" s="2350"/>
      <c r="X90" s="2350"/>
      <c r="Y90" s="2350"/>
      <c r="Z90" s="2350"/>
      <c r="AA90" s="2350"/>
      <c r="AB90" s="2350"/>
      <c r="AC90" s="2350"/>
      <c r="AD90" s="2350"/>
      <c r="AE90" s="2350"/>
      <c r="AF90" s="2350"/>
      <c r="AG90" s="2350"/>
      <c r="AH90" s="2350"/>
      <c r="AI90" s="2350"/>
      <c r="AJ90" s="2350"/>
      <c r="AK90" s="2350"/>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82" t="s">
        <v>929</v>
      </c>
      <c r="AG95" s="2382"/>
      <c r="AH95" s="2382"/>
      <c r="AI95" s="2382"/>
      <c r="AJ95" s="2382"/>
      <c r="AK95" s="2382"/>
      <c r="AL95" s="2382"/>
      <c r="AM95" s="153"/>
      <c r="AN95" s="439"/>
    </row>
    <row r="96" spans="1:42" s="46" customFormat="1" ht="12.75" customHeight="1">
      <c r="A96" s="153"/>
      <c r="B96" s="153"/>
      <c r="C96" s="27"/>
      <c r="D96" s="144"/>
      <c r="E96" s="656"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82" t="s">
        <v>63</v>
      </c>
      <c r="AG100" s="2382"/>
      <c r="AH100" s="2382"/>
      <c r="AI100" s="2382"/>
      <c r="AJ100" s="2382"/>
      <c r="AK100" s="2382"/>
      <c r="AL100" s="2382"/>
      <c r="AM100" s="153"/>
      <c r="AN100" s="439"/>
    </row>
    <row r="101" spans="1:53" s="46" customFormat="1" ht="12.75" customHeight="1">
      <c r="A101" s="28"/>
      <c r="B101" s="161"/>
      <c r="C101" s="187"/>
      <c r="D101" s="144"/>
      <c r="E101" s="656"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82" t="s">
        <v>64</v>
      </c>
      <c r="AG105" s="2382"/>
      <c r="AH105" s="2382"/>
      <c r="AI105" s="2382"/>
      <c r="AJ105" s="2382"/>
      <c r="AK105" s="2382"/>
      <c r="AL105" s="2382"/>
      <c r="AM105" s="153"/>
      <c r="AN105" s="439"/>
      <c r="AO105" s="144" t="s">
        <v>793</v>
      </c>
      <c r="AP105" s="46">
        <v>4</v>
      </c>
    </row>
    <row r="106" spans="1:53" s="46" customFormat="1" ht="12.75" customHeight="1">
      <c r="A106" s="28"/>
      <c r="B106" s="161"/>
      <c r="C106" s="187"/>
      <c r="D106" s="144"/>
      <c r="E106" s="656"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82" t="s">
        <v>65</v>
      </c>
      <c r="AG110" s="2382"/>
      <c r="AH110" s="2382"/>
      <c r="AI110" s="2382"/>
      <c r="AJ110" s="2382"/>
      <c r="AK110" s="2382"/>
      <c r="AL110" s="2382"/>
      <c r="AM110" s="153"/>
      <c r="AN110" s="439"/>
      <c r="AO110" s="46" t="str">
        <f>S138</f>
        <v>N/A</v>
      </c>
    </row>
    <row r="111" spans="1:53" s="46" customFormat="1" ht="12.75" customHeight="1">
      <c r="A111" s="28"/>
      <c r="B111" s="161"/>
      <c r="C111" s="187"/>
      <c r="D111" s="144"/>
      <c r="E111" s="656"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82" t="s">
        <v>66</v>
      </c>
      <c r="AG114" s="2382"/>
      <c r="AH114" s="2382"/>
      <c r="AI114" s="2382"/>
      <c r="AJ114" s="2382"/>
      <c r="AK114" s="2382"/>
      <c r="AL114" s="2382"/>
      <c r="AM114" s="153"/>
      <c r="AN114" s="1089"/>
    </row>
    <row r="115" spans="1:47" s="46" customFormat="1" ht="12.75" customHeight="1">
      <c r="A115" s="28"/>
      <c r="B115" s="74"/>
      <c r="C115" s="77"/>
      <c r="D115" s="144"/>
      <c r="E115" s="656"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92" t="s">
        <v>638</v>
      </c>
      <c r="I117" s="2392"/>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2012</v>
      </c>
      <c r="E119" s="190"/>
      <c r="F119" s="190"/>
      <c r="G119" s="190"/>
      <c r="H119" s="190"/>
      <c r="I119" s="190"/>
      <c r="J119" s="190"/>
      <c r="K119" s="190"/>
      <c r="L119" s="190"/>
      <c r="M119" s="190"/>
      <c r="AN119" s="439"/>
    </row>
    <row r="120" spans="1:47" s="46" customFormat="1" ht="12.75" customHeight="1">
      <c r="A120" s="28"/>
      <c r="B120" s="161"/>
      <c r="C120" s="187"/>
      <c r="D120" s="28" t="s">
        <v>2013</v>
      </c>
      <c r="E120" s="190"/>
      <c r="F120" s="190"/>
      <c r="G120" s="190"/>
      <c r="H120" s="190"/>
      <c r="I120" s="190"/>
      <c r="J120" s="190"/>
      <c r="K120" s="190"/>
      <c r="L120" s="190"/>
      <c r="M120" s="190"/>
      <c r="AN120" s="439"/>
    </row>
    <row r="121" spans="1:47" s="46" customFormat="1" ht="12.75" customHeight="1">
      <c r="A121" s="28"/>
      <c r="B121" s="161"/>
      <c r="C121" s="187"/>
      <c r="D121" s="59" t="s">
        <v>2014</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2015</v>
      </c>
      <c r="E122" s="28"/>
      <c r="AN122" s="439"/>
      <c r="AO122" s="46" t="s">
        <v>1606</v>
      </c>
      <c r="AP122" s="46">
        <v>3</v>
      </c>
    </row>
    <row r="123" spans="1:47" s="46" customFormat="1" ht="12.75" customHeight="1">
      <c r="A123" s="28"/>
      <c r="B123" s="161"/>
      <c r="C123" s="187"/>
      <c r="D123" s="28"/>
      <c r="E123" s="28" t="s">
        <v>162</v>
      </c>
      <c r="F123" s="190"/>
      <c r="G123" s="190"/>
      <c r="H123" s="2499" t="s">
        <v>135</v>
      </c>
      <c r="I123" s="2499"/>
      <c r="J123" s="2499"/>
      <c r="K123" s="2499"/>
      <c r="L123" s="2499"/>
      <c r="M123" s="2499"/>
      <c r="N123" s="2499"/>
      <c r="O123" s="2499"/>
      <c r="P123" s="2499"/>
      <c r="Q123" s="2499"/>
      <c r="R123" s="2499"/>
      <c r="S123" s="2499"/>
      <c r="T123" s="2499"/>
      <c r="U123" s="2499"/>
      <c r="V123" s="2499"/>
      <c r="W123" s="2499"/>
      <c r="X123" s="2499"/>
      <c r="Y123" s="2499"/>
      <c r="Z123" s="2499"/>
      <c r="AA123" s="2499"/>
      <c r="AB123" s="2499"/>
      <c r="AC123" s="2499"/>
      <c r="AD123" s="2499"/>
      <c r="AE123" s="2499"/>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912" t="s">
        <v>135</v>
      </c>
      <c r="C125" s="1912"/>
      <c r="D125" s="436"/>
      <c r="E125" s="2350" t="s">
        <v>1937</v>
      </c>
      <c r="F125" s="2350"/>
      <c r="G125" s="2350"/>
      <c r="H125" s="2350"/>
      <c r="I125" s="2350"/>
      <c r="J125" s="2350"/>
      <c r="K125" s="2350"/>
      <c r="L125" s="2350"/>
      <c r="M125" s="2350"/>
      <c r="N125" s="2350"/>
      <c r="O125" s="2350"/>
      <c r="P125" s="2350"/>
      <c r="Q125" s="2350"/>
      <c r="R125" s="2350"/>
      <c r="S125" s="2350"/>
      <c r="T125" s="2350"/>
      <c r="U125" s="2350"/>
      <c r="V125" s="2350"/>
      <c r="W125" s="2350"/>
      <c r="X125" s="2350"/>
      <c r="Y125" s="2350"/>
      <c r="Z125" s="2350"/>
      <c r="AA125" s="2350"/>
      <c r="AB125" s="2350"/>
      <c r="AC125" s="2350"/>
      <c r="AD125" s="2350"/>
      <c r="AE125" s="2350"/>
      <c r="AF125" s="2350"/>
      <c r="AG125" s="2350"/>
      <c r="AH125" s="436"/>
      <c r="AI125" s="436"/>
      <c r="AJ125" s="436"/>
      <c r="AK125" s="436"/>
      <c r="AL125" s="1249"/>
      <c r="AN125" s="439"/>
    </row>
    <row r="126" spans="1:47" s="46" customFormat="1" ht="12.75" customHeight="1">
      <c r="A126" s="28"/>
      <c r="B126" s="161"/>
      <c r="C126" s="187"/>
      <c r="D126" s="436"/>
      <c r="E126" s="2350"/>
      <c r="F126" s="2350"/>
      <c r="G126" s="2350"/>
      <c r="H126" s="2350"/>
      <c r="I126" s="2350"/>
      <c r="J126" s="2350"/>
      <c r="K126" s="2350"/>
      <c r="L126" s="2350"/>
      <c r="M126" s="2350"/>
      <c r="N126" s="2350"/>
      <c r="O126" s="2350"/>
      <c r="P126" s="2350"/>
      <c r="Q126" s="2350"/>
      <c r="R126" s="2350"/>
      <c r="S126" s="2350"/>
      <c r="T126" s="2350"/>
      <c r="U126" s="2350"/>
      <c r="V126" s="2350"/>
      <c r="W126" s="2350"/>
      <c r="X126" s="2350"/>
      <c r="Y126" s="2350"/>
      <c r="Z126" s="2350"/>
      <c r="AA126" s="2350"/>
      <c r="AB126" s="2350"/>
      <c r="AC126" s="2350"/>
      <c r="AD126" s="2350"/>
      <c r="AE126" s="2350"/>
      <c r="AF126" s="2350"/>
      <c r="AG126" s="2350"/>
      <c r="AH126" s="436"/>
      <c r="AI126" s="436"/>
      <c r="AJ126" s="436"/>
      <c r="AK126" s="436"/>
      <c r="AL126" s="1249"/>
      <c r="AN126" s="439"/>
    </row>
    <row r="127" spans="1:47" s="46" customFormat="1" ht="12.75" customHeight="1">
      <c r="A127" s="28"/>
      <c r="B127" s="161"/>
      <c r="C127" s="187"/>
      <c r="D127" s="436"/>
      <c r="E127" s="2350"/>
      <c r="F127" s="2350"/>
      <c r="G127" s="2350"/>
      <c r="H127" s="2350"/>
      <c r="I127" s="2350"/>
      <c r="J127" s="2350"/>
      <c r="K127" s="2350"/>
      <c r="L127" s="2350"/>
      <c r="M127" s="2350"/>
      <c r="N127" s="2350"/>
      <c r="O127" s="2350"/>
      <c r="P127" s="2350"/>
      <c r="Q127" s="2350"/>
      <c r="R127" s="2350"/>
      <c r="S127" s="2350"/>
      <c r="T127" s="2350"/>
      <c r="U127" s="2350"/>
      <c r="V127" s="2350"/>
      <c r="W127" s="2350"/>
      <c r="X127" s="2350"/>
      <c r="Y127" s="2350"/>
      <c r="Z127" s="2350"/>
      <c r="AA127" s="2350"/>
      <c r="AB127" s="2350"/>
      <c r="AC127" s="2350"/>
      <c r="AD127" s="2350"/>
      <c r="AE127" s="2350"/>
      <c r="AF127" s="2350"/>
      <c r="AG127" s="2350"/>
      <c r="AH127" s="436"/>
      <c r="AI127" s="436"/>
      <c r="AJ127" s="436"/>
      <c r="AK127" s="436"/>
      <c r="AL127" s="1249"/>
      <c r="AN127" s="439"/>
    </row>
    <row r="128" spans="1:47" s="46" customFormat="1" ht="12.75" customHeight="1">
      <c r="A128" s="28"/>
      <c r="B128" s="161"/>
      <c r="C128" s="187"/>
      <c r="D128" s="461"/>
      <c r="E128" s="2498"/>
      <c r="F128" s="2498"/>
      <c r="G128" s="2498"/>
      <c r="H128" s="2498"/>
      <c r="I128" s="2498"/>
      <c r="J128" s="2498"/>
      <c r="K128" s="2498"/>
      <c r="L128" s="2498"/>
      <c r="M128" s="2498"/>
      <c r="N128" s="2498"/>
      <c r="O128" s="2498"/>
      <c r="P128" s="2498"/>
      <c r="Q128" s="2498"/>
      <c r="R128" s="2498"/>
      <c r="S128" s="2498"/>
      <c r="T128" s="2498"/>
      <c r="U128" s="2498"/>
      <c r="V128" s="2498"/>
      <c r="W128" s="2498"/>
      <c r="X128" s="2498"/>
      <c r="Y128" s="2498"/>
      <c r="Z128" s="2498"/>
      <c r="AA128" s="2498"/>
      <c r="AB128" s="2498"/>
      <c r="AC128" s="2498"/>
      <c r="AD128" s="2498"/>
      <c r="AE128" s="2498"/>
      <c r="AF128" s="2498"/>
      <c r="AG128" s="2498"/>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77">
        <f>VLOOKUP($H$117,$AO$101:$AP$106,2,FALSE)+VLOOKUP($H$123,$AO$121:$AP$123,2,FALSE)</f>
        <v>7</v>
      </c>
      <c r="AK129" s="237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97" t="s">
        <v>2016</v>
      </c>
      <c r="F133" s="2497"/>
      <c r="G133" s="2497"/>
      <c r="H133" s="2497"/>
      <c r="I133" s="2497"/>
      <c r="J133" s="2497"/>
      <c r="K133" s="2497"/>
      <c r="L133" s="2497"/>
      <c r="M133" s="2497"/>
      <c r="N133" s="2497"/>
      <c r="O133" s="2497"/>
      <c r="P133" s="2497"/>
      <c r="Q133" s="2497"/>
      <c r="R133" s="2497"/>
      <c r="S133" s="2497"/>
      <c r="T133" s="2497"/>
      <c r="U133" s="2497"/>
      <c r="V133" s="2497"/>
      <c r="W133" s="2497"/>
      <c r="X133" s="2497"/>
      <c r="Y133" s="2497"/>
      <c r="Z133" s="2497"/>
      <c r="AA133" s="2497"/>
      <c r="AB133" s="2497"/>
      <c r="AC133" s="2497"/>
      <c r="AD133" s="2497"/>
      <c r="AF133" s="2382" t="s">
        <v>66</v>
      </c>
      <c r="AG133" s="2382"/>
      <c r="AH133" s="2382"/>
      <c r="AI133" s="2382"/>
      <c r="AJ133" s="2382"/>
      <c r="AK133" s="2382"/>
      <c r="AL133" s="2382"/>
      <c r="AM133" s="153"/>
      <c r="AN133" s="459"/>
    </row>
    <row r="134" spans="1:42" s="46" customFormat="1" ht="12.75" customHeight="1">
      <c r="A134" s="195"/>
      <c r="B134" s="161"/>
      <c r="C134" s="187"/>
      <c r="D134" s="144"/>
      <c r="E134" s="2497"/>
      <c r="F134" s="2497"/>
      <c r="G134" s="2497"/>
      <c r="H134" s="2497"/>
      <c r="I134" s="2497"/>
      <c r="J134" s="2497"/>
      <c r="K134" s="2497"/>
      <c r="L134" s="2497"/>
      <c r="M134" s="2497"/>
      <c r="N134" s="2497"/>
      <c r="O134" s="2497"/>
      <c r="P134" s="2497"/>
      <c r="Q134" s="2497"/>
      <c r="R134" s="2497"/>
      <c r="S134" s="2497"/>
      <c r="T134" s="2497"/>
      <c r="U134" s="2497"/>
      <c r="V134" s="2497"/>
      <c r="W134" s="2497"/>
      <c r="X134" s="2497"/>
      <c r="Y134" s="2497"/>
      <c r="Z134" s="2497"/>
      <c r="AA134" s="2497"/>
      <c r="AB134" s="2497"/>
      <c r="AC134" s="2497"/>
      <c r="AD134" s="2497"/>
      <c r="AE134" s="153"/>
      <c r="AF134" s="74"/>
      <c r="AG134" s="153"/>
      <c r="AH134" s="153"/>
      <c r="AI134" s="153"/>
      <c r="AJ134" s="153"/>
      <c r="AK134" s="153"/>
      <c r="AL134" s="153"/>
      <c r="AM134" s="153"/>
      <c r="AN134" s="439"/>
    </row>
    <row r="135" spans="1:42" s="46" customFormat="1" ht="12.75" customHeight="1">
      <c r="A135" s="28"/>
      <c r="B135" s="161"/>
      <c r="C135" s="188"/>
      <c r="D135" s="144"/>
      <c r="E135" s="2497"/>
      <c r="F135" s="2497"/>
      <c r="G135" s="2497"/>
      <c r="H135" s="2497"/>
      <c r="I135" s="2497"/>
      <c r="J135" s="2497"/>
      <c r="K135" s="2497"/>
      <c r="L135" s="2497"/>
      <c r="M135" s="2497"/>
      <c r="N135" s="2497"/>
      <c r="O135" s="2497"/>
      <c r="P135" s="2497"/>
      <c r="Q135" s="2497"/>
      <c r="R135" s="2497"/>
      <c r="S135" s="2497"/>
      <c r="T135" s="2497"/>
      <c r="U135" s="2497"/>
      <c r="V135" s="2497"/>
      <c r="W135" s="2497"/>
      <c r="X135" s="2497"/>
      <c r="Y135" s="2497"/>
      <c r="Z135" s="2497"/>
      <c r="AA135" s="2497"/>
      <c r="AB135" s="2497"/>
      <c r="AC135" s="2497"/>
      <c r="AD135" s="2497"/>
      <c r="AE135" s="153"/>
      <c r="AF135" s="74"/>
      <c r="AG135" s="153"/>
      <c r="AH135" s="153"/>
      <c r="AI135" s="153"/>
      <c r="AJ135" s="153"/>
      <c r="AK135" s="153"/>
      <c r="AL135" s="153"/>
      <c r="AM135" s="153"/>
      <c r="AN135" s="439"/>
    </row>
    <row r="136" spans="1:42" s="46" customFormat="1" ht="12.75" customHeight="1">
      <c r="A136" s="57"/>
      <c r="B136" s="173"/>
      <c r="C136" s="196"/>
      <c r="D136" s="144"/>
      <c r="E136" s="2497"/>
      <c r="F136" s="2497"/>
      <c r="G136" s="2497"/>
      <c r="H136" s="2497"/>
      <c r="I136" s="2497"/>
      <c r="J136" s="2497"/>
      <c r="K136" s="2497"/>
      <c r="L136" s="2497"/>
      <c r="M136" s="2497"/>
      <c r="N136" s="2497"/>
      <c r="O136" s="2497"/>
      <c r="P136" s="2497"/>
      <c r="Q136" s="2497"/>
      <c r="R136" s="2497"/>
      <c r="S136" s="2497"/>
      <c r="T136" s="2497"/>
      <c r="U136" s="2497"/>
      <c r="V136" s="2497"/>
      <c r="W136" s="2497"/>
      <c r="X136" s="2497"/>
      <c r="Y136" s="2497"/>
      <c r="Z136" s="2497"/>
      <c r="AA136" s="2497"/>
      <c r="AB136" s="2497"/>
      <c r="AC136" s="2497"/>
      <c r="AD136" s="2497"/>
      <c r="AE136" s="27"/>
      <c r="AF136" s="173"/>
      <c r="AG136" s="27"/>
      <c r="AH136" s="27"/>
      <c r="AI136" s="27"/>
      <c r="AJ136" s="27"/>
      <c r="AK136" s="153"/>
      <c r="AL136" s="153"/>
      <c r="AM136" s="153"/>
      <c r="AN136" s="439"/>
    </row>
    <row r="137" spans="1:42" s="46" customFormat="1" ht="22.95" customHeight="1">
      <c r="A137" s="28"/>
      <c r="B137" s="173"/>
      <c r="C137" s="196"/>
      <c r="D137" s="144"/>
      <c r="E137" s="2497"/>
      <c r="F137" s="2497"/>
      <c r="G137" s="2497"/>
      <c r="H137" s="2497"/>
      <c r="I137" s="2497"/>
      <c r="J137" s="2497"/>
      <c r="K137" s="2497"/>
      <c r="L137" s="2497"/>
      <c r="M137" s="2497"/>
      <c r="N137" s="2497"/>
      <c r="O137" s="2497"/>
      <c r="P137" s="2497"/>
      <c r="Q137" s="2497"/>
      <c r="R137" s="2497"/>
      <c r="S137" s="2497"/>
      <c r="T137" s="2497"/>
      <c r="U137" s="2497"/>
      <c r="V137" s="2497"/>
      <c r="W137" s="2497"/>
      <c r="X137" s="2497"/>
      <c r="Y137" s="2497"/>
      <c r="Z137" s="2497"/>
      <c r="AA137" s="2497"/>
      <c r="AB137" s="2497"/>
      <c r="AC137" s="2497"/>
      <c r="AD137" s="2497"/>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95" t="s">
        <v>135</v>
      </c>
      <c r="T138" s="2495"/>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82" t="s">
        <v>114</v>
      </c>
      <c r="AG140" s="2382"/>
      <c r="AH140" s="2382"/>
      <c r="AI140" s="2382"/>
      <c r="AJ140" s="2382"/>
      <c r="AK140" s="2382"/>
      <c r="AL140" s="2382"/>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92" t="s">
        <v>638</v>
      </c>
      <c r="I142" s="2392"/>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77">
        <f>VLOOKUP($H$142,$AO$116:$AP$118,2,FALSE)</f>
        <v>3</v>
      </c>
      <c r="AK144" s="2378"/>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82" t="s">
        <v>66</v>
      </c>
      <c r="AG148" s="2382"/>
      <c r="AH148" s="2382"/>
      <c r="AI148" s="2382"/>
      <c r="AJ148" s="2382"/>
      <c r="AK148" s="2382"/>
      <c r="AL148" s="2382"/>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82" t="s">
        <v>114</v>
      </c>
      <c r="AG151" s="2382"/>
      <c r="AH151" s="2382"/>
      <c r="AI151" s="2382"/>
      <c r="AJ151" s="2382"/>
      <c r="AK151" s="2382"/>
      <c r="AL151" s="2382"/>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92" t="s">
        <v>213</v>
      </c>
      <c r="I154" s="239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77">
        <f>VLOOKUP(H154,AT116:AU118,2,FALSE)</f>
        <v>2</v>
      </c>
      <c r="AK156" s="2378"/>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50" t="s">
        <v>809</v>
      </c>
      <c r="F161" s="2350"/>
      <c r="G161" s="2350"/>
      <c r="H161" s="2350"/>
      <c r="I161" s="2350"/>
      <c r="J161" s="2350"/>
      <c r="K161" s="2350"/>
      <c r="L161" s="2350"/>
      <c r="M161" s="2350"/>
      <c r="N161" s="2350"/>
      <c r="O161" s="2350"/>
      <c r="P161" s="2350"/>
      <c r="Q161" s="2350"/>
      <c r="R161" s="2350"/>
      <c r="S161" s="2350"/>
      <c r="T161" s="2350"/>
      <c r="U161" s="2350"/>
      <c r="V161" s="2350"/>
      <c r="W161" s="2350"/>
      <c r="X161" s="2350"/>
      <c r="Y161" s="2350"/>
      <c r="Z161" s="2350"/>
      <c r="AA161" s="2350"/>
      <c r="AB161" s="2350"/>
      <c r="AC161" s="2350"/>
      <c r="AF161" s="2382" t="s">
        <v>64</v>
      </c>
      <c r="AG161" s="2382"/>
      <c r="AH161" s="2382"/>
      <c r="AI161" s="2382"/>
      <c r="AJ161" s="2382"/>
      <c r="AK161" s="2382"/>
      <c r="AL161" s="2382"/>
      <c r="AN161" s="439"/>
    </row>
    <row r="162" spans="1:42" s="46" customFormat="1" ht="12.75" customHeight="1">
      <c r="C162" s="48"/>
      <c r="E162" s="2350"/>
      <c r="F162" s="2350"/>
      <c r="G162" s="2350"/>
      <c r="H162" s="2350"/>
      <c r="I162" s="2350"/>
      <c r="J162" s="2350"/>
      <c r="K162" s="2350"/>
      <c r="L162" s="2350"/>
      <c r="M162" s="2350"/>
      <c r="N162" s="2350"/>
      <c r="O162" s="2350"/>
      <c r="P162" s="2350"/>
      <c r="Q162" s="2350"/>
      <c r="R162" s="2350"/>
      <c r="S162" s="2350"/>
      <c r="T162" s="2350"/>
      <c r="U162" s="2350"/>
      <c r="V162" s="2350"/>
      <c r="W162" s="2350"/>
      <c r="X162" s="2350"/>
      <c r="Y162" s="2350"/>
      <c r="Z162" s="2350"/>
      <c r="AA162" s="2350"/>
      <c r="AB162" s="2350"/>
      <c r="AC162" s="2350"/>
      <c r="AN162" s="439"/>
    </row>
    <row r="163" spans="1:42" s="46" customFormat="1" ht="12.75" customHeight="1">
      <c r="C163" s="48"/>
      <c r="D163" s="144"/>
      <c r="E163" s="2350"/>
      <c r="F163" s="2350"/>
      <c r="G163" s="2350"/>
      <c r="H163" s="2350"/>
      <c r="I163" s="2350"/>
      <c r="J163" s="2350"/>
      <c r="K163" s="2350"/>
      <c r="L163" s="2350"/>
      <c r="M163" s="2350"/>
      <c r="N163" s="2350"/>
      <c r="O163" s="2350"/>
      <c r="P163" s="2350"/>
      <c r="Q163" s="2350"/>
      <c r="R163" s="2350"/>
      <c r="S163" s="2350"/>
      <c r="T163" s="2350"/>
      <c r="U163" s="2350"/>
      <c r="V163" s="2350"/>
      <c r="W163" s="2350"/>
      <c r="X163" s="2350"/>
      <c r="Y163" s="2350"/>
      <c r="Z163" s="2350"/>
      <c r="AA163" s="2350"/>
      <c r="AB163" s="2350"/>
      <c r="AC163" s="2350"/>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50" t="s">
        <v>1876</v>
      </c>
      <c r="F165" s="2350"/>
      <c r="G165" s="2350"/>
      <c r="H165" s="2350"/>
      <c r="I165" s="2350"/>
      <c r="J165" s="2350"/>
      <c r="K165" s="2350"/>
      <c r="L165" s="2350"/>
      <c r="M165" s="2350"/>
      <c r="N165" s="2350"/>
      <c r="O165" s="2350"/>
      <c r="P165" s="2350"/>
      <c r="Q165" s="2350"/>
      <c r="R165" s="2350"/>
      <c r="S165" s="2350"/>
      <c r="T165" s="2350"/>
      <c r="U165" s="2350"/>
      <c r="V165" s="2350"/>
      <c r="W165" s="2350"/>
      <c r="X165" s="2350"/>
      <c r="Y165" s="2350"/>
      <c r="Z165" s="2350"/>
      <c r="AA165" s="2350"/>
      <c r="AB165" s="2350"/>
      <c r="AC165" s="2350"/>
      <c r="AF165" s="2382" t="s">
        <v>65</v>
      </c>
      <c r="AG165" s="2382"/>
      <c r="AH165" s="2382"/>
      <c r="AI165" s="2382"/>
      <c r="AJ165" s="2382"/>
      <c r="AK165" s="2382"/>
      <c r="AL165" s="2382"/>
      <c r="AN165" s="439"/>
    </row>
    <row r="166" spans="1:42" s="46" customFormat="1" ht="12.75" customHeight="1">
      <c r="C166" s="48"/>
      <c r="E166" s="2350"/>
      <c r="F166" s="2350"/>
      <c r="G166" s="2350"/>
      <c r="H166" s="2350"/>
      <c r="I166" s="2350"/>
      <c r="J166" s="2350"/>
      <c r="K166" s="2350"/>
      <c r="L166" s="2350"/>
      <c r="M166" s="2350"/>
      <c r="N166" s="2350"/>
      <c r="O166" s="2350"/>
      <c r="P166" s="2350"/>
      <c r="Q166" s="2350"/>
      <c r="R166" s="2350"/>
      <c r="S166" s="2350"/>
      <c r="T166" s="2350"/>
      <c r="U166" s="2350"/>
      <c r="V166" s="2350"/>
      <c r="W166" s="2350"/>
      <c r="X166" s="2350"/>
      <c r="Y166" s="2350"/>
      <c r="Z166" s="2350"/>
      <c r="AA166" s="2350"/>
      <c r="AB166" s="2350"/>
      <c r="AC166" s="2350"/>
      <c r="AN166" s="439"/>
    </row>
    <row r="167" spans="1:42" s="46" customFormat="1" ht="15" customHeight="1">
      <c r="C167" s="48"/>
      <c r="D167" s="144"/>
      <c r="E167" s="2350"/>
      <c r="F167" s="2350"/>
      <c r="G167" s="2350"/>
      <c r="H167" s="2350"/>
      <c r="I167" s="2350"/>
      <c r="J167" s="2350"/>
      <c r="K167" s="2350"/>
      <c r="L167" s="2350"/>
      <c r="M167" s="2350"/>
      <c r="N167" s="2350"/>
      <c r="O167" s="2350"/>
      <c r="P167" s="2350"/>
      <c r="Q167" s="2350"/>
      <c r="R167" s="2350"/>
      <c r="S167" s="2350"/>
      <c r="T167" s="2350"/>
      <c r="U167" s="2350"/>
      <c r="V167" s="2350"/>
      <c r="W167" s="2350"/>
      <c r="X167" s="2350"/>
      <c r="Y167" s="2350"/>
      <c r="Z167" s="2350"/>
      <c r="AA167" s="2350"/>
      <c r="AB167" s="2350"/>
      <c r="AC167" s="2350"/>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50" t="s">
        <v>1877</v>
      </c>
      <c r="F169" s="2350"/>
      <c r="G169" s="2350"/>
      <c r="H169" s="2350"/>
      <c r="I169" s="2350"/>
      <c r="J169" s="2350"/>
      <c r="K169" s="2350"/>
      <c r="L169" s="2350"/>
      <c r="M169" s="2350"/>
      <c r="N169" s="2350"/>
      <c r="O169" s="2350"/>
      <c r="P169" s="2350"/>
      <c r="Q169" s="2350"/>
      <c r="R169" s="2350"/>
      <c r="S169" s="2350"/>
      <c r="T169" s="2350"/>
      <c r="U169" s="2350"/>
      <c r="V169" s="2350"/>
      <c r="W169" s="2350"/>
      <c r="X169" s="2350"/>
      <c r="Y169" s="2350"/>
      <c r="Z169" s="2350"/>
      <c r="AA169" s="2350"/>
      <c r="AB169" s="2350"/>
      <c r="AC169" s="2350"/>
      <c r="AF169" s="2382" t="s">
        <v>66</v>
      </c>
      <c r="AG169" s="2382"/>
      <c r="AH169" s="2382"/>
      <c r="AI169" s="2382"/>
      <c r="AJ169" s="2382"/>
      <c r="AK169" s="2382"/>
      <c r="AL169" s="2382"/>
      <c r="AN169" s="439"/>
    </row>
    <row r="170" spans="1:42" s="46" customFormat="1" ht="12.75" customHeight="1">
      <c r="A170" s="28"/>
      <c r="B170" s="161"/>
      <c r="C170" s="188"/>
      <c r="E170" s="2350"/>
      <c r="F170" s="2350"/>
      <c r="G170" s="2350"/>
      <c r="H170" s="2350"/>
      <c r="I170" s="2350"/>
      <c r="J170" s="2350"/>
      <c r="K170" s="2350"/>
      <c r="L170" s="2350"/>
      <c r="M170" s="2350"/>
      <c r="N170" s="2350"/>
      <c r="O170" s="2350"/>
      <c r="P170" s="2350"/>
      <c r="Q170" s="2350"/>
      <c r="R170" s="2350"/>
      <c r="S170" s="2350"/>
      <c r="T170" s="2350"/>
      <c r="U170" s="2350"/>
      <c r="V170" s="2350"/>
      <c r="W170" s="2350"/>
      <c r="X170" s="2350"/>
      <c r="Y170" s="2350"/>
      <c r="Z170" s="2350"/>
      <c r="AA170" s="2350"/>
      <c r="AB170" s="2350"/>
      <c r="AC170" s="2350"/>
      <c r="AE170" s="2382"/>
      <c r="AF170" s="2382"/>
      <c r="AG170" s="2382"/>
      <c r="AH170" s="2382"/>
      <c r="AI170" s="2382"/>
      <c r="AJ170" s="2382"/>
      <c r="AK170" s="2382"/>
      <c r="AL170" s="1253"/>
      <c r="AM170" s="153"/>
      <c r="AN170" s="439"/>
      <c r="AO170" s="46" t="s">
        <v>135</v>
      </c>
      <c r="AP170" s="730">
        <v>0</v>
      </c>
    </row>
    <row r="171" spans="1:42" s="46" customFormat="1" ht="12.75" customHeight="1">
      <c r="A171" s="195"/>
      <c r="D171" s="144"/>
      <c r="E171" s="2350"/>
      <c r="F171" s="2350"/>
      <c r="G171" s="2350"/>
      <c r="H171" s="2350"/>
      <c r="I171" s="2350"/>
      <c r="J171" s="2350"/>
      <c r="K171" s="2350"/>
      <c r="L171" s="2350"/>
      <c r="M171" s="2350"/>
      <c r="N171" s="2350"/>
      <c r="O171" s="2350"/>
      <c r="P171" s="2350"/>
      <c r="Q171" s="2350"/>
      <c r="R171" s="2350"/>
      <c r="S171" s="2350"/>
      <c r="T171" s="2350"/>
      <c r="U171" s="2350"/>
      <c r="V171" s="2350"/>
      <c r="W171" s="2350"/>
      <c r="X171" s="2350"/>
      <c r="Y171" s="2350"/>
      <c r="Z171" s="2350"/>
      <c r="AA171" s="2350"/>
      <c r="AB171" s="2350"/>
      <c r="AC171" s="2350"/>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50" t="s">
        <v>1878</v>
      </c>
      <c r="F173" s="2350"/>
      <c r="G173" s="2350"/>
      <c r="H173" s="2350"/>
      <c r="I173" s="2350"/>
      <c r="J173" s="2350"/>
      <c r="K173" s="2350"/>
      <c r="L173" s="2350"/>
      <c r="M173" s="2350"/>
      <c r="N173" s="2350"/>
      <c r="O173" s="2350"/>
      <c r="P173" s="2350"/>
      <c r="Q173" s="2350"/>
      <c r="R173" s="2350"/>
      <c r="S173" s="2350"/>
      <c r="T173" s="2350"/>
      <c r="U173" s="2350"/>
      <c r="V173" s="2350"/>
      <c r="W173" s="2350"/>
      <c r="X173" s="2350"/>
      <c r="Y173" s="2350"/>
      <c r="Z173" s="2350"/>
      <c r="AA173" s="2350"/>
      <c r="AB173" s="2350"/>
      <c r="AC173" s="2350"/>
      <c r="AF173" s="2382" t="s">
        <v>65</v>
      </c>
      <c r="AG173" s="2382"/>
      <c r="AH173" s="2382"/>
      <c r="AI173" s="2382"/>
      <c r="AJ173" s="2382"/>
      <c r="AK173" s="2382"/>
      <c r="AL173" s="2382"/>
      <c r="AN173" s="439"/>
    </row>
    <row r="174" spans="1:42" s="46" customFormat="1" ht="12.75" customHeight="1">
      <c r="A174" s="183"/>
      <c r="B174" s="161"/>
      <c r="C174" s="202"/>
      <c r="D174" s="144"/>
      <c r="E174" s="2350"/>
      <c r="F174" s="2350"/>
      <c r="G174" s="2350"/>
      <c r="H174" s="2350"/>
      <c r="I174" s="2350"/>
      <c r="J174" s="2350"/>
      <c r="K174" s="2350"/>
      <c r="L174" s="2350"/>
      <c r="M174" s="2350"/>
      <c r="N174" s="2350"/>
      <c r="O174" s="2350"/>
      <c r="P174" s="2350"/>
      <c r="Q174" s="2350"/>
      <c r="R174" s="2350"/>
      <c r="S174" s="2350"/>
      <c r="T174" s="2350"/>
      <c r="U174" s="2350"/>
      <c r="V174" s="2350"/>
      <c r="W174" s="2350"/>
      <c r="X174" s="2350"/>
      <c r="Y174" s="2350"/>
      <c r="Z174" s="2350"/>
      <c r="AA174" s="2350"/>
      <c r="AB174" s="2350"/>
      <c r="AC174" s="2350"/>
      <c r="AE174" s="179"/>
      <c r="AF174" s="179"/>
      <c r="AG174" s="179"/>
      <c r="AH174" s="179"/>
      <c r="AI174" s="179"/>
      <c r="AJ174" s="179"/>
      <c r="AK174" s="179"/>
      <c r="AL174" s="1253"/>
      <c r="AM174" s="203"/>
      <c r="AN174" s="439"/>
    </row>
    <row r="175" spans="1:42" s="46" customFormat="1" ht="12.75" customHeight="1">
      <c r="A175" s="183"/>
      <c r="B175" s="161"/>
      <c r="C175" s="202"/>
      <c r="D175" s="144"/>
      <c r="E175" s="2350"/>
      <c r="F175" s="2350"/>
      <c r="G175" s="2350"/>
      <c r="H175" s="2350"/>
      <c r="I175" s="2350"/>
      <c r="J175" s="2350"/>
      <c r="K175" s="2350"/>
      <c r="L175" s="2350"/>
      <c r="M175" s="2350"/>
      <c r="N175" s="2350"/>
      <c r="O175" s="2350"/>
      <c r="P175" s="2350"/>
      <c r="Q175" s="2350"/>
      <c r="R175" s="2350"/>
      <c r="S175" s="2350"/>
      <c r="T175" s="2350"/>
      <c r="U175" s="2350"/>
      <c r="V175" s="2350"/>
      <c r="W175" s="2350"/>
      <c r="X175" s="2350"/>
      <c r="Y175" s="2350"/>
      <c r="Z175" s="2350"/>
      <c r="AA175" s="2350"/>
      <c r="AB175" s="2350"/>
      <c r="AC175" s="2350"/>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50" t="s">
        <v>1879</v>
      </c>
      <c r="F177" s="2350"/>
      <c r="G177" s="2350"/>
      <c r="H177" s="2350"/>
      <c r="I177" s="2350"/>
      <c r="J177" s="2350"/>
      <c r="K177" s="2350"/>
      <c r="L177" s="2350"/>
      <c r="M177" s="2350"/>
      <c r="N177" s="2350"/>
      <c r="O177" s="2350"/>
      <c r="P177" s="2350"/>
      <c r="Q177" s="2350"/>
      <c r="R177" s="2350"/>
      <c r="S177" s="2350"/>
      <c r="T177" s="2350"/>
      <c r="U177" s="2350"/>
      <c r="V177" s="2350"/>
      <c r="W177" s="2350"/>
      <c r="X177" s="2350"/>
      <c r="Y177" s="2350"/>
      <c r="Z177" s="2350"/>
      <c r="AA177" s="2350"/>
      <c r="AB177" s="2350"/>
      <c r="AC177" s="2350"/>
      <c r="AF177" s="2382" t="s">
        <v>66</v>
      </c>
      <c r="AG177" s="2382"/>
      <c r="AH177" s="2382"/>
      <c r="AI177" s="2382"/>
      <c r="AJ177" s="2382"/>
      <c r="AK177" s="2382"/>
      <c r="AL177" s="2382"/>
      <c r="AM177" s="203"/>
      <c r="AN177" s="439"/>
    </row>
    <row r="178" spans="1:42" s="46" customFormat="1" ht="12.75" customHeight="1">
      <c r="A178" s="28"/>
      <c r="B178" s="161"/>
      <c r="C178" s="188"/>
      <c r="D178" s="144"/>
      <c r="E178" s="2350"/>
      <c r="F178" s="2350"/>
      <c r="G178" s="2350"/>
      <c r="H178" s="2350"/>
      <c r="I178" s="2350"/>
      <c r="J178" s="2350"/>
      <c r="K178" s="2350"/>
      <c r="L178" s="2350"/>
      <c r="M178" s="2350"/>
      <c r="N178" s="2350"/>
      <c r="O178" s="2350"/>
      <c r="P178" s="2350"/>
      <c r="Q178" s="2350"/>
      <c r="R178" s="2350"/>
      <c r="S178" s="2350"/>
      <c r="T178" s="2350"/>
      <c r="U178" s="2350"/>
      <c r="V178" s="2350"/>
      <c r="W178" s="2350"/>
      <c r="X178" s="2350"/>
      <c r="Y178" s="2350"/>
      <c r="Z178" s="2350"/>
      <c r="AA178" s="2350"/>
      <c r="AB178" s="2350"/>
      <c r="AC178" s="2350"/>
      <c r="AE178" s="153"/>
      <c r="AF178" s="74"/>
      <c r="AH178" s="153"/>
      <c r="AI178" s="153"/>
      <c r="AJ178" s="153"/>
      <c r="AK178" s="153"/>
      <c r="AL178" s="153"/>
      <c r="AM178" s="203"/>
      <c r="AN178" s="439"/>
    </row>
    <row r="179" spans="1:42" s="46" customFormat="1" ht="12.75" customHeight="1">
      <c r="A179" s="28"/>
      <c r="B179" s="161"/>
      <c r="C179" s="188"/>
      <c r="D179" s="144"/>
      <c r="E179" s="2350"/>
      <c r="F179" s="2350"/>
      <c r="G179" s="2350"/>
      <c r="H179" s="2350"/>
      <c r="I179" s="2350"/>
      <c r="J179" s="2350"/>
      <c r="K179" s="2350"/>
      <c r="L179" s="2350"/>
      <c r="M179" s="2350"/>
      <c r="N179" s="2350"/>
      <c r="O179" s="2350"/>
      <c r="P179" s="2350"/>
      <c r="Q179" s="2350"/>
      <c r="R179" s="2350"/>
      <c r="S179" s="2350"/>
      <c r="T179" s="2350"/>
      <c r="U179" s="2350"/>
      <c r="V179" s="2350"/>
      <c r="W179" s="2350"/>
      <c r="X179" s="2350"/>
      <c r="Y179" s="2350"/>
      <c r="Z179" s="2350"/>
      <c r="AA179" s="2350"/>
      <c r="AB179" s="2350"/>
      <c r="AC179" s="235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50" t="s">
        <v>1608</v>
      </c>
      <c r="F181" s="2350"/>
      <c r="G181" s="2350"/>
      <c r="H181" s="2350"/>
      <c r="I181" s="2350"/>
      <c r="J181" s="2350"/>
      <c r="K181" s="2350"/>
      <c r="L181" s="2350"/>
      <c r="M181" s="2350"/>
      <c r="N181" s="2350"/>
      <c r="O181" s="2350"/>
      <c r="P181" s="2350"/>
      <c r="Q181" s="2350"/>
      <c r="R181" s="2350"/>
      <c r="S181" s="2350"/>
      <c r="T181" s="2350"/>
      <c r="U181" s="2350"/>
      <c r="V181" s="2350"/>
      <c r="W181" s="2350"/>
      <c r="X181" s="2350"/>
      <c r="Y181" s="2350"/>
      <c r="Z181" s="2350"/>
      <c r="AA181" s="2350"/>
      <c r="AB181" s="2350"/>
      <c r="AC181" s="2350"/>
      <c r="AF181" s="2382" t="s">
        <v>114</v>
      </c>
      <c r="AG181" s="2382"/>
      <c r="AH181" s="2382"/>
      <c r="AI181" s="2382"/>
      <c r="AJ181" s="2382"/>
      <c r="AK181" s="2382"/>
      <c r="AL181" s="2382"/>
      <c r="AM181" s="203"/>
      <c r="AN181" s="439"/>
    </row>
    <row r="182" spans="1:42" s="46" customFormat="1" ht="22.95" customHeight="1">
      <c r="A182" s="195"/>
      <c r="B182" s="74"/>
      <c r="C182" s="77"/>
      <c r="D182" s="144"/>
      <c r="E182" s="2350"/>
      <c r="F182" s="2350"/>
      <c r="G182" s="2350"/>
      <c r="H182" s="2350"/>
      <c r="I182" s="2350"/>
      <c r="J182" s="2350"/>
      <c r="K182" s="2350"/>
      <c r="L182" s="2350"/>
      <c r="M182" s="2350"/>
      <c r="N182" s="2350"/>
      <c r="O182" s="2350"/>
      <c r="P182" s="2350"/>
      <c r="Q182" s="2350"/>
      <c r="R182" s="2350"/>
      <c r="S182" s="2350"/>
      <c r="T182" s="2350"/>
      <c r="U182" s="2350"/>
      <c r="V182" s="2350"/>
      <c r="W182" s="2350"/>
      <c r="X182" s="2350"/>
      <c r="Y182" s="2350"/>
      <c r="Z182" s="2350"/>
      <c r="AA182" s="2350"/>
      <c r="AB182" s="2350"/>
      <c r="AC182" s="2350"/>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50" t="s">
        <v>1609</v>
      </c>
      <c r="F184" s="2350"/>
      <c r="G184" s="2350"/>
      <c r="H184" s="2350"/>
      <c r="I184" s="2350"/>
      <c r="J184" s="2350"/>
      <c r="K184" s="2350"/>
      <c r="L184" s="2350"/>
      <c r="M184" s="2350"/>
      <c r="N184" s="2350"/>
      <c r="O184" s="2350"/>
      <c r="P184" s="2350"/>
      <c r="Q184" s="2350"/>
      <c r="R184" s="2350"/>
      <c r="S184" s="2350"/>
      <c r="T184" s="2350"/>
      <c r="U184" s="2350"/>
      <c r="V184" s="2350"/>
      <c r="W184" s="2350"/>
      <c r="X184" s="2350"/>
      <c r="Y184" s="2350"/>
      <c r="Z184" s="2350"/>
      <c r="AA184" s="2350"/>
      <c r="AB184" s="2350"/>
      <c r="AC184" s="2350"/>
      <c r="AF184" s="2382" t="s">
        <v>353</v>
      </c>
      <c r="AG184" s="2382"/>
      <c r="AH184" s="2382"/>
      <c r="AI184" s="2382"/>
      <c r="AJ184" s="2382"/>
      <c r="AK184" s="2382"/>
      <c r="AL184" s="2382"/>
      <c r="AM184" s="203"/>
      <c r="AN184" s="439"/>
      <c r="AO184" s="144" t="s">
        <v>638</v>
      </c>
      <c r="AP184" s="46">
        <v>3</v>
      </c>
    </row>
    <row r="185" spans="1:42" s="46" customFormat="1" ht="22.95" customHeight="1">
      <c r="A185" s="195"/>
      <c r="B185" s="74"/>
      <c r="C185" s="77"/>
      <c r="D185" s="144"/>
      <c r="E185" s="2350"/>
      <c r="F185" s="2350"/>
      <c r="G185" s="2350"/>
      <c r="H185" s="2350"/>
      <c r="I185" s="2350"/>
      <c r="J185" s="2350"/>
      <c r="K185" s="2350"/>
      <c r="L185" s="2350"/>
      <c r="M185" s="2350"/>
      <c r="N185" s="2350"/>
      <c r="O185" s="2350"/>
      <c r="P185" s="2350"/>
      <c r="Q185" s="2350"/>
      <c r="R185" s="2350"/>
      <c r="S185" s="2350"/>
      <c r="T185" s="2350"/>
      <c r="U185" s="2350"/>
      <c r="V185" s="2350"/>
      <c r="W185" s="2350"/>
      <c r="X185" s="2350"/>
      <c r="Y185" s="2350"/>
      <c r="Z185" s="2350"/>
      <c r="AA185" s="2350"/>
      <c r="AB185" s="2350"/>
      <c r="AC185" s="2350"/>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92" t="s">
        <v>213</v>
      </c>
      <c r="I187" s="239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77">
        <f>VLOOKUP($H$187,$AO$137:$AP$144,2,FALSE)</f>
        <v>4</v>
      </c>
      <c r="AK189" s="237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50" t="s">
        <v>2159</v>
      </c>
      <c r="F193" s="2350"/>
      <c r="G193" s="2350"/>
      <c r="H193" s="2350"/>
      <c r="I193" s="2350"/>
      <c r="J193" s="2350"/>
      <c r="K193" s="2350"/>
      <c r="L193" s="2350"/>
      <c r="M193" s="2350"/>
      <c r="N193" s="2350"/>
      <c r="O193" s="2350"/>
      <c r="P193" s="2350"/>
      <c r="Q193" s="2350"/>
      <c r="R193" s="2350"/>
      <c r="S193" s="2350"/>
      <c r="T193" s="2350"/>
      <c r="U193" s="2350"/>
      <c r="V193" s="2350"/>
      <c r="W193" s="2350"/>
      <c r="X193" s="2350"/>
      <c r="Y193" s="2350"/>
      <c r="Z193" s="2350"/>
      <c r="AA193" s="2350"/>
      <c r="AB193" s="2350"/>
      <c r="AC193" s="46"/>
      <c r="AD193" s="46"/>
      <c r="AF193" s="2382" t="s">
        <v>66</v>
      </c>
      <c r="AG193" s="2382"/>
      <c r="AH193" s="2382"/>
      <c r="AI193" s="2382"/>
      <c r="AJ193" s="2382"/>
      <c r="AK193" s="2382"/>
      <c r="AL193" s="2382"/>
      <c r="AM193" s="153"/>
      <c r="AN193" s="1089"/>
    </row>
    <row r="194" spans="1:42" s="137" customFormat="1" ht="12.75" customHeight="1">
      <c r="A194" s="28"/>
      <c r="B194" s="161"/>
      <c r="C194" s="196"/>
      <c r="D194" s="144"/>
      <c r="E194" s="2350"/>
      <c r="F194" s="2350"/>
      <c r="G194" s="2350"/>
      <c r="H194" s="2350"/>
      <c r="I194" s="2350"/>
      <c r="J194" s="2350"/>
      <c r="K194" s="2350"/>
      <c r="L194" s="2350"/>
      <c r="M194" s="2350"/>
      <c r="N194" s="2350"/>
      <c r="O194" s="2350"/>
      <c r="P194" s="2350"/>
      <c r="Q194" s="2350"/>
      <c r="R194" s="2350"/>
      <c r="S194" s="2350"/>
      <c r="T194" s="2350"/>
      <c r="U194" s="2350"/>
      <c r="V194" s="2350"/>
      <c r="W194" s="2350"/>
      <c r="X194" s="2350"/>
      <c r="Y194" s="2350"/>
      <c r="Z194" s="2350"/>
      <c r="AA194" s="2350"/>
      <c r="AB194" s="2350"/>
      <c r="AC194" s="46"/>
      <c r="AD194" s="46"/>
      <c r="AE194" s="27"/>
      <c r="AM194" s="153"/>
      <c r="AN194" s="1089"/>
      <c r="AO194" s="2387"/>
      <c r="AP194" s="2387"/>
    </row>
    <row r="195" spans="1:42" s="137" customFormat="1" ht="12.75" customHeight="1">
      <c r="A195" s="28"/>
      <c r="B195" s="161"/>
      <c r="C195" s="196"/>
      <c r="D195" s="144"/>
      <c r="E195" s="2350"/>
      <c r="F195" s="2350"/>
      <c r="G195" s="2350"/>
      <c r="H195" s="2350"/>
      <c r="I195" s="2350"/>
      <c r="J195" s="2350"/>
      <c r="K195" s="2350"/>
      <c r="L195" s="2350"/>
      <c r="M195" s="2350"/>
      <c r="N195" s="2350"/>
      <c r="O195" s="2350"/>
      <c r="P195" s="2350"/>
      <c r="Q195" s="2350"/>
      <c r="R195" s="2350"/>
      <c r="S195" s="2350"/>
      <c r="T195" s="2350"/>
      <c r="U195" s="2350"/>
      <c r="V195" s="2350"/>
      <c r="W195" s="2350"/>
      <c r="X195" s="2350"/>
      <c r="Y195" s="2350"/>
      <c r="Z195" s="2350"/>
      <c r="AA195" s="2350"/>
      <c r="AB195" s="2350"/>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50"/>
      <c r="F196" s="2350"/>
      <c r="G196" s="2350"/>
      <c r="H196" s="2350"/>
      <c r="I196" s="2350"/>
      <c r="J196" s="2350"/>
      <c r="K196" s="2350"/>
      <c r="L196" s="2350"/>
      <c r="M196" s="2350"/>
      <c r="N196" s="2350"/>
      <c r="O196" s="2350"/>
      <c r="P196" s="2350"/>
      <c r="Q196" s="2350"/>
      <c r="R196" s="2350"/>
      <c r="S196" s="2350"/>
      <c r="T196" s="2350"/>
      <c r="U196" s="2350"/>
      <c r="V196" s="2350"/>
      <c r="W196" s="2350"/>
      <c r="X196" s="2350"/>
      <c r="Y196" s="2350"/>
      <c r="Z196" s="2350"/>
      <c r="AA196" s="2350"/>
      <c r="AB196" s="2350"/>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50" t="s">
        <v>2160</v>
      </c>
      <c r="F198" s="2350"/>
      <c r="G198" s="2350"/>
      <c r="H198" s="2350"/>
      <c r="I198" s="2350"/>
      <c r="J198" s="2350"/>
      <c r="K198" s="2350"/>
      <c r="L198" s="2350"/>
      <c r="M198" s="2350"/>
      <c r="N198" s="2350"/>
      <c r="O198" s="2350"/>
      <c r="P198" s="2350"/>
      <c r="Q198" s="2350"/>
      <c r="R198" s="2350"/>
      <c r="S198" s="2350"/>
      <c r="T198" s="2350"/>
      <c r="U198" s="2350"/>
      <c r="V198" s="2350"/>
      <c r="W198" s="2350"/>
      <c r="X198" s="2350"/>
      <c r="Y198" s="2350"/>
      <c r="Z198" s="2350"/>
      <c r="AA198" s="2350"/>
      <c r="AB198" s="2350"/>
      <c r="AF198" s="2382" t="s">
        <v>114</v>
      </c>
      <c r="AG198" s="2382"/>
      <c r="AH198" s="2382"/>
      <c r="AI198" s="2382"/>
      <c r="AJ198" s="2382"/>
      <c r="AK198" s="2382"/>
      <c r="AL198" s="2382"/>
      <c r="AM198" s="153"/>
      <c r="AN198" s="439"/>
      <c r="AO198" s="144" t="s">
        <v>213</v>
      </c>
      <c r="AP198" s="46">
        <v>1</v>
      </c>
    </row>
    <row r="199" spans="1:42" s="46" customFormat="1" ht="12.75" customHeight="1">
      <c r="A199" s="153"/>
      <c r="B199" s="8"/>
      <c r="C199" s="204"/>
      <c r="E199" s="2350"/>
      <c r="F199" s="2350"/>
      <c r="G199" s="2350"/>
      <c r="H199" s="2350"/>
      <c r="I199" s="2350"/>
      <c r="J199" s="2350"/>
      <c r="K199" s="2350"/>
      <c r="L199" s="2350"/>
      <c r="M199" s="2350"/>
      <c r="N199" s="2350"/>
      <c r="O199" s="2350"/>
      <c r="P199" s="2350"/>
      <c r="Q199" s="2350"/>
      <c r="R199" s="2350"/>
      <c r="S199" s="2350"/>
      <c r="T199" s="2350"/>
      <c r="U199" s="2350"/>
      <c r="V199" s="2350"/>
      <c r="W199" s="2350"/>
      <c r="X199" s="2350"/>
      <c r="Y199" s="2350"/>
      <c r="Z199" s="2350"/>
      <c r="AA199" s="2350"/>
      <c r="AB199" s="2350"/>
      <c r="AD199" s="8"/>
      <c r="AE199" s="27"/>
      <c r="AM199" s="153"/>
      <c r="AN199" s="439"/>
    </row>
    <row r="200" spans="1:42" s="46" customFormat="1" ht="12.75" customHeight="1">
      <c r="A200" s="153"/>
      <c r="B200" s="8"/>
      <c r="C200" s="204"/>
      <c r="E200" s="2350"/>
      <c r="F200" s="2350"/>
      <c r="G200" s="2350"/>
      <c r="H200" s="2350"/>
      <c r="I200" s="2350"/>
      <c r="J200" s="2350"/>
      <c r="K200" s="2350"/>
      <c r="L200" s="2350"/>
      <c r="M200" s="2350"/>
      <c r="N200" s="2350"/>
      <c r="O200" s="2350"/>
      <c r="P200" s="2350"/>
      <c r="Q200" s="2350"/>
      <c r="R200" s="2350"/>
      <c r="S200" s="2350"/>
      <c r="T200" s="2350"/>
      <c r="U200" s="2350"/>
      <c r="V200" s="2350"/>
      <c r="W200" s="2350"/>
      <c r="X200" s="2350"/>
      <c r="Y200" s="2350"/>
      <c r="Z200" s="2350"/>
      <c r="AA200" s="2350"/>
      <c r="AB200" s="2350"/>
      <c r="AD200" s="8"/>
      <c r="AE200" s="27"/>
      <c r="AM200" s="153"/>
      <c r="AN200" s="439"/>
    </row>
    <row r="201" spans="1:42" s="16" customFormat="1" ht="12.75" customHeight="1">
      <c r="A201" s="153"/>
      <c r="B201" s="8"/>
      <c r="C201" s="204"/>
      <c r="D201" s="46"/>
      <c r="E201" s="2350"/>
      <c r="F201" s="2350"/>
      <c r="G201" s="2350"/>
      <c r="H201" s="2350"/>
      <c r="I201" s="2350"/>
      <c r="J201" s="2350"/>
      <c r="K201" s="2350"/>
      <c r="L201" s="2350"/>
      <c r="M201" s="2350"/>
      <c r="N201" s="2350"/>
      <c r="O201" s="2350"/>
      <c r="P201" s="2350"/>
      <c r="Q201" s="2350"/>
      <c r="R201" s="2350"/>
      <c r="S201" s="2350"/>
      <c r="T201" s="2350"/>
      <c r="U201" s="2350"/>
      <c r="V201" s="2350"/>
      <c r="W201" s="2350"/>
      <c r="X201" s="2350"/>
      <c r="Y201" s="2350"/>
      <c r="Z201" s="2350"/>
      <c r="AA201" s="2350"/>
      <c r="AB201" s="235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87" t="s">
        <v>2161</v>
      </c>
      <c r="F203" s="2587"/>
      <c r="G203" s="2587"/>
      <c r="H203" s="2587"/>
      <c r="I203" s="2587"/>
      <c r="J203" s="2587"/>
      <c r="K203" s="2587"/>
      <c r="L203" s="2587"/>
      <c r="M203" s="2587"/>
      <c r="N203" s="2587"/>
      <c r="O203" s="2587"/>
      <c r="P203" s="2587"/>
      <c r="Q203" s="2587"/>
      <c r="R203" s="2587"/>
      <c r="S203" s="2587"/>
      <c r="T203" s="2587"/>
      <c r="U203" s="2587"/>
      <c r="V203" s="2587"/>
      <c r="W203" s="2587"/>
      <c r="X203" s="2587"/>
      <c r="Y203" s="2587"/>
      <c r="Z203" s="2587"/>
      <c r="AA203" s="2587"/>
      <c r="AB203" s="258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87"/>
      <c r="F204" s="2587"/>
      <c r="G204" s="2587"/>
      <c r="H204" s="2587"/>
      <c r="I204" s="2587"/>
      <c r="J204" s="2587"/>
      <c r="K204" s="2587"/>
      <c r="L204" s="2587"/>
      <c r="M204" s="2587"/>
      <c r="N204" s="2587"/>
      <c r="O204" s="2587"/>
      <c r="P204" s="2587"/>
      <c r="Q204" s="2587"/>
      <c r="R204" s="2587"/>
      <c r="S204" s="2587"/>
      <c r="T204" s="2587"/>
      <c r="U204" s="2587"/>
      <c r="V204" s="2587"/>
      <c r="W204" s="2587"/>
      <c r="X204" s="2587"/>
      <c r="Y204" s="2587"/>
      <c r="Z204" s="2587"/>
      <c r="AA204" s="2587"/>
      <c r="AB204" s="2587"/>
      <c r="AC204" s="46"/>
      <c r="AD204" s="8"/>
      <c r="AE204" s="27"/>
      <c r="AF204" s="27"/>
      <c r="AG204" s="27"/>
      <c r="AH204" s="27"/>
      <c r="AI204" s="27"/>
      <c r="AJ204" s="46"/>
      <c r="AK204" s="153"/>
      <c r="AL204" s="153"/>
      <c r="AM204" s="153"/>
      <c r="AN204" s="317"/>
    </row>
    <row r="205" spans="1:42" s="16" customFormat="1" ht="18" customHeight="1">
      <c r="A205" s="153"/>
      <c r="B205" s="8"/>
      <c r="C205" s="204"/>
      <c r="D205" s="46"/>
      <c r="E205" s="2587"/>
      <c r="F205" s="2587"/>
      <c r="G205" s="2587"/>
      <c r="H205" s="2587"/>
      <c r="I205" s="2587"/>
      <c r="J205" s="2587"/>
      <c r="K205" s="2587"/>
      <c r="L205" s="2587"/>
      <c r="M205" s="2587"/>
      <c r="N205" s="2587"/>
      <c r="O205" s="2587"/>
      <c r="P205" s="2587"/>
      <c r="Q205" s="2587"/>
      <c r="R205" s="2587"/>
      <c r="S205" s="2587"/>
      <c r="T205" s="2587"/>
      <c r="U205" s="2587"/>
      <c r="V205" s="2587"/>
      <c r="W205" s="2587"/>
      <c r="X205" s="2587"/>
      <c r="Y205" s="2587"/>
      <c r="Z205" s="2587"/>
      <c r="AA205" s="2587"/>
      <c r="AB205" s="2587"/>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92" t="s">
        <v>638</v>
      </c>
      <c r="I206" s="239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77">
        <f>VLOOKUP($H$206,$AO$156:$AP$158,2,FALSE)</f>
        <v>3</v>
      </c>
      <c r="AK208" s="237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96" t="s">
        <v>1355</v>
      </c>
      <c r="F212" s="2496"/>
      <c r="G212" s="2496"/>
      <c r="H212" s="2496"/>
      <c r="I212" s="2496"/>
      <c r="J212" s="2496"/>
      <c r="K212" s="2496"/>
      <c r="L212" s="2496"/>
      <c r="M212" s="2496"/>
      <c r="N212" s="2496"/>
      <c r="O212" s="2496"/>
      <c r="P212" s="2496"/>
      <c r="Q212" s="2496"/>
      <c r="R212" s="2496"/>
      <c r="S212" s="2496"/>
      <c r="T212" s="2496"/>
      <c r="U212" s="2496"/>
      <c r="V212" s="2496"/>
      <c r="W212" s="2496"/>
      <c r="X212" s="2496"/>
      <c r="Y212" s="2496"/>
      <c r="Z212" s="2496"/>
      <c r="AA212" s="2496"/>
      <c r="AB212" s="2496"/>
      <c r="AC212" s="46"/>
      <c r="AD212" s="46"/>
      <c r="AF212" s="2382" t="s">
        <v>66</v>
      </c>
      <c r="AG212" s="2382"/>
      <c r="AH212" s="2382"/>
      <c r="AI212" s="2382"/>
      <c r="AJ212" s="2382"/>
      <c r="AK212" s="2382"/>
      <c r="AL212" s="2382"/>
      <c r="AM212" s="153"/>
      <c r="AN212" s="317"/>
      <c r="AP212" s="50" t="s">
        <v>109</v>
      </c>
    </row>
    <row r="213" spans="1:52" s="16" customFormat="1" ht="11.85" customHeight="1">
      <c r="A213" s="28"/>
      <c r="B213" s="161"/>
      <c r="C213" s="187"/>
      <c r="D213" s="144"/>
      <c r="E213" s="2496"/>
      <c r="F213" s="2496"/>
      <c r="G213" s="2496"/>
      <c r="H213" s="2496"/>
      <c r="I213" s="2496"/>
      <c r="J213" s="2496"/>
      <c r="K213" s="2496"/>
      <c r="L213" s="2496"/>
      <c r="M213" s="2496"/>
      <c r="N213" s="2496"/>
      <c r="O213" s="2496"/>
      <c r="P213" s="2496"/>
      <c r="Q213" s="2496"/>
      <c r="R213" s="2496"/>
      <c r="S213" s="2496"/>
      <c r="T213" s="2496"/>
      <c r="U213" s="2496"/>
      <c r="V213" s="2496"/>
      <c r="W213" s="2496"/>
      <c r="X213" s="2496"/>
      <c r="Y213" s="2496"/>
      <c r="Z213" s="2496"/>
      <c r="AA213" s="2496"/>
      <c r="AB213" s="2496"/>
      <c r="AC213" s="46"/>
      <c r="AD213" s="46"/>
      <c r="AE213" s="28"/>
      <c r="AM213" s="153"/>
      <c r="AN213" s="317"/>
      <c r="AP213" s="50" t="s">
        <v>106</v>
      </c>
    </row>
    <row r="214" spans="1:52" s="16" customFormat="1" ht="13.95" customHeight="1">
      <c r="A214" s="28"/>
      <c r="B214" s="148"/>
      <c r="C214" s="188"/>
      <c r="D214" s="144"/>
      <c r="E214" s="2496"/>
      <c r="F214" s="2496"/>
      <c r="G214" s="2496"/>
      <c r="H214" s="2496"/>
      <c r="I214" s="2496"/>
      <c r="J214" s="2496"/>
      <c r="K214" s="2496"/>
      <c r="L214" s="2496"/>
      <c r="M214" s="2496"/>
      <c r="N214" s="2496"/>
      <c r="O214" s="2496"/>
      <c r="P214" s="2496"/>
      <c r="Q214" s="2496"/>
      <c r="R214" s="2496"/>
      <c r="S214" s="2496"/>
      <c r="T214" s="2496"/>
      <c r="U214" s="2496"/>
      <c r="V214" s="2496"/>
      <c r="W214" s="2496"/>
      <c r="X214" s="2496"/>
      <c r="Y214" s="2496"/>
      <c r="Z214" s="2496"/>
      <c r="AA214" s="2496"/>
      <c r="AB214" s="2496"/>
      <c r="AC214" s="46"/>
      <c r="AD214" s="46"/>
      <c r="AE214" s="27"/>
      <c r="AM214" s="153"/>
      <c r="AN214" s="317"/>
      <c r="AP214" s="50" t="s">
        <v>107</v>
      </c>
    </row>
    <row r="215" spans="1:52" s="16" customFormat="1" ht="13.95" customHeight="1">
      <c r="A215" s="28"/>
      <c r="B215" s="74"/>
      <c r="C215" s="77"/>
      <c r="D215" s="144" t="s">
        <v>213</v>
      </c>
      <c r="E215" s="2578" t="s">
        <v>1356</v>
      </c>
      <c r="F215" s="2578"/>
      <c r="G215" s="2578"/>
      <c r="H215" s="2578"/>
      <c r="I215" s="2578"/>
      <c r="J215" s="2578"/>
      <c r="K215" s="2578"/>
      <c r="L215" s="2578"/>
      <c r="M215" s="2578"/>
      <c r="N215" s="2578"/>
      <c r="O215" s="2578"/>
      <c r="P215" s="2578"/>
      <c r="Q215" s="2578"/>
      <c r="R215" s="2578"/>
      <c r="S215" s="2578"/>
      <c r="T215" s="2578"/>
      <c r="U215" s="2578"/>
      <c r="V215" s="2578"/>
      <c r="W215" s="2578"/>
      <c r="X215" s="2578"/>
      <c r="Y215" s="2578"/>
      <c r="Z215" s="2578"/>
      <c r="AA215" s="2578"/>
      <c r="AB215" s="2578"/>
      <c r="AC215" s="46"/>
      <c r="AD215" s="46"/>
      <c r="AF215" s="2382" t="s">
        <v>114</v>
      </c>
      <c r="AG215" s="2382"/>
      <c r="AH215" s="2382"/>
      <c r="AI215" s="2382"/>
      <c r="AJ215" s="2382"/>
      <c r="AK215" s="2382"/>
      <c r="AL215" s="2382"/>
      <c r="AM215" s="153"/>
      <c r="AN215" s="1091"/>
      <c r="AP215" s="482" t="s">
        <v>386</v>
      </c>
    </row>
    <row r="216" spans="1:52" s="16" customFormat="1" ht="12.75" customHeight="1">
      <c r="A216" s="28"/>
      <c r="B216" s="161"/>
      <c r="C216" s="187"/>
      <c r="D216" s="28"/>
      <c r="E216" s="2578"/>
      <c r="F216" s="2578"/>
      <c r="G216" s="2578"/>
      <c r="H216" s="2578"/>
      <c r="I216" s="2578"/>
      <c r="J216" s="2578"/>
      <c r="K216" s="2578"/>
      <c r="L216" s="2578"/>
      <c r="M216" s="2578"/>
      <c r="N216" s="2578"/>
      <c r="O216" s="2578"/>
      <c r="P216" s="2578"/>
      <c r="Q216" s="2578"/>
      <c r="R216" s="2578"/>
      <c r="S216" s="2578"/>
      <c r="T216" s="2578"/>
      <c r="U216" s="2578"/>
      <c r="V216" s="2578"/>
      <c r="W216" s="2578"/>
      <c r="X216" s="2578"/>
      <c r="Y216" s="2578"/>
      <c r="Z216" s="2578"/>
      <c r="AA216" s="2578"/>
      <c r="AB216" s="2578"/>
      <c r="AC216" s="28"/>
      <c r="AD216" s="161"/>
      <c r="AE216" s="28"/>
      <c r="AF216" s="28"/>
      <c r="AG216" s="28"/>
      <c r="AH216" s="28"/>
      <c r="AI216" s="28"/>
      <c r="AJ216" s="46"/>
      <c r="AK216" s="153"/>
      <c r="AL216" s="153"/>
      <c r="AM216" s="153"/>
      <c r="AN216" s="317"/>
      <c r="AP216" s="46" t="s">
        <v>135</v>
      </c>
      <c r="AQ216" s="730">
        <v>0</v>
      </c>
    </row>
    <row r="217" spans="1:52" s="16" customFormat="1" ht="13.95" customHeight="1">
      <c r="A217" s="28"/>
      <c r="B217" s="161"/>
      <c r="C217" s="187"/>
      <c r="D217" s="28"/>
      <c r="E217" s="2578"/>
      <c r="F217" s="2578"/>
      <c r="G217" s="2578"/>
      <c r="H217" s="2578"/>
      <c r="I217" s="2578"/>
      <c r="J217" s="2578"/>
      <c r="K217" s="2578"/>
      <c r="L217" s="2578"/>
      <c r="M217" s="2578"/>
      <c r="N217" s="2578"/>
      <c r="O217" s="2578"/>
      <c r="P217" s="2578"/>
      <c r="Q217" s="2578"/>
      <c r="R217" s="2578"/>
      <c r="S217" s="2578"/>
      <c r="T217" s="2578"/>
      <c r="U217" s="2578"/>
      <c r="V217" s="2578"/>
      <c r="W217" s="2578"/>
      <c r="X217" s="2578"/>
      <c r="Y217" s="2578"/>
      <c r="Z217" s="2578"/>
      <c r="AA217" s="2578"/>
      <c r="AB217" s="2578"/>
      <c r="AC217" s="28"/>
      <c r="AD217" s="161"/>
      <c r="AE217" s="28"/>
      <c r="AF217" s="28"/>
      <c r="AG217" s="28"/>
      <c r="AH217" s="28"/>
      <c r="AI217" s="28"/>
      <c r="AJ217" s="46"/>
      <c r="AK217" s="153"/>
      <c r="AL217" s="153"/>
      <c r="AM217" s="153"/>
      <c r="AN217" s="317"/>
      <c r="AP217" s="144" t="s">
        <v>638</v>
      </c>
      <c r="AQ217" s="46">
        <v>2</v>
      </c>
    </row>
    <row r="218" spans="1:52" s="16" customFormat="1" ht="13.95" customHeight="1">
      <c r="A218" s="28"/>
      <c r="B218" s="161"/>
      <c r="C218" s="187"/>
      <c r="D218" s="28" t="s">
        <v>162</v>
      </c>
      <c r="E218" s="190"/>
      <c r="F218" s="190"/>
      <c r="G218" s="190"/>
      <c r="H218" s="2392" t="s">
        <v>135</v>
      </c>
      <c r="I218" s="239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77">
        <f>VLOOKUP($H$218,$AO$156:$AP$158,2,FALSE)</f>
        <v>0</v>
      </c>
      <c r="AK220" s="2378"/>
      <c r="AL220" s="25"/>
      <c r="AM220" s="137"/>
      <c r="AN220" s="1092"/>
      <c r="AP220" s="2377"/>
      <c r="AQ220" s="237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50" t="s">
        <v>1626</v>
      </c>
      <c r="F224" s="2350"/>
      <c r="G224" s="2350"/>
      <c r="H224" s="2350"/>
      <c r="I224" s="2350"/>
      <c r="J224" s="2350"/>
      <c r="K224" s="2350"/>
      <c r="L224" s="2350"/>
      <c r="M224" s="2350"/>
      <c r="N224" s="2350"/>
      <c r="O224" s="2350"/>
      <c r="P224" s="2350"/>
      <c r="Q224" s="2350"/>
      <c r="R224" s="2350"/>
      <c r="S224" s="2350"/>
      <c r="T224" s="2350"/>
      <c r="U224" s="2350"/>
      <c r="V224" s="2350"/>
      <c r="W224" s="2350"/>
      <c r="X224" s="2350"/>
      <c r="Y224" s="2350"/>
      <c r="Z224" s="2350"/>
      <c r="AA224" s="2350"/>
      <c r="AB224" s="2350"/>
      <c r="AC224" s="46"/>
      <c r="AD224" s="46"/>
      <c r="AF224" s="2382" t="s">
        <v>66</v>
      </c>
      <c r="AG224" s="2382"/>
      <c r="AH224" s="2382"/>
      <c r="AI224" s="2382"/>
      <c r="AJ224" s="2382"/>
      <c r="AK224" s="2382"/>
      <c r="AL224" s="2382"/>
      <c r="AM224" s="153"/>
      <c r="AN224" s="317"/>
      <c r="AT224" s="65"/>
      <c r="AU224" s="65"/>
      <c r="AV224" s="65"/>
      <c r="AW224" s="65"/>
      <c r="AX224" s="65"/>
      <c r="AY224" s="65"/>
      <c r="AZ224" s="65"/>
    </row>
    <row r="225" spans="1:82" s="16" customFormat="1">
      <c r="A225" s="28"/>
      <c r="B225" s="161"/>
      <c r="C225" s="187"/>
      <c r="D225" s="144"/>
      <c r="E225" s="2350"/>
      <c r="F225" s="2350"/>
      <c r="G225" s="2350"/>
      <c r="H225" s="2350"/>
      <c r="I225" s="2350"/>
      <c r="J225" s="2350"/>
      <c r="K225" s="2350"/>
      <c r="L225" s="2350"/>
      <c r="M225" s="2350"/>
      <c r="N225" s="2350"/>
      <c r="O225" s="2350"/>
      <c r="P225" s="2350"/>
      <c r="Q225" s="2350"/>
      <c r="R225" s="2350"/>
      <c r="S225" s="2350"/>
      <c r="T225" s="2350"/>
      <c r="U225" s="2350"/>
      <c r="V225" s="2350"/>
      <c r="W225" s="2350"/>
      <c r="X225" s="2350"/>
      <c r="Y225" s="2350"/>
      <c r="Z225" s="2350"/>
      <c r="AA225" s="2350"/>
      <c r="AB225" s="235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50" t="s">
        <v>960</v>
      </c>
      <c r="F227" s="2350"/>
      <c r="G227" s="2350"/>
      <c r="H227" s="2350"/>
      <c r="I227" s="2350"/>
      <c r="J227" s="2350"/>
      <c r="K227" s="2350"/>
      <c r="L227" s="2350"/>
      <c r="M227" s="2350"/>
      <c r="N227" s="2350"/>
      <c r="O227" s="2350"/>
      <c r="P227" s="2350"/>
      <c r="Q227" s="2350"/>
      <c r="R227" s="2350"/>
      <c r="S227" s="2350"/>
      <c r="T227" s="2350"/>
      <c r="U227" s="2350"/>
      <c r="V227" s="2350"/>
      <c r="W227" s="2350"/>
      <c r="X227" s="2350"/>
      <c r="Y227" s="2350"/>
      <c r="Z227" s="2350"/>
      <c r="AA227" s="2350"/>
      <c r="AB227" s="2350"/>
      <c r="AC227" s="46"/>
      <c r="AD227" s="46"/>
      <c r="AF227" s="2382" t="s">
        <v>114</v>
      </c>
      <c r="AG227" s="2382"/>
      <c r="AH227" s="2382"/>
      <c r="AI227" s="2382"/>
      <c r="AJ227" s="2382"/>
      <c r="AK227" s="2382"/>
      <c r="AL227" s="2382"/>
      <c r="AM227" s="153"/>
      <c r="AN227" s="317"/>
      <c r="AT227" s="65"/>
      <c r="AU227" s="65"/>
      <c r="AV227" s="65"/>
      <c r="AW227" s="65"/>
      <c r="AX227" s="65"/>
      <c r="AY227" s="65"/>
      <c r="AZ227" s="65"/>
    </row>
    <row r="228" spans="1:82" s="16" customFormat="1">
      <c r="A228" s="28"/>
      <c r="B228" s="161"/>
      <c r="C228" s="187"/>
      <c r="D228" s="28"/>
      <c r="E228" s="2350"/>
      <c r="F228" s="2350"/>
      <c r="G228" s="2350"/>
      <c r="H228" s="2350"/>
      <c r="I228" s="2350"/>
      <c r="J228" s="2350"/>
      <c r="K228" s="2350"/>
      <c r="L228" s="2350"/>
      <c r="M228" s="2350"/>
      <c r="N228" s="2350"/>
      <c r="O228" s="2350"/>
      <c r="P228" s="2350"/>
      <c r="Q228" s="2350"/>
      <c r="R228" s="2350"/>
      <c r="S228" s="2350"/>
      <c r="T228" s="2350"/>
      <c r="U228" s="2350"/>
      <c r="V228" s="2350"/>
      <c r="W228" s="2350"/>
      <c r="X228" s="2350"/>
      <c r="Y228" s="2350"/>
      <c r="Z228" s="2350"/>
      <c r="AA228" s="2350"/>
      <c r="AB228" s="235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92" t="s">
        <v>135</v>
      </c>
      <c r="I230" s="239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77">
        <f>VLOOKUP($H$230,$AO$170:$AP$172,2,FALSE)</f>
        <v>0</v>
      </c>
      <c r="AK232" s="237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50" t="s">
        <v>1214</v>
      </c>
      <c r="F236" s="2350"/>
      <c r="G236" s="2350"/>
      <c r="H236" s="2350"/>
      <c r="I236" s="2350"/>
      <c r="J236" s="2350"/>
      <c r="K236" s="2350"/>
      <c r="L236" s="2350"/>
      <c r="M236" s="2350"/>
      <c r="N236" s="2350"/>
      <c r="O236" s="2350"/>
      <c r="P236" s="2350"/>
      <c r="Q236" s="2350"/>
      <c r="R236" s="2350"/>
      <c r="S236" s="2350"/>
      <c r="T236" s="2350"/>
      <c r="U236" s="2350"/>
      <c r="V236" s="2350"/>
      <c r="W236" s="2350"/>
      <c r="X236" s="2350"/>
      <c r="Y236" s="2350"/>
      <c r="Z236" s="2350"/>
      <c r="AA236" s="2350"/>
      <c r="AB236" s="2350"/>
      <c r="AC236" s="46"/>
      <c r="AD236" s="46"/>
      <c r="AF236" s="2382" t="s">
        <v>66</v>
      </c>
      <c r="AG236" s="2382"/>
      <c r="AH236" s="2382"/>
      <c r="AI236" s="2382"/>
      <c r="AJ236" s="2382"/>
      <c r="AK236" s="2382"/>
      <c r="AL236" s="2382"/>
      <c r="AM236" s="153"/>
      <c r="AN236" s="317"/>
      <c r="AT236" s="65"/>
      <c r="AU236" s="65"/>
      <c r="AV236" s="65"/>
      <c r="AW236" s="65"/>
      <c r="AX236" s="65"/>
      <c r="AY236" s="65"/>
      <c r="AZ236" s="65"/>
    </row>
    <row r="237" spans="1:82" s="16" customFormat="1">
      <c r="A237" s="28"/>
      <c r="B237" s="161"/>
      <c r="C237" s="187"/>
      <c r="D237" s="144"/>
      <c r="E237" s="2350"/>
      <c r="F237" s="2350"/>
      <c r="G237" s="2350"/>
      <c r="H237" s="2350"/>
      <c r="I237" s="2350"/>
      <c r="J237" s="2350"/>
      <c r="K237" s="2350"/>
      <c r="L237" s="2350"/>
      <c r="M237" s="2350"/>
      <c r="N237" s="2350"/>
      <c r="O237" s="2350"/>
      <c r="P237" s="2350"/>
      <c r="Q237" s="2350"/>
      <c r="R237" s="2350"/>
      <c r="S237" s="2350"/>
      <c r="T237" s="2350"/>
      <c r="U237" s="2350"/>
      <c r="V237" s="2350"/>
      <c r="W237" s="2350"/>
      <c r="X237" s="2350"/>
      <c r="Y237" s="2350"/>
      <c r="Z237" s="2350"/>
      <c r="AA237" s="2350"/>
      <c r="AB237" s="2350"/>
      <c r="AC237" s="46"/>
      <c r="AD237" s="46"/>
      <c r="AL237" s="153"/>
      <c r="AM237" s="153"/>
      <c r="AN237" s="317"/>
    </row>
    <row r="238" spans="1:82" s="50" customFormat="1" ht="12.75" customHeight="1">
      <c r="A238" s="28"/>
      <c r="B238" s="161"/>
      <c r="C238" s="187"/>
      <c r="D238" s="144"/>
      <c r="E238" s="2350"/>
      <c r="F238" s="2350"/>
      <c r="G238" s="2350"/>
      <c r="H238" s="2350"/>
      <c r="I238" s="2350"/>
      <c r="J238" s="2350"/>
      <c r="K238" s="2350"/>
      <c r="L238" s="2350"/>
      <c r="M238" s="2350"/>
      <c r="N238" s="2350"/>
      <c r="O238" s="2350"/>
      <c r="P238" s="2350"/>
      <c r="Q238" s="2350"/>
      <c r="R238" s="2350"/>
      <c r="S238" s="2350"/>
      <c r="T238" s="2350"/>
      <c r="U238" s="2350"/>
      <c r="V238" s="2350"/>
      <c r="W238" s="2350"/>
      <c r="X238" s="2350"/>
      <c r="Y238" s="2350"/>
      <c r="Z238" s="2350"/>
      <c r="AA238" s="2350"/>
      <c r="AB238" s="2350"/>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50" t="s">
        <v>1215</v>
      </c>
      <c r="F240" s="2350"/>
      <c r="G240" s="2350"/>
      <c r="H240" s="2350"/>
      <c r="I240" s="2350"/>
      <c r="J240" s="2350"/>
      <c r="K240" s="2350"/>
      <c r="L240" s="2350"/>
      <c r="M240" s="2350"/>
      <c r="N240" s="2350"/>
      <c r="O240" s="2350"/>
      <c r="P240" s="2350"/>
      <c r="Q240" s="2350"/>
      <c r="R240" s="2350"/>
      <c r="S240" s="2350"/>
      <c r="T240" s="2350"/>
      <c r="U240" s="2350"/>
      <c r="V240" s="2350"/>
      <c r="W240" s="2350"/>
      <c r="X240" s="2350"/>
      <c r="Y240" s="2350"/>
      <c r="Z240" s="2350"/>
      <c r="AA240" s="2350"/>
      <c r="AB240" s="522"/>
      <c r="AC240" s="46"/>
      <c r="AD240" s="46"/>
      <c r="AF240" s="2382" t="s">
        <v>114</v>
      </c>
      <c r="AG240" s="2382"/>
      <c r="AH240" s="2382"/>
      <c r="AI240" s="2382"/>
      <c r="AJ240" s="2382"/>
      <c r="AK240" s="2382"/>
      <c r="AL240" s="2382"/>
      <c r="AM240" s="153"/>
      <c r="AN240" s="317"/>
      <c r="AO240" s="132"/>
      <c r="AP240" s="65"/>
    </row>
    <row r="241" spans="1:74" s="16" customFormat="1">
      <c r="A241" s="28"/>
      <c r="B241" s="74"/>
      <c r="C241" s="77"/>
      <c r="D241" s="28"/>
      <c r="E241" s="2350"/>
      <c r="F241" s="2350"/>
      <c r="G241" s="2350"/>
      <c r="H241" s="2350"/>
      <c r="I241" s="2350"/>
      <c r="J241" s="2350"/>
      <c r="K241" s="2350"/>
      <c r="L241" s="2350"/>
      <c r="M241" s="2350"/>
      <c r="N241" s="2350"/>
      <c r="O241" s="2350"/>
      <c r="P241" s="2350"/>
      <c r="Q241" s="2350"/>
      <c r="R241" s="2350"/>
      <c r="S241" s="2350"/>
      <c r="T241" s="2350"/>
      <c r="U241" s="2350"/>
      <c r="V241" s="2350"/>
      <c r="W241" s="2350"/>
      <c r="X241" s="2350"/>
      <c r="Y241" s="2350"/>
      <c r="Z241" s="2350"/>
      <c r="AA241" s="2350"/>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50"/>
      <c r="F242" s="2350"/>
      <c r="G242" s="2350"/>
      <c r="H242" s="2350"/>
      <c r="I242" s="2350"/>
      <c r="J242" s="2350"/>
      <c r="K242" s="2350"/>
      <c r="L242" s="2350"/>
      <c r="M242" s="2350"/>
      <c r="N242" s="2350"/>
      <c r="O242" s="2350"/>
      <c r="P242" s="2350"/>
      <c r="Q242" s="2350"/>
      <c r="R242" s="2350"/>
      <c r="S242" s="2350"/>
      <c r="T242" s="2350"/>
      <c r="U242" s="2350"/>
      <c r="V242" s="2350"/>
      <c r="W242" s="2350"/>
      <c r="X242" s="2350"/>
      <c r="Y242" s="2350"/>
      <c r="Z242" s="2350"/>
      <c r="AA242" s="2350"/>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92" t="s">
        <v>213</v>
      </c>
      <c r="I244" s="239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77">
        <f>VLOOKUP($H$244,$AO$183:$AP$185,2,FALSE)</f>
        <v>2</v>
      </c>
      <c r="AK246" s="2378"/>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50" t="s">
        <v>352</v>
      </c>
      <c r="F250" s="2350"/>
      <c r="G250" s="2350"/>
      <c r="H250" s="2350"/>
      <c r="I250" s="2350"/>
      <c r="J250" s="2350"/>
      <c r="K250" s="2350"/>
      <c r="L250" s="2350"/>
      <c r="M250" s="2350"/>
      <c r="N250" s="2350"/>
      <c r="O250" s="2350"/>
      <c r="P250" s="2350"/>
      <c r="Q250" s="2350"/>
      <c r="R250" s="2350"/>
      <c r="S250" s="2350"/>
      <c r="T250" s="2350"/>
      <c r="U250" s="2350"/>
      <c r="V250" s="2350"/>
      <c r="W250" s="2350"/>
      <c r="X250" s="2350"/>
      <c r="Y250" s="2350"/>
      <c r="Z250" s="2350"/>
      <c r="AA250" s="2350"/>
      <c r="AB250" s="2350"/>
      <c r="AC250" s="46"/>
      <c r="AD250" s="46"/>
      <c r="AF250" s="2382" t="s">
        <v>114</v>
      </c>
      <c r="AG250" s="2382"/>
      <c r="AH250" s="2382"/>
      <c r="AI250" s="2382"/>
      <c r="AJ250" s="2382"/>
      <c r="AK250" s="2382"/>
      <c r="AL250" s="2382"/>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50"/>
      <c r="F251" s="2350"/>
      <c r="G251" s="2350"/>
      <c r="H251" s="2350"/>
      <c r="I251" s="2350"/>
      <c r="J251" s="2350"/>
      <c r="K251" s="2350"/>
      <c r="L251" s="2350"/>
      <c r="M251" s="2350"/>
      <c r="N251" s="2350"/>
      <c r="O251" s="2350"/>
      <c r="P251" s="2350"/>
      <c r="Q251" s="2350"/>
      <c r="R251" s="2350"/>
      <c r="S251" s="2350"/>
      <c r="T251" s="2350"/>
      <c r="U251" s="2350"/>
      <c r="V251" s="2350"/>
      <c r="W251" s="2350"/>
      <c r="X251" s="2350"/>
      <c r="Y251" s="2350"/>
      <c r="Z251" s="2350"/>
      <c r="AA251" s="2350"/>
      <c r="AB251" s="2350"/>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50" t="s">
        <v>1357</v>
      </c>
      <c r="F253" s="2350"/>
      <c r="G253" s="2350"/>
      <c r="H253" s="2350"/>
      <c r="I253" s="2350"/>
      <c r="J253" s="2350"/>
      <c r="K253" s="2350"/>
      <c r="L253" s="2350"/>
      <c r="M253" s="2350"/>
      <c r="N253" s="2350"/>
      <c r="O253" s="2350"/>
      <c r="P253" s="2350"/>
      <c r="Q253" s="2350"/>
      <c r="R253" s="2350"/>
      <c r="S253" s="2350"/>
      <c r="T253" s="2350"/>
      <c r="U253" s="2350"/>
      <c r="V253" s="2350"/>
      <c r="W253" s="2350"/>
      <c r="X253" s="2350"/>
      <c r="Y253" s="2350"/>
      <c r="Z253" s="2350"/>
      <c r="AA253" s="2350"/>
      <c r="AB253" s="2350"/>
      <c r="AC253" s="46"/>
      <c r="AD253" s="46"/>
      <c r="AF253" s="2382" t="s">
        <v>353</v>
      </c>
      <c r="AG253" s="2382"/>
      <c r="AH253" s="2382"/>
      <c r="AI253" s="2382"/>
      <c r="AJ253" s="2382"/>
      <c r="AK253" s="2382"/>
      <c r="AL253" s="2382"/>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50"/>
      <c r="F254" s="2350"/>
      <c r="G254" s="2350"/>
      <c r="H254" s="2350"/>
      <c r="I254" s="2350"/>
      <c r="J254" s="2350"/>
      <c r="K254" s="2350"/>
      <c r="L254" s="2350"/>
      <c r="M254" s="2350"/>
      <c r="N254" s="2350"/>
      <c r="O254" s="2350"/>
      <c r="P254" s="2350"/>
      <c r="Q254" s="2350"/>
      <c r="R254" s="2350"/>
      <c r="S254" s="2350"/>
      <c r="T254" s="2350"/>
      <c r="U254" s="2350"/>
      <c r="V254" s="2350"/>
      <c r="W254" s="2350"/>
      <c r="X254" s="2350"/>
      <c r="Y254" s="2350"/>
      <c r="Z254" s="2350"/>
      <c r="AA254" s="2350"/>
      <c r="AB254" s="2350"/>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92" t="s">
        <v>213</v>
      </c>
      <c r="I256" s="239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77">
        <f>VLOOKUP($H$256,$AO$196:$AP$198,2,FALSE)</f>
        <v>1</v>
      </c>
      <c r="AK258" s="2378"/>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638</v>
      </c>
      <c r="E262" s="2350" t="s">
        <v>2157</v>
      </c>
      <c r="F262" s="2350"/>
      <c r="G262" s="2350"/>
      <c r="H262" s="2350"/>
      <c r="I262" s="2350"/>
      <c r="J262" s="2350"/>
      <c r="K262" s="2350"/>
      <c r="L262" s="2350"/>
      <c r="M262" s="2350"/>
      <c r="N262" s="2350"/>
      <c r="O262" s="2350"/>
      <c r="P262" s="2350"/>
      <c r="Q262" s="2350"/>
      <c r="R262" s="2350"/>
      <c r="S262" s="2350"/>
      <c r="T262" s="2350"/>
      <c r="U262" s="2350"/>
      <c r="V262" s="2350"/>
      <c r="W262" s="2350"/>
      <c r="X262" s="2350"/>
      <c r="Y262" s="2350"/>
      <c r="Z262" s="2350"/>
      <c r="AA262" s="2350"/>
      <c r="AB262" s="2350"/>
      <c r="AC262" s="2350"/>
      <c r="AD262" s="2350"/>
      <c r="AF262" s="2382" t="s">
        <v>114</v>
      </c>
      <c r="AG262" s="2382"/>
      <c r="AH262" s="2382"/>
      <c r="AI262" s="2382"/>
      <c r="AJ262" s="2382"/>
      <c r="AK262" s="2382"/>
      <c r="AL262" s="2382"/>
      <c r="AM262" s="175"/>
      <c r="AN262" s="317"/>
    </row>
    <row r="263" spans="1:74" s="16" customFormat="1">
      <c r="A263" s="28"/>
      <c r="B263" s="173"/>
      <c r="C263" s="218"/>
      <c r="D263" s="144"/>
      <c r="E263" s="2350"/>
      <c r="F263" s="2350"/>
      <c r="G263" s="2350"/>
      <c r="H263" s="2350"/>
      <c r="I263" s="2350"/>
      <c r="J263" s="2350"/>
      <c r="K263" s="2350"/>
      <c r="L263" s="2350"/>
      <c r="M263" s="2350"/>
      <c r="N263" s="2350"/>
      <c r="O263" s="2350"/>
      <c r="P263" s="2350"/>
      <c r="Q263" s="2350"/>
      <c r="R263" s="2350"/>
      <c r="S263" s="2350"/>
      <c r="T263" s="2350"/>
      <c r="U263" s="2350"/>
      <c r="V263" s="2350"/>
      <c r="W263" s="2350"/>
      <c r="X263" s="2350"/>
      <c r="Y263" s="2350"/>
      <c r="Z263" s="2350"/>
      <c r="AA263" s="2350"/>
      <c r="AB263" s="2350"/>
      <c r="AC263" s="2350"/>
      <c r="AD263" s="2350"/>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50"/>
      <c r="F264" s="2350"/>
      <c r="G264" s="2350"/>
      <c r="H264" s="2350"/>
      <c r="I264" s="2350"/>
      <c r="J264" s="2350"/>
      <c r="K264" s="2350"/>
      <c r="L264" s="2350"/>
      <c r="M264" s="2350"/>
      <c r="N264" s="2350"/>
      <c r="O264" s="2350"/>
      <c r="P264" s="2350"/>
      <c r="Q264" s="2350"/>
      <c r="R264" s="2350"/>
      <c r="S264" s="2350"/>
      <c r="T264" s="2350"/>
      <c r="U264" s="2350"/>
      <c r="V264" s="2350"/>
      <c r="W264" s="2350"/>
      <c r="X264" s="2350"/>
      <c r="Y264" s="2350"/>
      <c r="Z264" s="2350"/>
      <c r="AA264" s="2350"/>
      <c r="AB264" s="2350"/>
      <c r="AC264" s="2350"/>
      <c r="AD264" s="2350"/>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91" t="s">
        <v>2158</v>
      </c>
      <c r="F266" s="2391"/>
      <c r="G266" s="2391"/>
      <c r="H266" s="2391"/>
      <c r="I266" s="2391"/>
      <c r="J266" s="2391"/>
      <c r="K266" s="2391"/>
      <c r="L266" s="2391"/>
      <c r="M266" s="2391"/>
      <c r="N266" s="2391"/>
      <c r="O266" s="2391"/>
      <c r="P266" s="2391"/>
      <c r="Q266" s="2391"/>
      <c r="R266" s="2391"/>
      <c r="S266" s="2391"/>
      <c r="T266" s="2391"/>
      <c r="U266" s="2391"/>
      <c r="V266" s="2391"/>
      <c r="W266" s="2391"/>
      <c r="X266" s="2391"/>
      <c r="Y266" s="2391"/>
      <c r="Z266" s="2391"/>
      <c r="AA266" s="2391"/>
      <c r="AB266" s="2391"/>
      <c r="AC266" s="2391"/>
      <c r="AD266" s="2391"/>
      <c r="AF266" s="2382" t="s">
        <v>66</v>
      </c>
      <c r="AG266" s="2382"/>
      <c r="AH266" s="2382"/>
      <c r="AI266" s="2382"/>
      <c r="AJ266" s="2382"/>
      <c r="AK266" s="2382"/>
      <c r="AL266" s="2382"/>
      <c r="AM266" s="175"/>
      <c r="AN266" s="439"/>
    </row>
    <row r="267" spans="1:74" s="46" customFormat="1" ht="12.75" customHeight="1">
      <c r="A267" s="28"/>
      <c r="B267" s="173"/>
      <c r="C267" s="218"/>
      <c r="D267" s="144"/>
      <c r="E267" s="2391"/>
      <c r="F267" s="2391"/>
      <c r="G267" s="2391"/>
      <c r="H267" s="2391"/>
      <c r="I267" s="2391"/>
      <c r="J267" s="2391"/>
      <c r="K267" s="2391"/>
      <c r="L267" s="2391"/>
      <c r="M267" s="2391"/>
      <c r="N267" s="2391"/>
      <c r="O267" s="2391"/>
      <c r="P267" s="2391"/>
      <c r="Q267" s="2391"/>
      <c r="R267" s="2391"/>
      <c r="S267" s="2391"/>
      <c r="T267" s="2391"/>
      <c r="U267" s="2391"/>
      <c r="V267" s="2391"/>
      <c r="W267" s="2391"/>
      <c r="X267" s="2391"/>
      <c r="Y267" s="2391"/>
      <c r="Z267" s="2391"/>
      <c r="AA267" s="2391"/>
      <c r="AB267" s="2391"/>
      <c r="AC267" s="2391"/>
      <c r="AD267" s="2391"/>
      <c r="AE267" s="179"/>
      <c r="AF267" s="179"/>
      <c r="AG267" s="179"/>
      <c r="AH267" s="179"/>
      <c r="AI267" s="179"/>
      <c r="AJ267" s="179"/>
      <c r="AK267" s="179"/>
      <c r="AL267" s="1253"/>
      <c r="AM267" s="175"/>
      <c r="AN267" s="439"/>
    </row>
    <row r="268" spans="1:74" s="46" customFormat="1" ht="12.75" customHeight="1">
      <c r="A268" s="28"/>
      <c r="B268" s="173"/>
      <c r="C268" s="218"/>
      <c r="D268" s="144"/>
      <c r="E268" s="2391"/>
      <c r="F268" s="2391"/>
      <c r="G268" s="2391"/>
      <c r="H268" s="2391"/>
      <c r="I268" s="2391"/>
      <c r="J268" s="2391"/>
      <c r="K268" s="2391"/>
      <c r="L268" s="2391"/>
      <c r="M268" s="2391"/>
      <c r="N268" s="2391"/>
      <c r="O268" s="2391"/>
      <c r="P268" s="2391"/>
      <c r="Q268" s="2391"/>
      <c r="R268" s="2391"/>
      <c r="S268" s="2391"/>
      <c r="T268" s="2391"/>
      <c r="U268" s="2391"/>
      <c r="V268" s="2391"/>
      <c r="W268" s="2391"/>
      <c r="X268" s="2391"/>
      <c r="Y268" s="2391"/>
      <c r="Z268" s="2391"/>
      <c r="AA268" s="2391"/>
      <c r="AB268" s="2391"/>
      <c r="AC268" s="2391"/>
      <c r="AD268" s="2391"/>
      <c r="AE268" s="179"/>
      <c r="AF268" s="179"/>
      <c r="AG268" s="179"/>
      <c r="AH268" s="179"/>
      <c r="AI268" s="179"/>
      <c r="AJ268" s="179"/>
      <c r="AK268" s="179"/>
      <c r="AL268" s="1253"/>
      <c r="AM268" s="175"/>
      <c r="AN268" s="439"/>
    </row>
    <row r="269" spans="1:74" s="46" customFormat="1" ht="12.75" customHeight="1">
      <c r="A269" s="28"/>
      <c r="B269" s="173"/>
      <c r="C269" s="218"/>
      <c r="D269" s="144"/>
      <c r="E269" s="2391"/>
      <c r="F269" s="2391"/>
      <c r="G269" s="2391"/>
      <c r="H269" s="2391"/>
      <c r="I269" s="2391"/>
      <c r="J269" s="2391"/>
      <c r="K269" s="2391"/>
      <c r="L269" s="2391"/>
      <c r="M269" s="2391"/>
      <c r="N269" s="2391"/>
      <c r="O269" s="2391"/>
      <c r="P269" s="2391"/>
      <c r="Q269" s="2391"/>
      <c r="R269" s="2391"/>
      <c r="S269" s="2391"/>
      <c r="T269" s="2391"/>
      <c r="U269" s="2391"/>
      <c r="V269" s="2391"/>
      <c r="W269" s="2391"/>
      <c r="X269" s="2391"/>
      <c r="Y269" s="2391"/>
      <c r="Z269" s="2391"/>
      <c r="AA269" s="2391"/>
      <c r="AB269" s="2391"/>
      <c r="AC269" s="2391"/>
      <c r="AD269" s="2391"/>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92" t="s">
        <v>135</v>
      </c>
      <c r="I271" s="239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77">
        <f>VLOOKUP($H$271,$AP$216:$AQ$218,2,FALSE)</f>
        <v>0</v>
      </c>
      <c r="AK273" s="237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65" customHeight="1">
      <c r="A277" s="28"/>
      <c r="B277" s="173"/>
      <c r="C277" s="218"/>
      <c r="D277" s="144" t="s">
        <v>638</v>
      </c>
      <c r="E277" s="2350" t="s">
        <v>2156</v>
      </c>
      <c r="F277" s="2350"/>
      <c r="G277" s="2350"/>
      <c r="H277" s="2350"/>
      <c r="I277" s="2350"/>
      <c r="J277" s="2350"/>
      <c r="K277" s="2350"/>
      <c r="L277" s="2350"/>
      <c r="M277" s="2350"/>
      <c r="N277" s="2350"/>
      <c r="O277" s="2350"/>
      <c r="P277" s="2350"/>
      <c r="Q277" s="2350"/>
      <c r="R277" s="2350"/>
      <c r="S277" s="2350"/>
      <c r="T277" s="2350"/>
      <c r="U277" s="2350"/>
      <c r="V277" s="2350"/>
      <c r="W277" s="2350"/>
      <c r="X277" s="2350"/>
      <c r="Y277" s="2350"/>
      <c r="Z277" s="2350"/>
      <c r="AA277" s="2350"/>
      <c r="AB277" s="2350"/>
      <c r="AC277" s="2350"/>
      <c r="AD277" s="2350"/>
      <c r="AF277" s="2382" t="s">
        <v>1786</v>
      </c>
      <c r="AG277" s="2382"/>
      <c r="AH277" s="2382"/>
      <c r="AI277" s="2382"/>
      <c r="AJ277" s="2382"/>
      <c r="AK277" s="2382"/>
      <c r="AL277" s="2382"/>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50"/>
      <c r="F278" s="2350"/>
      <c r="G278" s="2350"/>
      <c r="H278" s="2350"/>
      <c r="I278" s="2350"/>
      <c r="J278" s="2350"/>
      <c r="K278" s="2350"/>
      <c r="L278" s="2350"/>
      <c r="M278" s="2350"/>
      <c r="N278" s="2350"/>
      <c r="O278" s="2350"/>
      <c r="P278" s="2350"/>
      <c r="Q278" s="2350"/>
      <c r="R278" s="2350"/>
      <c r="S278" s="2350"/>
      <c r="T278" s="2350"/>
      <c r="U278" s="2350"/>
      <c r="V278" s="2350"/>
      <c r="W278" s="2350"/>
      <c r="X278" s="2350"/>
      <c r="Y278" s="2350"/>
      <c r="Z278" s="2350"/>
      <c r="AA278" s="2350"/>
      <c r="AB278" s="2350"/>
      <c r="AC278" s="2350"/>
      <c r="AD278" s="2350"/>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50"/>
      <c r="F279" s="2350"/>
      <c r="G279" s="2350"/>
      <c r="H279" s="2350"/>
      <c r="I279" s="2350"/>
      <c r="J279" s="2350"/>
      <c r="K279" s="2350"/>
      <c r="L279" s="2350"/>
      <c r="M279" s="2350"/>
      <c r="N279" s="2350"/>
      <c r="O279" s="2350"/>
      <c r="P279" s="2350"/>
      <c r="Q279" s="2350"/>
      <c r="R279" s="2350"/>
      <c r="S279" s="2350"/>
      <c r="T279" s="2350"/>
      <c r="U279" s="2350"/>
      <c r="V279" s="2350"/>
      <c r="W279" s="2350"/>
      <c r="X279" s="2350"/>
      <c r="Y279" s="2350"/>
      <c r="Z279" s="2350"/>
      <c r="AA279" s="2350"/>
      <c r="AB279" s="2350"/>
      <c r="AC279" s="2350"/>
      <c r="AD279" s="2350"/>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92" t="s">
        <v>119</v>
      </c>
      <c r="I281" s="239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1886</v>
      </c>
      <c r="AJ283" s="2377">
        <f>VLOOKUP($H$281,$AO$276:$AP$277,2,FALSE)</f>
        <v>8</v>
      </c>
      <c r="AK283" s="2378"/>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77">
        <f>$AJ$129+$AJ$144+$AJ$156+$AJ$189+$AJ$208+$AJ$220+$AJ$232+$AJ$246+$AJ$258+$AJ$273+AJ283</f>
        <v>30</v>
      </c>
      <c r="AL285" s="2397"/>
      <c r="AM285" s="237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24" t="s">
        <v>2472</v>
      </c>
      <c r="I289" s="1824"/>
      <c r="J289" s="1824"/>
      <c r="K289" s="1824"/>
      <c r="L289" s="1824"/>
      <c r="M289" s="1824"/>
      <c r="N289" s="1824"/>
      <c r="O289" s="1824"/>
      <c r="P289" s="1824"/>
      <c r="Q289" s="1824"/>
      <c r="R289" s="1824"/>
      <c r="S289" s="16"/>
      <c r="T289" s="72" t="s">
        <v>100</v>
      </c>
      <c r="U289" s="16"/>
      <c r="V289" s="72"/>
      <c r="W289" s="72"/>
      <c r="X289" s="72"/>
      <c r="Y289" s="72"/>
      <c r="Z289" s="16"/>
      <c r="AA289" s="1824" t="s">
        <v>2480</v>
      </c>
      <c r="AB289" s="1824"/>
      <c r="AC289" s="1824"/>
      <c r="AD289" s="1824"/>
      <c r="AE289" s="1824"/>
      <c r="AF289" s="1824"/>
      <c r="AG289" s="1824"/>
      <c r="AH289" s="1824"/>
      <c r="AI289" s="1824"/>
      <c r="AJ289" s="1824"/>
      <c r="AK289" s="1824"/>
      <c r="AL289" s="25"/>
      <c r="AM289" s="137"/>
      <c r="AN289" s="439"/>
    </row>
    <row r="290" spans="1:41" s="46" customFormat="1" ht="12.75" customHeight="1">
      <c r="A290" s="153"/>
      <c r="B290" s="72" t="s">
        <v>761</v>
      </c>
      <c r="C290" s="72"/>
      <c r="D290" s="72"/>
      <c r="E290" s="72"/>
      <c r="F290" s="72"/>
      <c r="G290" s="16"/>
      <c r="H290" s="1825" t="s">
        <v>2473</v>
      </c>
      <c r="I290" s="1825"/>
      <c r="J290" s="1825"/>
      <c r="K290" s="1825"/>
      <c r="L290" s="1825"/>
      <c r="M290" s="1825"/>
      <c r="N290" s="1825"/>
      <c r="O290" s="1825"/>
      <c r="P290" s="1825"/>
      <c r="Q290" s="1825"/>
      <c r="R290" s="1825"/>
      <c r="S290" s="16"/>
      <c r="T290" s="72" t="s">
        <v>761</v>
      </c>
      <c r="U290" s="16"/>
      <c r="V290" s="72"/>
      <c r="W290" s="72"/>
      <c r="X290" s="72"/>
      <c r="Y290" s="72"/>
      <c r="Z290" s="16"/>
      <c r="AA290" s="1825" t="s">
        <v>2481</v>
      </c>
      <c r="AB290" s="1825"/>
      <c r="AC290" s="1825"/>
      <c r="AD290" s="1825"/>
      <c r="AE290" s="1825"/>
      <c r="AF290" s="1825"/>
      <c r="AG290" s="1825"/>
      <c r="AH290" s="1825"/>
      <c r="AI290" s="1825"/>
      <c r="AJ290" s="1825"/>
      <c r="AK290" s="1825"/>
      <c r="AL290" s="25"/>
      <c r="AM290" s="137"/>
      <c r="AN290" s="439"/>
    </row>
    <row r="291" spans="1:41" s="46" customFormat="1" ht="12.75" customHeight="1">
      <c r="A291" s="153"/>
      <c r="B291" s="72" t="s">
        <v>110</v>
      </c>
      <c r="C291" s="72"/>
      <c r="D291" s="72"/>
      <c r="E291" s="72"/>
      <c r="F291" s="72"/>
      <c r="G291" s="16"/>
      <c r="H291" s="1825" t="s">
        <v>2418</v>
      </c>
      <c r="I291" s="1825"/>
      <c r="J291" s="1825"/>
      <c r="K291" s="1825"/>
      <c r="L291" s="1825"/>
      <c r="M291" s="1825"/>
      <c r="N291" s="1825"/>
      <c r="O291" s="1825"/>
      <c r="P291" s="1825"/>
      <c r="Q291" s="1825"/>
      <c r="R291" s="1825"/>
      <c r="S291" s="16"/>
      <c r="T291" s="72" t="s">
        <v>110</v>
      </c>
      <c r="U291" s="16"/>
      <c r="V291" s="72"/>
      <c r="W291" s="72"/>
      <c r="X291" s="72"/>
      <c r="Y291" s="72"/>
      <c r="Z291" s="16"/>
      <c r="AA291" s="1825" t="s">
        <v>2418</v>
      </c>
      <c r="AB291" s="1825"/>
      <c r="AC291" s="1825"/>
      <c r="AD291" s="1825"/>
      <c r="AE291" s="1825"/>
      <c r="AF291" s="1825"/>
      <c r="AG291" s="1825"/>
      <c r="AH291" s="1825"/>
      <c r="AI291" s="1825"/>
      <c r="AJ291" s="1825"/>
      <c r="AK291" s="1825"/>
      <c r="AL291" s="25"/>
      <c r="AM291" s="137"/>
      <c r="AN291" s="439"/>
      <c r="AO291" s="331"/>
    </row>
    <row r="292" spans="1:41" s="46" customFormat="1" ht="12.75" customHeight="1">
      <c r="A292" s="153"/>
      <c r="B292" s="72" t="s">
        <v>415</v>
      </c>
      <c r="C292" s="72"/>
      <c r="D292" s="72"/>
      <c r="E292" s="72"/>
      <c r="F292" s="72"/>
      <c r="G292" s="16"/>
      <c r="H292" s="1825" t="s">
        <v>2474</v>
      </c>
      <c r="I292" s="1825"/>
      <c r="J292" s="1825"/>
      <c r="K292" s="1825"/>
      <c r="L292" s="1825"/>
      <c r="M292" s="1825"/>
      <c r="N292" s="1825"/>
      <c r="O292" s="1825"/>
      <c r="P292" s="1825"/>
      <c r="Q292" s="1825"/>
      <c r="R292" s="1825"/>
      <c r="S292" s="16"/>
      <c r="T292" s="72" t="s">
        <v>415</v>
      </c>
      <c r="U292" s="16"/>
      <c r="V292" s="72"/>
      <c r="W292" s="72"/>
      <c r="X292" s="72"/>
      <c r="Y292" s="72"/>
      <c r="Z292" s="16"/>
      <c r="AA292" s="1825" t="s">
        <v>2482</v>
      </c>
      <c r="AB292" s="1825"/>
      <c r="AC292" s="1825"/>
      <c r="AD292" s="1825"/>
      <c r="AE292" s="1825"/>
      <c r="AF292" s="1825"/>
      <c r="AG292" s="1825"/>
      <c r="AH292" s="1825"/>
      <c r="AI292" s="1825"/>
      <c r="AJ292" s="1825"/>
      <c r="AK292" s="1825"/>
      <c r="AL292" s="25"/>
      <c r="AM292" s="137"/>
      <c r="AN292" s="439"/>
      <c r="AO292" s="331"/>
    </row>
    <row r="293" spans="1:41" s="46" customFormat="1" ht="12.75" customHeight="1">
      <c r="A293" s="153"/>
      <c r="B293" s="72" t="s">
        <v>416</v>
      </c>
      <c r="C293" s="72"/>
      <c r="D293" s="72"/>
      <c r="E293" s="72"/>
      <c r="F293" s="72"/>
      <c r="G293" s="72"/>
      <c r="H293" s="1916" t="s">
        <v>2501</v>
      </c>
      <c r="I293" s="2023"/>
      <c r="J293" s="2023"/>
      <c r="K293" s="2023"/>
      <c r="L293" s="2023"/>
      <c r="M293" s="2023"/>
      <c r="N293" s="8" t="s">
        <v>892</v>
      </c>
      <c r="O293" s="8"/>
      <c r="P293" s="2041"/>
      <c r="Q293" s="2041"/>
      <c r="R293" s="2041"/>
      <c r="S293" s="72"/>
      <c r="T293" s="72" t="s">
        <v>416</v>
      </c>
      <c r="U293" s="16"/>
      <c r="V293" s="72"/>
      <c r="W293" s="72"/>
      <c r="X293" s="72"/>
      <c r="Y293" s="72"/>
      <c r="Z293" s="16"/>
      <c r="AA293" s="1916" t="s">
        <v>2502</v>
      </c>
      <c r="AB293" s="2023"/>
      <c r="AC293" s="2023"/>
      <c r="AD293" s="2023"/>
      <c r="AE293" s="2023"/>
      <c r="AF293" s="2023"/>
      <c r="AG293" s="8" t="s">
        <v>892</v>
      </c>
      <c r="AH293" s="8"/>
      <c r="AI293" s="2041"/>
      <c r="AJ293" s="2041"/>
      <c r="AK293" s="2041"/>
      <c r="AL293" s="25"/>
      <c r="AM293" s="137"/>
      <c r="AN293" s="439"/>
      <c r="AO293" s="331"/>
    </row>
    <row r="294" spans="1:41" s="46" customFormat="1" ht="12.75" customHeight="1">
      <c r="A294" s="153"/>
      <c r="B294" s="72" t="s">
        <v>99</v>
      </c>
      <c r="C294" s="72"/>
      <c r="D294" s="72"/>
      <c r="E294" s="72"/>
      <c r="F294" s="72"/>
      <c r="G294" s="72"/>
      <c r="H294" s="1825" t="s">
        <v>106</v>
      </c>
      <c r="I294" s="1825"/>
      <c r="J294" s="1825"/>
      <c r="K294" s="1825"/>
      <c r="L294" s="1825"/>
      <c r="M294" s="1825"/>
      <c r="N294" s="1825"/>
      <c r="O294" s="1825"/>
      <c r="P294" s="1825"/>
      <c r="Q294" s="1825"/>
      <c r="R294" s="1825"/>
      <c r="S294" s="72"/>
      <c r="T294" s="72" t="s">
        <v>99</v>
      </c>
      <c r="U294" s="16"/>
      <c r="V294" s="72"/>
      <c r="W294" s="72"/>
      <c r="X294" s="72"/>
      <c r="Y294" s="72"/>
      <c r="Z294" s="16"/>
      <c r="AA294" s="1825" t="s">
        <v>107</v>
      </c>
      <c r="AB294" s="1825"/>
      <c r="AC294" s="1825"/>
      <c r="AD294" s="1825"/>
      <c r="AE294" s="1825"/>
      <c r="AF294" s="1825"/>
      <c r="AG294" s="1825"/>
      <c r="AH294" s="1825"/>
      <c r="AI294" s="1825"/>
      <c r="AJ294" s="1825"/>
      <c r="AK294" s="1825"/>
      <c r="AL294" s="25"/>
      <c r="AM294" s="137"/>
      <c r="AN294" s="439"/>
      <c r="AO294" s="331"/>
    </row>
    <row r="295" spans="1:41" s="46" customFormat="1" ht="12.75" customHeight="1">
      <c r="A295" s="153"/>
      <c r="B295" s="72" t="s">
        <v>101</v>
      </c>
      <c r="C295" s="72"/>
      <c r="D295" s="72"/>
      <c r="E295" s="72"/>
      <c r="F295" s="72"/>
      <c r="G295" s="72"/>
      <c r="H295" s="1825" t="s">
        <v>2475</v>
      </c>
      <c r="I295" s="1825"/>
      <c r="J295" s="1825"/>
      <c r="K295" s="1825"/>
      <c r="L295" s="1825"/>
      <c r="M295" s="1825"/>
      <c r="N295" s="1825"/>
      <c r="O295" s="1825"/>
      <c r="P295" s="1825"/>
      <c r="Q295" s="1825"/>
      <c r="R295" s="1825"/>
      <c r="S295" s="72"/>
      <c r="T295" s="72" t="s">
        <v>101</v>
      </c>
      <c r="U295" s="16"/>
      <c r="V295" s="72"/>
      <c r="W295" s="72"/>
      <c r="X295" s="72"/>
      <c r="Y295" s="72"/>
      <c r="Z295" s="16"/>
      <c r="AA295" s="2336" t="s">
        <v>2483</v>
      </c>
      <c r="AB295" s="1825"/>
      <c r="AC295" s="1825"/>
      <c r="AD295" s="1825"/>
      <c r="AE295" s="1825"/>
      <c r="AF295" s="1825"/>
      <c r="AG295" s="1825"/>
      <c r="AH295" s="1825"/>
      <c r="AI295" s="1825"/>
      <c r="AJ295" s="1825"/>
      <c r="AK295" s="1825"/>
      <c r="AL295" s="25"/>
      <c r="AM295" s="137"/>
      <c r="AN295" s="439"/>
    </row>
    <row r="296" spans="1:41" s="137" customFormat="1" ht="12.75" customHeight="1">
      <c r="A296" s="153"/>
      <c r="B296" s="72" t="s">
        <v>112</v>
      </c>
      <c r="C296" s="72"/>
      <c r="D296" s="72"/>
      <c r="E296" s="72"/>
      <c r="F296" s="72"/>
      <c r="G296" s="72"/>
      <c r="H296" s="2336">
        <v>0.99</v>
      </c>
      <c r="I296" s="2336"/>
      <c r="J296" s="2336"/>
      <c r="K296" s="2336"/>
      <c r="L296" s="2336"/>
      <c r="M296" s="2336"/>
      <c r="N296" s="2336"/>
      <c r="O296" s="2336"/>
      <c r="P296" s="2336"/>
      <c r="Q296" s="2336"/>
      <c r="R296" s="2336"/>
      <c r="S296" s="72"/>
      <c r="T296" s="72" t="s">
        <v>112</v>
      </c>
      <c r="U296" s="72"/>
      <c r="V296" s="72"/>
      <c r="W296" s="72"/>
      <c r="X296" s="72"/>
      <c r="Y296" s="72"/>
      <c r="Z296" s="18"/>
      <c r="AA296" s="2336">
        <v>0.95</v>
      </c>
      <c r="AB296" s="2336"/>
      <c r="AC296" s="2336"/>
      <c r="AD296" s="2336"/>
      <c r="AE296" s="2336"/>
      <c r="AF296" s="2336"/>
      <c r="AG296" s="2336"/>
      <c r="AH296" s="2336"/>
      <c r="AI296" s="2336"/>
      <c r="AJ296" s="2336"/>
      <c r="AK296" s="2336"/>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24" t="s">
        <v>2476</v>
      </c>
      <c r="I298" s="1824"/>
      <c r="J298" s="1824"/>
      <c r="K298" s="1824"/>
      <c r="L298" s="1824"/>
      <c r="M298" s="1824"/>
      <c r="N298" s="1824"/>
      <c r="O298" s="1824"/>
      <c r="P298" s="1824"/>
      <c r="Q298" s="1824"/>
      <c r="R298" s="1824"/>
      <c r="S298" s="16"/>
      <c r="T298" s="72" t="s">
        <v>100</v>
      </c>
      <c r="U298" s="16"/>
      <c r="V298" s="72"/>
      <c r="W298" s="72"/>
      <c r="X298" s="72"/>
      <c r="Y298" s="72"/>
      <c r="Z298" s="16"/>
      <c r="AA298" s="1824" t="s">
        <v>2484</v>
      </c>
      <c r="AB298" s="1824"/>
      <c r="AC298" s="1824"/>
      <c r="AD298" s="1824"/>
      <c r="AE298" s="1824"/>
      <c r="AF298" s="1824"/>
      <c r="AG298" s="1824"/>
      <c r="AH298" s="1824"/>
      <c r="AI298" s="1824"/>
      <c r="AJ298" s="1824"/>
      <c r="AK298" s="1824"/>
      <c r="AL298" s="25"/>
      <c r="AM298" s="137"/>
      <c r="AN298" s="439"/>
    </row>
    <row r="299" spans="1:41" s="205" customFormat="1" ht="12.75" customHeight="1">
      <c r="A299" s="153"/>
      <c r="B299" s="72" t="s">
        <v>761</v>
      </c>
      <c r="C299" s="72"/>
      <c r="D299" s="72"/>
      <c r="E299" s="72"/>
      <c r="F299" s="72"/>
      <c r="G299" s="16"/>
      <c r="H299" s="1825" t="s">
        <v>2477</v>
      </c>
      <c r="I299" s="1825"/>
      <c r="J299" s="1825"/>
      <c r="K299" s="1825"/>
      <c r="L299" s="1825"/>
      <c r="M299" s="1825"/>
      <c r="N299" s="1825"/>
      <c r="O299" s="1825"/>
      <c r="P299" s="1825"/>
      <c r="Q299" s="1825"/>
      <c r="R299" s="1825"/>
      <c r="S299" s="16"/>
      <c r="T299" s="72" t="s">
        <v>761</v>
      </c>
      <c r="U299" s="16"/>
      <c r="V299" s="72"/>
      <c r="W299" s="72"/>
      <c r="X299" s="72"/>
      <c r="Y299" s="72"/>
      <c r="Z299" s="16"/>
      <c r="AA299" s="1825" t="s">
        <v>2485</v>
      </c>
      <c r="AB299" s="1825"/>
      <c r="AC299" s="1825"/>
      <c r="AD299" s="1825"/>
      <c r="AE299" s="1825"/>
      <c r="AF299" s="1825"/>
      <c r="AG299" s="1825"/>
      <c r="AH299" s="1825"/>
      <c r="AI299" s="1825"/>
      <c r="AJ299" s="1825"/>
      <c r="AK299" s="1825"/>
      <c r="AL299" s="25"/>
      <c r="AM299" s="137"/>
      <c r="AN299" s="439"/>
      <c r="AO299" s="46"/>
    </row>
    <row r="300" spans="1:41" s="205" customFormat="1" ht="12.75" customHeight="1">
      <c r="A300" s="153"/>
      <c r="B300" s="72" t="s">
        <v>110</v>
      </c>
      <c r="C300" s="72"/>
      <c r="D300" s="72"/>
      <c r="E300" s="72"/>
      <c r="F300" s="72"/>
      <c r="G300" s="16"/>
      <c r="H300" s="1825" t="s">
        <v>2418</v>
      </c>
      <c r="I300" s="1825"/>
      <c r="J300" s="1825"/>
      <c r="K300" s="1825"/>
      <c r="L300" s="1825"/>
      <c r="M300" s="1825"/>
      <c r="N300" s="1825"/>
      <c r="O300" s="1825"/>
      <c r="P300" s="1825"/>
      <c r="Q300" s="1825"/>
      <c r="R300" s="1825"/>
      <c r="S300" s="16"/>
      <c r="T300" s="72" t="s">
        <v>110</v>
      </c>
      <c r="U300" s="16"/>
      <c r="V300" s="72"/>
      <c r="W300" s="72"/>
      <c r="X300" s="72"/>
      <c r="Y300" s="72"/>
      <c r="Z300" s="16"/>
      <c r="AA300" s="1825" t="s">
        <v>2418</v>
      </c>
      <c r="AB300" s="1825"/>
      <c r="AC300" s="1825"/>
      <c r="AD300" s="1825"/>
      <c r="AE300" s="1825"/>
      <c r="AF300" s="1825"/>
      <c r="AG300" s="1825"/>
      <c r="AH300" s="1825"/>
      <c r="AI300" s="1825"/>
      <c r="AJ300" s="1825"/>
      <c r="AK300" s="1825"/>
      <c r="AL300" s="25"/>
      <c r="AM300" s="137"/>
      <c r="AN300" s="439"/>
      <c r="AO300" s="46"/>
    </row>
    <row r="301" spans="1:41" s="46" customFormat="1" ht="12.75" customHeight="1">
      <c r="A301" s="153"/>
      <c r="B301" s="72" t="s">
        <v>415</v>
      </c>
      <c r="C301" s="72"/>
      <c r="D301" s="72"/>
      <c r="E301" s="72"/>
      <c r="F301" s="72"/>
      <c r="G301" s="16"/>
      <c r="H301" s="1825" t="s">
        <v>2478</v>
      </c>
      <c r="I301" s="1825"/>
      <c r="J301" s="1825"/>
      <c r="K301" s="1825"/>
      <c r="L301" s="1825"/>
      <c r="M301" s="1825"/>
      <c r="N301" s="1825"/>
      <c r="O301" s="1825"/>
      <c r="P301" s="1825"/>
      <c r="Q301" s="1825"/>
      <c r="R301" s="1825"/>
      <c r="S301" s="16"/>
      <c r="T301" s="72" t="s">
        <v>415</v>
      </c>
      <c r="U301" s="16"/>
      <c r="V301" s="72"/>
      <c r="W301" s="72"/>
      <c r="X301" s="72"/>
      <c r="Y301" s="72"/>
      <c r="Z301" s="16"/>
      <c r="AA301" s="1825" t="s">
        <v>2486</v>
      </c>
      <c r="AB301" s="1825"/>
      <c r="AC301" s="1825"/>
      <c r="AD301" s="1825"/>
      <c r="AE301" s="1825"/>
      <c r="AF301" s="1825"/>
      <c r="AG301" s="1825"/>
      <c r="AH301" s="1825"/>
      <c r="AI301" s="1825"/>
      <c r="AJ301" s="1825"/>
      <c r="AK301" s="1825"/>
      <c r="AL301" s="25"/>
      <c r="AM301" s="137"/>
      <c r="AN301" s="439"/>
    </row>
    <row r="302" spans="1:41" s="46" customFormat="1" ht="12.75" customHeight="1">
      <c r="A302" s="153"/>
      <c r="B302" s="72" t="s">
        <v>416</v>
      </c>
      <c r="C302" s="72"/>
      <c r="D302" s="72"/>
      <c r="E302" s="72"/>
      <c r="F302" s="72"/>
      <c r="G302" s="72"/>
      <c r="H302" s="1916" t="s">
        <v>2503</v>
      </c>
      <c r="I302" s="2023"/>
      <c r="J302" s="2023"/>
      <c r="K302" s="2023"/>
      <c r="L302" s="2023"/>
      <c r="M302" s="2023"/>
      <c r="N302" s="8" t="s">
        <v>892</v>
      </c>
      <c r="O302" s="8"/>
      <c r="P302" s="2041"/>
      <c r="Q302" s="2041"/>
      <c r="R302" s="2041"/>
      <c r="S302" s="72"/>
      <c r="T302" s="72" t="s">
        <v>416</v>
      </c>
      <c r="U302" s="16"/>
      <c r="V302" s="72"/>
      <c r="W302" s="72"/>
      <c r="X302" s="72"/>
      <c r="Y302" s="72"/>
      <c r="Z302" s="16"/>
      <c r="AA302" s="1916" t="s">
        <v>2504</v>
      </c>
      <c r="AB302" s="2023"/>
      <c r="AC302" s="2023"/>
      <c r="AD302" s="2023"/>
      <c r="AE302" s="2023"/>
      <c r="AF302" s="2023"/>
      <c r="AG302" s="8" t="s">
        <v>892</v>
      </c>
      <c r="AH302" s="8"/>
      <c r="AI302" s="2041"/>
      <c r="AJ302" s="2041"/>
      <c r="AK302" s="2041"/>
      <c r="AL302" s="25"/>
      <c r="AM302" s="137"/>
      <c r="AN302" s="439"/>
    </row>
    <row r="303" spans="1:41" s="46" customFormat="1" ht="12.75" customHeight="1">
      <c r="A303" s="153"/>
      <c r="B303" s="72" t="s">
        <v>99</v>
      </c>
      <c r="C303" s="72"/>
      <c r="D303" s="72"/>
      <c r="E303" s="72"/>
      <c r="F303" s="72"/>
      <c r="G303" s="72"/>
      <c r="H303" s="1825" t="s">
        <v>103</v>
      </c>
      <c r="I303" s="1825"/>
      <c r="J303" s="1825"/>
      <c r="K303" s="1825"/>
      <c r="L303" s="1825"/>
      <c r="M303" s="1825"/>
      <c r="N303" s="1825"/>
      <c r="O303" s="1825"/>
      <c r="P303" s="1825"/>
      <c r="Q303" s="1825"/>
      <c r="R303" s="1825"/>
      <c r="S303" s="72"/>
      <c r="T303" s="72" t="s">
        <v>99</v>
      </c>
      <c r="U303" s="16"/>
      <c r="V303" s="72"/>
      <c r="W303" s="72"/>
      <c r="X303" s="72"/>
      <c r="Y303" s="72"/>
      <c r="Z303" s="16"/>
      <c r="AA303" s="1825" t="s">
        <v>104</v>
      </c>
      <c r="AB303" s="1825"/>
      <c r="AC303" s="1825"/>
      <c r="AD303" s="1825"/>
      <c r="AE303" s="1825"/>
      <c r="AF303" s="1825"/>
      <c r="AG303" s="1825"/>
      <c r="AH303" s="1825"/>
      <c r="AI303" s="1825"/>
      <c r="AJ303" s="1825"/>
      <c r="AK303" s="1825"/>
      <c r="AL303" s="25"/>
      <c r="AM303" s="137"/>
      <c r="AN303" s="439"/>
    </row>
    <row r="304" spans="1:41" s="46" customFormat="1" ht="12.75" customHeight="1">
      <c r="A304" s="153"/>
      <c r="B304" s="72" t="s">
        <v>101</v>
      </c>
      <c r="C304" s="72"/>
      <c r="D304" s="72"/>
      <c r="E304" s="72"/>
      <c r="F304" s="72"/>
      <c r="G304" s="72"/>
      <c r="H304" s="1825" t="s">
        <v>2479</v>
      </c>
      <c r="I304" s="1825"/>
      <c r="J304" s="1825"/>
      <c r="K304" s="1825"/>
      <c r="L304" s="1825"/>
      <c r="M304" s="1825"/>
      <c r="N304" s="1825"/>
      <c r="O304" s="1825"/>
      <c r="P304" s="1825"/>
      <c r="Q304" s="1825"/>
      <c r="R304" s="1825"/>
      <c r="S304" s="72"/>
      <c r="T304" s="72" t="s">
        <v>101</v>
      </c>
      <c r="U304" s="16"/>
      <c r="V304" s="72"/>
      <c r="W304" s="72"/>
      <c r="X304" s="72"/>
      <c r="Y304" s="72"/>
      <c r="Z304" s="16"/>
      <c r="AA304" s="1825" t="s">
        <v>2487</v>
      </c>
      <c r="AB304" s="1825"/>
      <c r="AC304" s="1825"/>
      <c r="AD304" s="1825"/>
      <c r="AE304" s="1825"/>
      <c r="AF304" s="1825"/>
      <c r="AG304" s="1825"/>
      <c r="AH304" s="1825"/>
      <c r="AI304" s="1825"/>
      <c r="AJ304" s="1825"/>
      <c r="AK304" s="1825"/>
      <c r="AL304" s="25"/>
      <c r="AM304" s="137"/>
      <c r="AN304" s="439"/>
    </row>
    <row r="305" spans="1:40" s="46" customFormat="1" ht="12.75" customHeight="1">
      <c r="A305" s="153"/>
      <c r="B305" s="72" t="s">
        <v>112</v>
      </c>
      <c r="C305" s="72"/>
      <c r="D305" s="72"/>
      <c r="E305" s="72"/>
      <c r="F305" s="72"/>
      <c r="G305" s="72"/>
      <c r="H305" s="2336">
        <v>0.5</v>
      </c>
      <c r="I305" s="2336"/>
      <c r="J305" s="2336"/>
      <c r="K305" s="2336"/>
      <c r="L305" s="2336"/>
      <c r="M305" s="2336"/>
      <c r="N305" s="2336"/>
      <c r="O305" s="2336"/>
      <c r="P305" s="2336"/>
      <c r="Q305" s="2336"/>
      <c r="R305" s="2336"/>
      <c r="S305" s="72"/>
      <c r="T305" s="72" t="s">
        <v>112</v>
      </c>
      <c r="U305" s="72"/>
      <c r="V305" s="72"/>
      <c r="W305" s="72"/>
      <c r="X305" s="72"/>
      <c r="Y305" s="72"/>
      <c r="Z305" s="18"/>
      <c r="AA305" s="2336">
        <v>0.81</v>
      </c>
      <c r="AB305" s="2336"/>
      <c r="AC305" s="2336"/>
      <c r="AD305" s="2336"/>
      <c r="AE305" s="2336"/>
      <c r="AF305" s="2336"/>
      <c r="AG305" s="2336"/>
      <c r="AH305" s="2336"/>
      <c r="AI305" s="2336"/>
      <c r="AJ305" s="2336"/>
      <c r="AK305" s="233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24" t="s">
        <v>2488</v>
      </c>
      <c r="I307" s="1824"/>
      <c r="J307" s="1824"/>
      <c r="K307" s="1824"/>
      <c r="L307" s="1824"/>
      <c r="M307" s="1824"/>
      <c r="N307" s="1824"/>
      <c r="O307" s="1824"/>
      <c r="P307" s="1824"/>
      <c r="Q307" s="1824"/>
      <c r="R307" s="1824"/>
      <c r="S307" s="16"/>
      <c r="T307" s="72" t="s">
        <v>100</v>
      </c>
      <c r="U307" s="16"/>
      <c r="V307" s="72"/>
      <c r="W307" s="72"/>
      <c r="X307" s="72"/>
      <c r="Y307" s="72"/>
      <c r="Z307" s="16"/>
      <c r="AA307" s="1852" t="s">
        <v>2492</v>
      </c>
      <c r="AB307" s="1824"/>
      <c r="AC307" s="1824"/>
      <c r="AD307" s="1824"/>
      <c r="AE307" s="1824"/>
      <c r="AF307" s="1824"/>
      <c r="AG307" s="1824"/>
      <c r="AH307" s="1824"/>
      <c r="AI307" s="1824"/>
      <c r="AJ307" s="1824"/>
      <c r="AK307" s="1824"/>
      <c r="AL307" s="25"/>
      <c r="AM307" s="137"/>
      <c r="AN307" s="439"/>
    </row>
    <row r="308" spans="1:40" s="46" customFormat="1" ht="12.75" customHeight="1">
      <c r="A308" s="153"/>
      <c r="B308" s="72" t="s">
        <v>761</v>
      </c>
      <c r="C308" s="72"/>
      <c r="D308" s="72"/>
      <c r="E308" s="72"/>
      <c r="F308" s="72"/>
      <c r="G308" s="16"/>
      <c r="H308" s="1825" t="s">
        <v>2489</v>
      </c>
      <c r="I308" s="1825"/>
      <c r="J308" s="1825"/>
      <c r="K308" s="1825"/>
      <c r="L308" s="1825"/>
      <c r="M308" s="1825"/>
      <c r="N308" s="1825"/>
      <c r="O308" s="1825"/>
      <c r="P308" s="1825"/>
      <c r="Q308" s="1825"/>
      <c r="R308" s="1825"/>
      <c r="S308" s="16"/>
      <c r="T308" s="72" t="s">
        <v>761</v>
      </c>
      <c r="U308" s="16"/>
      <c r="V308" s="72"/>
      <c r="W308" s="72"/>
      <c r="X308" s="72"/>
      <c r="Y308" s="72"/>
      <c r="Z308" s="16"/>
      <c r="AA308" s="1833" t="s">
        <v>2493</v>
      </c>
      <c r="AB308" s="1825"/>
      <c r="AC308" s="1825"/>
      <c r="AD308" s="1825"/>
      <c r="AE308" s="1825"/>
      <c r="AF308" s="1825"/>
      <c r="AG308" s="1825"/>
      <c r="AH308" s="1825"/>
      <c r="AI308" s="1825"/>
      <c r="AJ308" s="1825"/>
      <c r="AK308" s="1825"/>
      <c r="AL308" s="25"/>
      <c r="AM308" s="137"/>
      <c r="AN308" s="439"/>
    </row>
    <row r="309" spans="1:40" s="46" customFormat="1" ht="12.75" customHeight="1">
      <c r="A309" s="153"/>
      <c r="B309" s="72" t="s">
        <v>110</v>
      </c>
      <c r="C309" s="72"/>
      <c r="D309" s="72"/>
      <c r="E309" s="72"/>
      <c r="F309" s="72"/>
      <c r="G309" s="16"/>
      <c r="H309" s="1825" t="s">
        <v>2418</v>
      </c>
      <c r="I309" s="1825"/>
      <c r="J309" s="1825"/>
      <c r="K309" s="1825"/>
      <c r="L309" s="1825"/>
      <c r="M309" s="1825"/>
      <c r="N309" s="1825"/>
      <c r="O309" s="1825"/>
      <c r="P309" s="1825"/>
      <c r="Q309" s="1825"/>
      <c r="R309" s="1825"/>
      <c r="S309" s="16"/>
      <c r="T309" s="72" t="s">
        <v>110</v>
      </c>
      <c r="U309" s="16"/>
      <c r="V309" s="72"/>
      <c r="W309" s="72"/>
      <c r="X309" s="72"/>
      <c r="Y309" s="72"/>
      <c r="Z309" s="16"/>
      <c r="AA309" s="1833" t="s">
        <v>2418</v>
      </c>
      <c r="AB309" s="1825"/>
      <c r="AC309" s="1825"/>
      <c r="AD309" s="1825"/>
      <c r="AE309" s="1825"/>
      <c r="AF309" s="1825"/>
      <c r="AG309" s="1825"/>
      <c r="AH309" s="1825"/>
      <c r="AI309" s="1825"/>
      <c r="AJ309" s="1825"/>
      <c r="AK309" s="1825"/>
      <c r="AL309" s="25"/>
      <c r="AM309" s="137"/>
      <c r="AN309" s="439"/>
    </row>
    <row r="310" spans="1:40" s="46" customFormat="1" ht="12.75" customHeight="1">
      <c r="A310" s="153"/>
      <c r="B310" s="72" t="s">
        <v>415</v>
      </c>
      <c r="C310" s="72"/>
      <c r="D310" s="72"/>
      <c r="E310" s="72"/>
      <c r="F310" s="72"/>
      <c r="G310" s="16"/>
      <c r="H310" s="1825" t="s">
        <v>2490</v>
      </c>
      <c r="I310" s="1825"/>
      <c r="J310" s="1825"/>
      <c r="K310" s="1825"/>
      <c r="L310" s="1825"/>
      <c r="M310" s="1825"/>
      <c r="N310" s="1825"/>
      <c r="O310" s="1825"/>
      <c r="P310" s="1825"/>
      <c r="Q310" s="1825"/>
      <c r="R310" s="1825"/>
      <c r="S310" s="16"/>
      <c r="T310" s="72" t="s">
        <v>415</v>
      </c>
      <c r="U310" s="16"/>
      <c r="V310" s="72"/>
      <c r="W310" s="72"/>
      <c r="X310" s="72"/>
      <c r="Y310" s="72"/>
      <c r="Z310" s="16"/>
      <c r="AA310" s="1833" t="s">
        <v>2494</v>
      </c>
      <c r="AB310" s="1825"/>
      <c r="AC310" s="1825"/>
      <c r="AD310" s="1825"/>
      <c r="AE310" s="1825"/>
      <c r="AF310" s="1825"/>
      <c r="AG310" s="1825"/>
      <c r="AH310" s="1825"/>
      <c r="AI310" s="1825"/>
      <c r="AJ310" s="1825"/>
      <c r="AK310" s="1825"/>
      <c r="AL310" s="25"/>
      <c r="AM310" s="137"/>
      <c r="AN310" s="439"/>
    </row>
    <row r="311" spans="1:40" s="46" customFormat="1" ht="12.75" customHeight="1">
      <c r="A311" s="153"/>
      <c r="B311" s="72" t="s">
        <v>416</v>
      </c>
      <c r="C311" s="72"/>
      <c r="D311" s="72"/>
      <c r="E311" s="72"/>
      <c r="F311" s="72"/>
      <c r="G311" s="72"/>
      <c r="H311" s="1916" t="s">
        <v>2505</v>
      </c>
      <c r="I311" s="2023"/>
      <c r="J311" s="2023"/>
      <c r="K311" s="2023"/>
      <c r="L311" s="2023"/>
      <c r="M311" s="2023"/>
      <c r="N311" s="8" t="s">
        <v>892</v>
      </c>
      <c r="O311" s="8"/>
      <c r="P311" s="2041"/>
      <c r="Q311" s="2041"/>
      <c r="R311" s="2041"/>
      <c r="S311" s="72"/>
      <c r="T311" s="72" t="s">
        <v>416</v>
      </c>
      <c r="U311" s="16"/>
      <c r="V311" s="72"/>
      <c r="W311" s="72"/>
      <c r="X311" s="72"/>
      <c r="Y311" s="72"/>
      <c r="Z311" s="16"/>
      <c r="AA311" s="1916" t="s">
        <v>2506</v>
      </c>
      <c r="AB311" s="2023"/>
      <c r="AC311" s="2023"/>
      <c r="AD311" s="2023"/>
      <c r="AE311" s="2023"/>
      <c r="AF311" s="2023"/>
      <c r="AG311" s="8" t="s">
        <v>892</v>
      </c>
      <c r="AH311" s="8"/>
      <c r="AI311" s="2041"/>
      <c r="AJ311" s="2041"/>
      <c r="AK311" s="2041"/>
      <c r="AL311" s="25"/>
      <c r="AM311" s="137"/>
      <c r="AN311" s="439"/>
    </row>
    <row r="312" spans="1:40" s="46" customFormat="1" ht="12.75" customHeight="1">
      <c r="A312" s="153"/>
      <c r="B312" s="72" t="s">
        <v>99</v>
      </c>
      <c r="C312" s="72"/>
      <c r="D312" s="72"/>
      <c r="E312" s="72"/>
      <c r="F312" s="72"/>
      <c r="G312" s="72"/>
      <c r="H312" s="1825" t="s">
        <v>111</v>
      </c>
      <c r="I312" s="1825"/>
      <c r="J312" s="1825"/>
      <c r="K312" s="1825"/>
      <c r="L312" s="1825"/>
      <c r="M312" s="1825"/>
      <c r="N312" s="1825"/>
      <c r="O312" s="1825"/>
      <c r="P312" s="1825"/>
      <c r="Q312" s="1825"/>
      <c r="R312" s="1825"/>
      <c r="S312" s="72"/>
      <c r="T312" s="72" t="s">
        <v>99</v>
      </c>
      <c r="U312" s="16"/>
      <c r="V312" s="72"/>
      <c r="W312" s="72"/>
      <c r="X312" s="72"/>
      <c r="Y312" s="72"/>
      <c r="Z312" s="16"/>
      <c r="AA312" s="1825" t="s">
        <v>102</v>
      </c>
      <c r="AB312" s="1825"/>
      <c r="AC312" s="1825"/>
      <c r="AD312" s="1825"/>
      <c r="AE312" s="1825"/>
      <c r="AF312" s="1825"/>
      <c r="AG312" s="1825"/>
      <c r="AH312" s="1825"/>
      <c r="AI312" s="1825"/>
      <c r="AJ312" s="1825"/>
      <c r="AK312" s="1825"/>
      <c r="AL312" s="25"/>
      <c r="AM312" s="137"/>
      <c r="AN312" s="439"/>
    </row>
    <row r="313" spans="1:40" s="46" customFormat="1" ht="12.75" customHeight="1">
      <c r="A313" s="153"/>
      <c r="B313" s="72" t="s">
        <v>101</v>
      </c>
      <c r="C313" s="72"/>
      <c r="D313" s="72"/>
      <c r="E313" s="72"/>
      <c r="F313" s="72"/>
      <c r="G313" s="72"/>
      <c r="H313" s="1833" t="s">
        <v>2491</v>
      </c>
      <c r="I313" s="1825"/>
      <c r="J313" s="1825"/>
      <c r="K313" s="1825"/>
      <c r="L313" s="1825"/>
      <c r="M313" s="1825"/>
      <c r="N313" s="1825"/>
      <c r="O313" s="1825"/>
      <c r="P313" s="1825"/>
      <c r="Q313" s="1825"/>
      <c r="R313" s="1825"/>
      <c r="S313" s="72"/>
      <c r="T313" s="72" t="s">
        <v>101</v>
      </c>
      <c r="U313" s="16"/>
      <c r="V313" s="72"/>
      <c r="W313" s="72"/>
      <c r="X313" s="72"/>
      <c r="Y313" s="72"/>
      <c r="Z313" s="16"/>
      <c r="AA313" s="1833" t="s">
        <v>2495</v>
      </c>
      <c r="AB313" s="1825"/>
      <c r="AC313" s="1825"/>
      <c r="AD313" s="1825"/>
      <c r="AE313" s="1825"/>
      <c r="AF313" s="1825"/>
      <c r="AG313" s="1825"/>
      <c r="AH313" s="1825"/>
      <c r="AI313" s="1825"/>
      <c r="AJ313" s="1825"/>
      <c r="AK313" s="1825"/>
      <c r="AL313" s="25"/>
      <c r="AM313" s="137"/>
      <c r="AN313" s="439"/>
    </row>
    <row r="314" spans="1:40" s="46" customFormat="1" ht="12.75" customHeight="1">
      <c r="A314" s="153"/>
      <c r="B314" s="72" t="s">
        <v>112</v>
      </c>
      <c r="C314" s="72"/>
      <c r="D314" s="72"/>
      <c r="E314" s="72"/>
      <c r="F314" s="72"/>
      <c r="G314" s="72"/>
      <c r="H314" s="2336">
        <v>0.1</v>
      </c>
      <c r="I314" s="2336"/>
      <c r="J314" s="2336"/>
      <c r="K314" s="2336"/>
      <c r="L314" s="2336"/>
      <c r="M314" s="2336"/>
      <c r="N314" s="2336"/>
      <c r="O314" s="2336"/>
      <c r="P314" s="2336"/>
      <c r="Q314" s="2336"/>
      <c r="R314" s="2336"/>
      <c r="S314" s="72"/>
      <c r="T314" s="72" t="s">
        <v>112</v>
      </c>
      <c r="U314" s="72"/>
      <c r="V314" s="72"/>
      <c r="W314" s="72"/>
      <c r="X314" s="72"/>
      <c r="Y314" s="72"/>
      <c r="Z314" s="18"/>
      <c r="AA314" s="2336">
        <v>0.2</v>
      </c>
      <c r="AB314" s="2336"/>
      <c r="AC314" s="2336"/>
      <c r="AD314" s="2336"/>
      <c r="AE314" s="2336"/>
      <c r="AF314" s="2336"/>
      <c r="AG314" s="2336"/>
      <c r="AH314" s="2336"/>
      <c r="AI314" s="2336"/>
      <c r="AJ314" s="2336"/>
      <c r="AK314" s="233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52" t="s">
        <v>2496</v>
      </c>
      <c r="I316" s="1824"/>
      <c r="J316" s="1824"/>
      <c r="K316" s="1824"/>
      <c r="L316" s="1824"/>
      <c r="M316" s="1824"/>
      <c r="N316" s="1824"/>
      <c r="O316" s="1824"/>
      <c r="P316" s="1824"/>
      <c r="Q316" s="1824"/>
      <c r="R316" s="1824"/>
      <c r="S316" s="16"/>
      <c r="T316" s="72" t="s">
        <v>100</v>
      </c>
      <c r="U316" s="16"/>
      <c r="V316" s="72"/>
      <c r="W316" s="72"/>
      <c r="X316" s="72"/>
      <c r="Y316" s="72"/>
      <c r="Z316" s="16"/>
      <c r="AA316" s="1824"/>
      <c r="AB316" s="1824"/>
      <c r="AC316" s="1824"/>
      <c r="AD316" s="1824"/>
      <c r="AE316" s="1824"/>
      <c r="AF316" s="1824"/>
      <c r="AG316" s="1824"/>
      <c r="AH316" s="1824"/>
      <c r="AI316" s="1824"/>
      <c r="AJ316" s="1824"/>
      <c r="AK316" s="1824"/>
      <c r="AL316" s="25"/>
      <c r="AM316" s="137"/>
      <c r="AN316" s="439"/>
    </row>
    <row r="317" spans="1:40" s="46" customFormat="1" ht="12.75" customHeight="1">
      <c r="A317" s="153"/>
      <c r="B317" s="72" t="s">
        <v>761</v>
      </c>
      <c r="C317" s="72"/>
      <c r="D317" s="72"/>
      <c r="E317" s="72"/>
      <c r="F317" s="72"/>
      <c r="G317" s="16"/>
      <c r="H317" s="1833" t="s">
        <v>2497</v>
      </c>
      <c r="I317" s="1825"/>
      <c r="J317" s="1825"/>
      <c r="K317" s="1825"/>
      <c r="L317" s="1825"/>
      <c r="M317" s="1825"/>
      <c r="N317" s="1825"/>
      <c r="O317" s="1825"/>
      <c r="P317" s="1825"/>
      <c r="Q317" s="1825"/>
      <c r="R317" s="1825"/>
      <c r="S317" s="16"/>
      <c r="T317" s="72" t="s">
        <v>761</v>
      </c>
      <c r="U317" s="16"/>
      <c r="V317" s="72"/>
      <c r="W317" s="72"/>
      <c r="X317" s="72"/>
      <c r="Y317" s="72"/>
      <c r="Z317" s="16"/>
      <c r="AA317" s="1825"/>
      <c r="AB317" s="1825"/>
      <c r="AC317" s="1825"/>
      <c r="AD317" s="1825"/>
      <c r="AE317" s="1825"/>
      <c r="AF317" s="1825"/>
      <c r="AG317" s="1825"/>
      <c r="AH317" s="1825"/>
      <c r="AI317" s="1825"/>
      <c r="AJ317" s="1825"/>
      <c r="AK317" s="1825"/>
      <c r="AL317" s="25"/>
      <c r="AM317" s="137"/>
      <c r="AN317" s="439"/>
    </row>
    <row r="318" spans="1:40" s="46" customFormat="1" ht="12.75" customHeight="1">
      <c r="A318" s="153"/>
      <c r="B318" s="72" t="s">
        <v>110</v>
      </c>
      <c r="C318" s="72"/>
      <c r="D318" s="72"/>
      <c r="E318" s="72"/>
      <c r="F318" s="72"/>
      <c r="G318" s="16"/>
      <c r="H318" s="1833" t="s">
        <v>2498</v>
      </c>
      <c r="I318" s="1825"/>
      <c r="J318" s="1825"/>
      <c r="K318" s="1825"/>
      <c r="L318" s="1825"/>
      <c r="M318" s="1825"/>
      <c r="N318" s="1825"/>
      <c r="O318" s="1825"/>
      <c r="P318" s="1825"/>
      <c r="Q318" s="1825"/>
      <c r="R318" s="1825"/>
      <c r="S318" s="16"/>
      <c r="T318" s="72" t="s">
        <v>110</v>
      </c>
      <c r="U318" s="16"/>
      <c r="V318" s="72"/>
      <c r="W318" s="72"/>
      <c r="X318" s="72"/>
      <c r="Y318" s="72"/>
      <c r="Z318" s="16"/>
      <c r="AA318" s="1825"/>
      <c r="AB318" s="1825"/>
      <c r="AC318" s="1825"/>
      <c r="AD318" s="1825"/>
      <c r="AE318" s="1825"/>
      <c r="AF318" s="1825"/>
      <c r="AG318" s="1825"/>
      <c r="AH318" s="1825"/>
      <c r="AI318" s="1825"/>
      <c r="AJ318" s="1825"/>
      <c r="AK318" s="1825"/>
      <c r="AL318" s="25"/>
      <c r="AM318" s="137"/>
      <c r="AN318" s="439"/>
    </row>
    <row r="319" spans="1:40" s="46" customFormat="1" ht="12.75" customHeight="1">
      <c r="A319" s="153"/>
      <c r="B319" s="72" t="s">
        <v>415</v>
      </c>
      <c r="C319" s="72"/>
      <c r="D319" s="72"/>
      <c r="E319" s="72"/>
      <c r="F319" s="72"/>
      <c r="G319" s="16"/>
      <c r="H319" s="1833" t="s">
        <v>2499</v>
      </c>
      <c r="I319" s="1825"/>
      <c r="J319" s="1825"/>
      <c r="K319" s="1825"/>
      <c r="L319" s="1825"/>
      <c r="M319" s="1825"/>
      <c r="N319" s="1825"/>
      <c r="O319" s="1825"/>
      <c r="P319" s="1825"/>
      <c r="Q319" s="1825"/>
      <c r="R319" s="1825"/>
      <c r="S319" s="16"/>
      <c r="T319" s="72" t="s">
        <v>415</v>
      </c>
      <c r="U319" s="16"/>
      <c r="V319" s="72"/>
      <c r="W319" s="72"/>
      <c r="X319" s="72"/>
      <c r="Y319" s="72"/>
      <c r="Z319" s="16"/>
      <c r="AA319" s="1825"/>
      <c r="AB319" s="1825"/>
      <c r="AC319" s="1825"/>
      <c r="AD319" s="1825"/>
      <c r="AE319" s="1825"/>
      <c r="AF319" s="1825"/>
      <c r="AG319" s="1825"/>
      <c r="AH319" s="1825"/>
      <c r="AI319" s="1825"/>
      <c r="AJ319" s="1825"/>
      <c r="AK319" s="1825"/>
      <c r="AL319" s="25"/>
      <c r="AM319" s="137"/>
      <c r="AN319" s="439"/>
    </row>
    <row r="320" spans="1:40" s="46" customFormat="1" ht="12.75" customHeight="1">
      <c r="A320" s="153"/>
      <c r="B320" s="72" t="s">
        <v>416</v>
      </c>
      <c r="C320" s="72"/>
      <c r="D320" s="72"/>
      <c r="E320" s="72"/>
      <c r="F320" s="72"/>
      <c r="G320" s="72"/>
      <c r="H320" s="1916" t="s">
        <v>2507</v>
      </c>
      <c r="I320" s="2023"/>
      <c r="J320" s="2023"/>
      <c r="K320" s="2023"/>
      <c r="L320" s="2023"/>
      <c r="M320" s="2023"/>
      <c r="N320" s="8" t="s">
        <v>892</v>
      </c>
      <c r="O320" s="8"/>
      <c r="P320" s="2041"/>
      <c r="Q320" s="2041"/>
      <c r="R320" s="2041"/>
      <c r="S320" s="72"/>
      <c r="T320" s="72" t="s">
        <v>416</v>
      </c>
      <c r="U320" s="16"/>
      <c r="V320" s="72"/>
      <c r="W320" s="72"/>
      <c r="X320" s="72"/>
      <c r="Y320" s="72"/>
      <c r="Z320" s="16"/>
      <c r="AA320" s="2023"/>
      <c r="AB320" s="2023"/>
      <c r="AC320" s="2023"/>
      <c r="AD320" s="2023"/>
      <c r="AE320" s="2023"/>
      <c r="AF320" s="2023"/>
      <c r="AG320" s="8" t="s">
        <v>892</v>
      </c>
      <c r="AH320" s="8"/>
      <c r="AI320" s="2041"/>
      <c r="AJ320" s="2041"/>
      <c r="AK320" s="2041"/>
      <c r="AL320" s="25"/>
      <c r="AM320" s="137"/>
      <c r="AN320" s="439"/>
    </row>
    <row r="321" spans="1:76" s="46" customFormat="1" ht="12.75" customHeight="1">
      <c r="A321" s="153"/>
      <c r="B321" s="72" t="s">
        <v>99</v>
      </c>
      <c r="C321" s="72"/>
      <c r="D321" s="72"/>
      <c r="E321" s="72"/>
      <c r="F321" s="72"/>
      <c r="G321" s="72"/>
      <c r="H321" s="1825" t="s">
        <v>385</v>
      </c>
      <c r="I321" s="1825"/>
      <c r="J321" s="1825"/>
      <c r="K321" s="1825"/>
      <c r="L321" s="1825"/>
      <c r="M321" s="1825"/>
      <c r="N321" s="1825"/>
      <c r="O321" s="1825"/>
      <c r="P321" s="1825"/>
      <c r="Q321" s="1825"/>
      <c r="R321" s="1825"/>
      <c r="S321" s="72"/>
      <c r="T321" s="72" t="s">
        <v>99</v>
      </c>
      <c r="U321" s="16"/>
      <c r="V321" s="72"/>
      <c r="W321" s="72"/>
      <c r="X321" s="72"/>
      <c r="Y321" s="72"/>
      <c r="Z321" s="16"/>
      <c r="AA321" s="1825"/>
      <c r="AB321" s="1825"/>
      <c r="AC321" s="1825"/>
      <c r="AD321" s="1825"/>
      <c r="AE321" s="1825"/>
      <c r="AF321" s="1825"/>
      <c r="AG321" s="1825"/>
      <c r="AH321" s="1825"/>
      <c r="AI321" s="1825"/>
      <c r="AJ321" s="1825"/>
      <c r="AK321" s="1825"/>
      <c r="AL321" s="25"/>
      <c r="AM321" s="137"/>
      <c r="AN321" s="439"/>
    </row>
    <row r="322" spans="1:76" s="46" customFormat="1" ht="12.75" customHeight="1">
      <c r="A322" s="153"/>
      <c r="B322" s="72" t="s">
        <v>101</v>
      </c>
      <c r="C322" s="72"/>
      <c r="D322" s="72"/>
      <c r="E322" s="72"/>
      <c r="F322" s="72"/>
      <c r="G322" s="72"/>
      <c r="H322" s="1833" t="s">
        <v>2500</v>
      </c>
      <c r="I322" s="1825"/>
      <c r="J322" s="1825"/>
      <c r="K322" s="1825"/>
      <c r="L322" s="1825"/>
      <c r="M322" s="1825"/>
      <c r="N322" s="1825"/>
      <c r="O322" s="1825"/>
      <c r="P322" s="1825"/>
      <c r="Q322" s="1825"/>
      <c r="R322" s="1825"/>
      <c r="S322" s="72"/>
      <c r="T322" s="72" t="s">
        <v>101</v>
      </c>
      <c r="U322" s="16"/>
      <c r="V322" s="72"/>
      <c r="W322" s="72"/>
      <c r="X322" s="72"/>
      <c r="Y322" s="72"/>
      <c r="Z322" s="16"/>
      <c r="AA322" s="1825"/>
      <c r="AB322" s="1825"/>
      <c r="AC322" s="1825"/>
      <c r="AD322" s="1825"/>
      <c r="AE322" s="1825"/>
      <c r="AF322" s="1825"/>
      <c r="AG322" s="1825"/>
      <c r="AH322" s="1825"/>
      <c r="AI322" s="1825"/>
      <c r="AJ322" s="1825"/>
      <c r="AK322" s="1825"/>
      <c r="AL322" s="25"/>
      <c r="AM322" s="137"/>
      <c r="AN322" s="439"/>
    </row>
    <row r="323" spans="1:76" s="46" customFormat="1" ht="12.75" customHeight="1">
      <c r="A323" s="153"/>
      <c r="B323" s="72" t="s">
        <v>112</v>
      </c>
      <c r="C323" s="72"/>
      <c r="D323" s="72"/>
      <c r="E323" s="72"/>
      <c r="F323" s="72"/>
      <c r="G323" s="72"/>
      <c r="H323" s="2336">
        <v>0.77</v>
      </c>
      <c r="I323" s="2336"/>
      <c r="J323" s="2336"/>
      <c r="K323" s="2336"/>
      <c r="L323" s="2336"/>
      <c r="M323" s="2336"/>
      <c r="N323" s="2336"/>
      <c r="O323" s="2336"/>
      <c r="P323" s="2336"/>
      <c r="Q323" s="2336"/>
      <c r="R323" s="2336"/>
      <c r="S323" s="72"/>
      <c r="T323" s="72" t="s">
        <v>112</v>
      </c>
      <c r="U323" s="72"/>
      <c r="V323" s="72"/>
      <c r="W323" s="72"/>
      <c r="X323" s="72"/>
      <c r="Y323" s="72"/>
      <c r="Z323" s="18"/>
      <c r="AA323" s="2336"/>
      <c r="AB323" s="2336"/>
      <c r="AC323" s="2336"/>
      <c r="AD323" s="2336"/>
      <c r="AE323" s="2336"/>
      <c r="AF323" s="2336"/>
      <c r="AG323" s="2336"/>
      <c r="AH323" s="2336"/>
      <c r="AI323" s="2336"/>
      <c r="AJ323" s="2336"/>
      <c r="AK323" s="233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24"/>
      <c r="I325" s="1824"/>
      <c r="J325" s="1824"/>
      <c r="K325" s="1824"/>
      <c r="L325" s="1824"/>
      <c r="M325" s="1824"/>
      <c r="N325" s="1824"/>
      <c r="O325" s="1824"/>
      <c r="P325" s="1824"/>
      <c r="Q325" s="1824"/>
      <c r="R325" s="1824"/>
      <c r="S325" s="16"/>
      <c r="T325" s="72" t="s">
        <v>100</v>
      </c>
      <c r="U325" s="16"/>
      <c r="V325" s="72"/>
      <c r="W325" s="72"/>
      <c r="X325" s="72"/>
      <c r="Y325" s="72"/>
      <c r="Z325" s="16"/>
      <c r="AA325" s="1824"/>
      <c r="AB325" s="1824"/>
      <c r="AC325" s="1824"/>
      <c r="AD325" s="1824"/>
      <c r="AE325" s="1824"/>
      <c r="AF325" s="1824"/>
      <c r="AG325" s="1824"/>
      <c r="AH325" s="1824"/>
      <c r="AI325" s="1824"/>
      <c r="AJ325" s="1824"/>
      <c r="AK325" s="1824"/>
      <c r="AL325" s="327"/>
      <c r="AM325" s="137"/>
      <c r="AN325" s="439"/>
    </row>
    <row r="326" spans="1:76" s="46" customFormat="1" ht="12.75" customHeight="1">
      <c r="A326" s="153"/>
      <c r="B326" s="72" t="s">
        <v>761</v>
      </c>
      <c r="C326" s="72"/>
      <c r="D326" s="72"/>
      <c r="E326" s="72"/>
      <c r="F326" s="72"/>
      <c r="G326" s="16"/>
      <c r="H326" s="1825"/>
      <c r="I326" s="1825"/>
      <c r="J326" s="1825"/>
      <c r="K326" s="1825"/>
      <c r="L326" s="1825"/>
      <c r="M326" s="1825"/>
      <c r="N326" s="1825"/>
      <c r="O326" s="1825"/>
      <c r="P326" s="1825"/>
      <c r="Q326" s="1825"/>
      <c r="R326" s="1825"/>
      <c r="S326" s="16"/>
      <c r="T326" s="72" t="s">
        <v>761</v>
      </c>
      <c r="U326" s="16"/>
      <c r="V326" s="72"/>
      <c r="W326" s="72"/>
      <c r="X326" s="72"/>
      <c r="Y326" s="72"/>
      <c r="Z326" s="16"/>
      <c r="AA326" s="1825"/>
      <c r="AB326" s="1825"/>
      <c r="AC326" s="1825"/>
      <c r="AD326" s="1825"/>
      <c r="AE326" s="1825"/>
      <c r="AF326" s="1825"/>
      <c r="AG326" s="1825"/>
      <c r="AH326" s="1825"/>
      <c r="AI326" s="1825"/>
      <c r="AJ326" s="1825"/>
      <c r="AK326" s="1825"/>
      <c r="AL326" s="327"/>
      <c r="AM326" s="137"/>
      <c r="AN326" s="439"/>
    </row>
    <row r="327" spans="1:76" s="46" customFormat="1" ht="18" customHeight="1">
      <c r="A327" s="153"/>
      <c r="B327" s="72" t="s">
        <v>110</v>
      </c>
      <c r="C327" s="72"/>
      <c r="D327" s="72"/>
      <c r="E327" s="72"/>
      <c r="F327" s="72"/>
      <c r="G327" s="16"/>
      <c r="H327" s="1825"/>
      <c r="I327" s="1825"/>
      <c r="J327" s="1825"/>
      <c r="K327" s="1825"/>
      <c r="L327" s="1825"/>
      <c r="M327" s="1825"/>
      <c r="N327" s="1825"/>
      <c r="O327" s="1825"/>
      <c r="P327" s="1825"/>
      <c r="Q327" s="1825"/>
      <c r="R327" s="1825"/>
      <c r="S327" s="16"/>
      <c r="T327" s="72" t="s">
        <v>110</v>
      </c>
      <c r="U327" s="16"/>
      <c r="V327" s="72"/>
      <c r="W327" s="72"/>
      <c r="X327" s="72"/>
      <c r="Y327" s="72"/>
      <c r="Z327" s="16"/>
      <c r="AA327" s="1825"/>
      <c r="AB327" s="1825"/>
      <c r="AC327" s="1825"/>
      <c r="AD327" s="1825"/>
      <c r="AE327" s="1825"/>
      <c r="AF327" s="1825"/>
      <c r="AG327" s="1825"/>
      <c r="AH327" s="1825"/>
      <c r="AI327" s="1825"/>
      <c r="AJ327" s="1825"/>
      <c r="AK327" s="1825"/>
      <c r="AL327" s="327"/>
      <c r="AM327" s="137"/>
      <c r="AN327" s="439"/>
    </row>
    <row r="328" spans="1:76" s="46" customFormat="1" ht="12.75" customHeight="1">
      <c r="A328" s="153"/>
      <c r="B328" s="72" t="s">
        <v>415</v>
      </c>
      <c r="C328" s="72"/>
      <c r="D328" s="72"/>
      <c r="E328" s="72"/>
      <c r="F328" s="72"/>
      <c r="G328" s="16"/>
      <c r="H328" s="1825"/>
      <c r="I328" s="1825"/>
      <c r="J328" s="1825"/>
      <c r="K328" s="1825"/>
      <c r="L328" s="1825"/>
      <c r="M328" s="1825"/>
      <c r="N328" s="1825"/>
      <c r="O328" s="1825"/>
      <c r="P328" s="1825"/>
      <c r="Q328" s="1825"/>
      <c r="R328" s="1825"/>
      <c r="S328" s="16"/>
      <c r="T328" s="72" t="s">
        <v>415</v>
      </c>
      <c r="U328" s="16"/>
      <c r="V328" s="72"/>
      <c r="W328" s="72"/>
      <c r="X328" s="72"/>
      <c r="Y328" s="72"/>
      <c r="Z328" s="16"/>
      <c r="AA328" s="1825"/>
      <c r="AB328" s="1825"/>
      <c r="AC328" s="1825"/>
      <c r="AD328" s="1825"/>
      <c r="AE328" s="1825"/>
      <c r="AF328" s="1825"/>
      <c r="AG328" s="1825"/>
      <c r="AH328" s="1825"/>
      <c r="AI328" s="1825"/>
      <c r="AJ328" s="1825"/>
      <c r="AK328" s="1825"/>
      <c r="AL328" s="327"/>
      <c r="AM328" s="137"/>
      <c r="AN328" s="439"/>
    </row>
    <row r="329" spans="1:76" s="46" customFormat="1" ht="12.75" customHeight="1">
      <c r="A329" s="153"/>
      <c r="B329" s="72" t="s">
        <v>416</v>
      </c>
      <c r="C329" s="72"/>
      <c r="D329" s="72"/>
      <c r="E329" s="72"/>
      <c r="F329" s="72"/>
      <c r="G329" s="72"/>
      <c r="H329" s="2023"/>
      <c r="I329" s="2023"/>
      <c r="J329" s="2023"/>
      <c r="K329" s="2023"/>
      <c r="L329" s="2023"/>
      <c r="M329" s="2023"/>
      <c r="N329" s="8" t="s">
        <v>892</v>
      </c>
      <c r="O329" s="8"/>
      <c r="P329" s="2041"/>
      <c r="Q329" s="2041"/>
      <c r="R329" s="2041"/>
      <c r="S329" s="72"/>
      <c r="T329" s="72" t="s">
        <v>416</v>
      </c>
      <c r="U329" s="16"/>
      <c r="V329" s="72"/>
      <c r="W329" s="72"/>
      <c r="X329" s="72"/>
      <c r="Y329" s="72"/>
      <c r="Z329" s="16"/>
      <c r="AA329" s="2023"/>
      <c r="AB329" s="2023"/>
      <c r="AC329" s="2023"/>
      <c r="AD329" s="2023"/>
      <c r="AE329" s="2023"/>
      <c r="AF329" s="2023"/>
      <c r="AG329" s="8" t="s">
        <v>892</v>
      </c>
      <c r="AH329" s="8"/>
      <c r="AI329" s="2041"/>
      <c r="AJ329" s="2041"/>
      <c r="AK329" s="2041"/>
      <c r="AL329" s="327"/>
      <c r="AM329" s="137"/>
      <c r="AN329" s="439"/>
    </row>
    <row r="330" spans="1:76" s="137" customFormat="1" ht="12.75" customHeight="1">
      <c r="A330" s="153"/>
      <c r="B330" s="72" t="s">
        <v>99</v>
      </c>
      <c r="C330" s="72"/>
      <c r="D330" s="72"/>
      <c r="E330" s="72"/>
      <c r="F330" s="72"/>
      <c r="G330" s="72"/>
      <c r="H330" s="1825"/>
      <c r="I330" s="1825"/>
      <c r="J330" s="1825"/>
      <c r="K330" s="1825"/>
      <c r="L330" s="1825"/>
      <c r="M330" s="1825"/>
      <c r="N330" s="1825"/>
      <c r="O330" s="1825"/>
      <c r="P330" s="1825"/>
      <c r="Q330" s="1825"/>
      <c r="R330" s="1825"/>
      <c r="S330" s="72"/>
      <c r="T330" s="72" t="s">
        <v>99</v>
      </c>
      <c r="U330" s="16"/>
      <c r="V330" s="72"/>
      <c r="W330" s="72"/>
      <c r="X330" s="72"/>
      <c r="Y330" s="72"/>
      <c r="Z330" s="16"/>
      <c r="AA330" s="1825"/>
      <c r="AB330" s="1825"/>
      <c r="AC330" s="1825"/>
      <c r="AD330" s="1825"/>
      <c r="AE330" s="1825"/>
      <c r="AF330" s="1825"/>
      <c r="AG330" s="1825"/>
      <c r="AH330" s="1825"/>
      <c r="AI330" s="1825"/>
      <c r="AJ330" s="1825"/>
      <c r="AK330" s="1825"/>
      <c r="AL330" s="327"/>
      <c r="AN330" s="1089"/>
    </row>
    <row r="331" spans="1:76" s="46" customFormat="1" ht="12.75" customHeight="1">
      <c r="A331" s="153"/>
      <c r="B331" s="72" t="s">
        <v>101</v>
      </c>
      <c r="C331" s="72"/>
      <c r="D331" s="72"/>
      <c r="E331" s="72"/>
      <c r="F331" s="72"/>
      <c r="G331" s="72"/>
      <c r="H331" s="1825"/>
      <c r="I331" s="1825"/>
      <c r="J331" s="1825"/>
      <c r="K331" s="1825"/>
      <c r="L331" s="1825"/>
      <c r="M331" s="1825"/>
      <c r="N331" s="1825"/>
      <c r="O331" s="1825"/>
      <c r="P331" s="1825"/>
      <c r="Q331" s="1825"/>
      <c r="R331" s="1825"/>
      <c r="S331" s="72"/>
      <c r="T331" s="72" t="s">
        <v>101</v>
      </c>
      <c r="U331" s="16"/>
      <c r="V331" s="72"/>
      <c r="W331" s="72"/>
      <c r="X331" s="72"/>
      <c r="Y331" s="72"/>
      <c r="Z331" s="16"/>
      <c r="AA331" s="1825"/>
      <c r="AB331" s="1825"/>
      <c r="AC331" s="1825"/>
      <c r="AD331" s="1825"/>
      <c r="AE331" s="1825"/>
      <c r="AF331" s="1825"/>
      <c r="AG331" s="1825"/>
      <c r="AH331" s="1825"/>
      <c r="AI331" s="1825"/>
      <c r="AJ331" s="1825"/>
      <c r="AK331" s="1825"/>
      <c r="AL331" s="327"/>
      <c r="AM331" s="137"/>
      <c r="AN331" s="439"/>
    </row>
    <row r="332" spans="1:76" s="46" customFormat="1" ht="12.75" customHeight="1">
      <c r="A332" s="153"/>
      <c r="B332" s="72" t="s">
        <v>112</v>
      </c>
      <c r="C332" s="72"/>
      <c r="D332" s="72"/>
      <c r="E332" s="72"/>
      <c r="F332" s="72"/>
      <c r="G332" s="72"/>
      <c r="H332" s="2336"/>
      <c r="I332" s="2336"/>
      <c r="J332" s="2336"/>
      <c r="K332" s="2336"/>
      <c r="L332" s="2336"/>
      <c r="M332" s="2336"/>
      <c r="N332" s="2336"/>
      <c r="O332" s="2336"/>
      <c r="P332" s="2336"/>
      <c r="Q332" s="2336"/>
      <c r="R332" s="2336"/>
      <c r="S332" s="72"/>
      <c r="T332" s="72" t="s">
        <v>112</v>
      </c>
      <c r="U332" s="72"/>
      <c r="V332" s="72"/>
      <c r="W332" s="72"/>
      <c r="X332" s="72"/>
      <c r="Y332" s="72"/>
      <c r="Z332" s="18"/>
      <c r="AA332" s="2336"/>
      <c r="AB332" s="2336"/>
      <c r="AC332" s="2336"/>
      <c r="AD332" s="2336"/>
      <c r="AE332" s="2336"/>
      <c r="AF332" s="2336"/>
      <c r="AG332" s="2336"/>
      <c r="AH332" s="2336"/>
      <c r="AI332" s="2336"/>
      <c r="AJ332" s="2336"/>
      <c r="AK332" s="233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93" t="s">
        <v>405</v>
      </c>
      <c r="AF335" s="2393"/>
      <c r="AG335" s="2393"/>
      <c r="AH335" s="2393"/>
      <c r="AI335" s="2393"/>
      <c r="AJ335" s="2393"/>
      <c r="AK335" s="2393"/>
      <c r="AL335" s="152"/>
      <c r="AM335" s="1371"/>
      <c r="AN335" s="152"/>
    </row>
    <row r="336" spans="1:76" s="46" customFormat="1" ht="12.75" customHeight="1">
      <c r="A336" s="152"/>
      <c r="B336" s="161"/>
      <c r="C336" s="2386" t="s">
        <v>2017</v>
      </c>
      <c r="D336" s="2386"/>
      <c r="E336" s="2386"/>
      <c r="F336" s="2386"/>
      <c r="G336" s="2386"/>
      <c r="H336" s="2386"/>
      <c r="I336" s="2386"/>
      <c r="J336" s="2386"/>
      <c r="K336" s="2386"/>
      <c r="L336" s="2386"/>
      <c r="M336" s="2386"/>
      <c r="N336" s="2386"/>
      <c r="O336" s="2386"/>
      <c r="P336" s="2386"/>
      <c r="Q336" s="2386"/>
      <c r="R336" s="2386"/>
      <c r="S336" s="2386"/>
      <c r="T336" s="2386"/>
      <c r="U336" s="2386"/>
      <c r="V336" s="2386"/>
      <c r="W336" s="2386"/>
      <c r="X336" s="2386"/>
      <c r="Y336" s="2386"/>
      <c r="Z336" s="2386"/>
      <c r="AA336" s="2386"/>
      <c r="AB336" s="2386"/>
      <c r="AC336" s="2386"/>
      <c r="AD336" s="2386"/>
      <c r="AE336" s="2386"/>
      <c r="AF336" s="2386"/>
      <c r="AG336" s="2386"/>
      <c r="AH336" s="2386"/>
      <c r="AI336" s="2386"/>
      <c r="AJ336" s="2386"/>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86"/>
      <c r="D337" s="2386"/>
      <c r="E337" s="2386"/>
      <c r="F337" s="2386"/>
      <c r="G337" s="2386"/>
      <c r="H337" s="2386"/>
      <c r="I337" s="2386"/>
      <c r="J337" s="2386"/>
      <c r="K337" s="2386"/>
      <c r="L337" s="2386"/>
      <c r="M337" s="2386"/>
      <c r="N337" s="2386"/>
      <c r="O337" s="2386"/>
      <c r="P337" s="2386"/>
      <c r="Q337" s="2386"/>
      <c r="R337" s="2386"/>
      <c r="S337" s="2386"/>
      <c r="T337" s="2386"/>
      <c r="U337" s="2386"/>
      <c r="V337" s="2386"/>
      <c r="W337" s="2386"/>
      <c r="X337" s="2386"/>
      <c r="Y337" s="2386"/>
      <c r="Z337" s="2386"/>
      <c r="AA337" s="2386"/>
      <c r="AB337" s="2386"/>
      <c r="AC337" s="2386"/>
      <c r="AD337" s="2386"/>
      <c r="AE337" s="2386"/>
      <c r="AF337" s="2386"/>
      <c r="AG337" s="2386"/>
      <c r="AH337" s="2386"/>
      <c r="AI337" s="2386"/>
      <c r="AJ337" s="2386"/>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86"/>
      <c r="D338" s="2386"/>
      <c r="E338" s="2386"/>
      <c r="F338" s="2386"/>
      <c r="G338" s="2386"/>
      <c r="H338" s="2386"/>
      <c r="I338" s="2386"/>
      <c r="J338" s="2386"/>
      <c r="K338" s="2386"/>
      <c r="L338" s="2386"/>
      <c r="M338" s="2386"/>
      <c r="N338" s="2386"/>
      <c r="O338" s="2386"/>
      <c r="P338" s="2386"/>
      <c r="Q338" s="2386"/>
      <c r="R338" s="2386"/>
      <c r="S338" s="2386"/>
      <c r="T338" s="2386"/>
      <c r="U338" s="2386"/>
      <c r="V338" s="2386"/>
      <c r="W338" s="2386"/>
      <c r="X338" s="2386"/>
      <c r="Y338" s="2386"/>
      <c r="Z338" s="2386"/>
      <c r="AA338" s="2386"/>
      <c r="AB338" s="2386"/>
      <c r="AC338" s="2386"/>
      <c r="AD338" s="2386"/>
      <c r="AE338" s="2386"/>
      <c r="AF338" s="2386"/>
      <c r="AG338" s="2386"/>
      <c r="AH338" s="2386"/>
      <c r="AI338" s="2386"/>
      <c r="AJ338" s="2386"/>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86"/>
      <c r="D339" s="2386"/>
      <c r="E339" s="2386"/>
      <c r="F339" s="2386"/>
      <c r="G339" s="2386"/>
      <c r="H339" s="2386"/>
      <c r="I339" s="2386"/>
      <c r="J339" s="2386"/>
      <c r="K339" s="2386"/>
      <c r="L339" s="2386"/>
      <c r="M339" s="2386"/>
      <c r="N339" s="2386"/>
      <c r="O339" s="2386"/>
      <c r="P339" s="2386"/>
      <c r="Q339" s="2386"/>
      <c r="R339" s="2386"/>
      <c r="S339" s="2386"/>
      <c r="T339" s="2386"/>
      <c r="U339" s="2386"/>
      <c r="V339" s="2386"/>
      <c r="W339" s="2386"/>
      <c r="X339" s="2386"/>
      <c r="Y339" s="2386"/>
      <c r="Z339" s="2386"/>
      <c r="AA339" s="2386"/>
      <c r="AB339" s="2386"/>
      <c r="AC339" s="2386"/>
      <c r="AD339" s="2386"/>
      <c r="AE339" s="2386"/>
      <c r="AF339" s="2386"/>
      <c r="AG339" s="2386"/>
      <c r="AH339" s="2386"/>
      <c r="AI339" s="2386"/>
      <c r="AJ339" s="2386"/>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86"/>
      <c r="D340" s="2386"/>
      <c r="E340" s="2386"/>
      <c r="F340" s="2386"/>
      <c r="G340" s="2386"/>
      <c r="H340" s="2386"/>
      <c r="I340" s="2386"/>
      <c r="J340" s="2386"/>
      <c r="K340" s="2386"/>
      <c r="L340" s="2386"/>
      <c r="M340" s="2386"/>
      <c r="N340" s="2386"/>
      <c r="O340" s="2386"/>
      <c r="P340" s="2386"/>
      <c r="Q340" s="2386"/>
      <c r="R340" s="2386"/>
      <c r="S340" s="2386"/>
      <c r="T340" s="2386"/>
      <c r="U340" s="2386"/>
      <c r="V340" s="2386"/>
      <c r="W340" s="2386"/>
      <c r="X340" s="2386"/>
      <c r="Y340" s="2386"/>
      <c r="Z340" s="2386"/>
      <c r="AA340" s="2386"/>
      <c r="AB340" s="2386"/>
      <c r="AC340" s="2386"/>
      <c r="AD340" s="2386"/>
      <c r="AE340" s="2386"/>
      <c r="AF340" s="2386"/>
      <c r="AG340" s="2386"/>
      <c r="AH340" s="2386"/>
      <c r="AI340" s="2386"/>
      <c r="AJ340" s="2386"/>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86"/>
      <c r="D341" s="2386"/>
      <c r="E341" s="2386"/>
      <c r="F341" s="2386"/>
      <c r="G341" s="2386"/>
      <c r="H341" s="2386"/>
      <c r="I341" s="2386"/>
      <c r="J341" s="2386"/>
      <c r="K341" s="2386"/>
      <c r="L341" s="2386"/>
      <c r="M341" s="2386"/>
      <c r="N341" s="2386"/>
      <c r="O341" s="2386"/>
      <c r="P341" s="2386"/>
      <c r="Q341" s="2386"/>
      <c r="R341" s="2386"/>
      <c r="S341" s="2386"/>
      <c r="T341" s="2386"/>
      <c r="U341" s="2386"/>
      <c r="V341" s="2386"/>
      <c r="W341" s="2386"/>
      <c r="X341" s="2386"/>
      <c r="Y341" s="2386"/>
      <c r="Z341" s="2386"/>
      <c r="AA341" s="2386"/>
      <c r="AB341" s="2386"/>
      <c r="AC341" s="2386"/>
      <c r="AD341" s="2386"/>
      <c r="AE341" s="2386"/>
      <c r="AF341" s="2386"/>
      <c r="AG341" s="2386"/>
      <c r="AH341" s="2386"/>
      <c r="AI341" s="2386"/>
      <c r="AJ341" s="2386"/>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5" customHeight="1">
      <c r="A342" s="163"/>
      <c r="B342" s="164"/>
      <c r="C342" s="2386"/>
      <c r="D342" s="2386"/>
      <c r="E342" s="2386"/>
      <c r="F342" s="2386"/>
      <c r="G342" s="2386"/>
      <c r="H342" s="2386"/>
      <c r="I342" s="2386"/>
      <c r="J342" s="2386"/>
      <c r="K342" s="2386"/>
      <c r="L342" s="2386"/>
      <c r="M342" s="2386"/>
      <c r="N342" s="2386"/>
      <c r="O342" s="2386"/>
      <c r="P342" s="2386"/>
      <c r="Q342" s="2386"/>
      <c r="R342" s="2386"/>
      <c r="S342" s="2386"/>
      <c r="T342" s="2386"/>
      <c r="U342" s="2386"/>
      <c r="V342" s="2386"/>
      <c r="W342" s="2386"/>
      <c r="X342" s="2386"/>
      <c r="Y342" s="2386"/>
      <c r="Z342" s="2386"/>
      <c r="AA342" s="2386"/>
      <c r="AB342" s="2386"/>
      <c r="AC342" s="2386"/>
      <c r="AD342" s="2386"/>
      <c r="AE342" s="2386"/>
      <c r="AF342" s="2386"/>
      <c r="AG342" s="2386"/>
      <c r="AH342" s="2386"/>
      <c r="AI342" s="2386"/>
      <c r="AJ342" s="2386"/>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5" customHeight="1">
      <c r="A343" s="163"/>
      <c r="B343" s="164"/>
      <c r="C343" s="2386"/>
      <c r="D343" s="2386"/>
      <c r="E343" s="2386"/>
      <c r="F343" s="2386"/>
      <c r="G343" s="2386"/>
      <c r="H343" s="2386"/>
      <c r="I343" s="2386"/>
      <c r="J343" s="2386"/>
      <c r="K343" s="2386"/>
      <c r="L343" s="2386"/>
      <c r="M343" s="2386"/>
      <c r="N343" s="2386"/>
      <c r="O343" s="2386"/>
      <c r="P343" s="2386"/>
      <c r="Q343" s="2386"/>
      <c r="R343" s="2386"/>
      <c r="S343" s="2386"/>
      <c r="T343" s="2386"/>
      <c r="U343" s="2386"/>
      <c r="V343" s="2386"/>
      <c r="W343" s="2386"/>
      <c r="X343" s="2386"/>
      <c r="Y343" s="2386"/>
      <c r="Z343" s="2386"/>
      <c r="AA343" s="2386"/>
      <c r="AB343" s="2386"/>
      <c r="AC343" s="2386"/>
      <c r="AD343" s="2386"/>
      <c r="AE343" s="2386"/>
      <c r="AF343" s="2386"/>
      <c r="AG343" s="2386"/>
      <c r="AH343" s="2386"/>
      <c r="AI343" s="2386"/>
      <c r="AJ343" s="2386"/>
      <c r="AK343" s="163"/>
      <c r="AL343" s="163"/>
      <c r="AM343" s="163"/>
      <c r="AN343" s="439"/>
      <c r="AO343" s="293"/>
    </row>
    <row r="344" spans="1:76" s="46" customFormat="1" ht="12.75" customHeight="1">
      <c r="A344" s="163"/>
      <c r="B344" s="164"/>
      <c r="C344" s="2386" t="s">
        <v>2018</v>
      </c>
      <c r="D344" s="2386"/>
      <c r="E344" s="2386"/>
      <c r="F344" s="2386"/>
      <c r="G344" s="2386"/>
      <c r="H344" s="2386"/>
      <c r="I344" s="2386"/>
      <c r="J344" s="2386"/>
      <c r="K344" s="2386"/>
      <c r="L344" s="2386"/>
      <c r="M344" s="2386"/>
      <c r="N344" s="2386"/>
      <c r="O344" s="2386"/>
      <c r="P344" s="2386"/>
      <c r="Q344" s="2386"/>
      <c r="R344" s="2386"/>
      <c r="S344" s="2386"/>
      <c r="T344" s="2386"/>
      <c r="U344" s="2386"/>
      <c r="V344" s="2386"/>
      <c r="W344" s="2386"/>
      <c r="X344" s="2386"/>
      <c r="Y344" s="2386"/>
      <c r="Z344" s="2386"/>
      <c r="AA344" s="2386"/>
      <c r="AB344" s="2386"/>
      <c r="AC344" s="2386"/>
      <c r="AD344" s="2386"/>
      <c r="AE344" s="2386"/>
      <c r="AF344" s="2386"/>
      <c r="AG344" s="2386"/>
      <c r="AH344" s="2386"/>
      <c r="AI344" s="2386"/>
      <c r="AJ344" s="2386"/>
      <c r="AK344" s="163"/>
      <c r="AL344" s="163"/>
      <c r="AM344" s="163"/>
      <c r="AN344" s="439"/>
    </row>
    <row r="345" spans="1:76" s="46" customFormat="1" ht="12.75" customHeight="1">
      <c r="A345" s="163"/>
      <c r="B345" s="164"/>
      <c r="C345" s="2386"/>
      <c r="D345" s="2386"/>
      <c r="E345" s="2386"/>
      <c r="F345" s="2386"/>
      <c r="G345" s="2386"/>
      <c r="H345" s="2386"/>
      <c r="I345" s="2386"/>
      <c r="J345" s="2386"/>
      <c r="K345" s="2386"/>
      <c r="L345" s="2386"/>
      <c r="M345" s="2386"/>
      <c r="N345" s="2386"/>
      <c r="O345" s="2386"/>
      <c r="P345" s="2386"/>
      <c r="Q345" s="2386"/>
      <c r="R345" s="2386"/>
      <c r="S345" s="2386"/>
      <c r="T345" s="2386"/>
      <c r="U345" s="2386"/>
      <c r="V345" s="2386"/>
      <c r="W345" s="2386"/>
      <c r="X345" s="2386"/>
      <c r="Y345" s="2386"/>
      <c r="Z345" s="2386"/>
      <c r="AA345" s="2386"/>
      <c r="AB345" s="2386"/>
      <c r="AC345" s="2386"/>
      <c r="AD345" s="2386"/>
      <c r="AE345" s="2386"/>
      <c r="AF345" s="2386"/>
      <c r="AG345" s="2386"/>
      <c r="AH345" s="2386"/>
      <c r="AI345" s="2386"/>
      <c r="AJ345" s="2386"/>
      <c r="AK345" s="163"/>
      <c r="AL345" s="163"/>
      <c r="AM345" s="163"/>
      <c r="AN345" s="439"/>
    </row>
    <row r="346" spans="1:76" s="46" customFormat="1" ht="12.75" customHeight="1">
      <c r="A346" s="163"/>
      <c r="B346" s="164"/>
      <c r="C346" s="2386"/>
      <c r="D346" s="2386"/>
      <c r="E346" s="2386"/>
      <c r="F346" s="2386"/>
      <c r="G346" s="2386"/>
      <c r="H346" s="2386"/>
      <c r="I346" s="2386"/>
      <c r="J346" s="2386"/>
      <c r="K346" s="2386"/>
      <c r="L346" s="2386"/>
      <c r="M346" s="2386"/>
      <c r="N346" s="2386"/>
      <c r="O346" s="2386"/>
      <c r="P346" s="2386"/>
      <c r="Q346" s="2386"/>
      <c r="R346" s="2386"/>
      <c r="S346" s="2386"/>
      <c r="T346" s="2386"/>
      <c r="U346" s="2386"/>
      <c r="V346" s="2386"/>
      <c r="W346" s="2386"/>
      <c r="X346" s="2386"/>
      <c r="Y346" s="2386"/>
      <c r="Z346" s="2386"/>
      <c r="AA346" s="2386"/>
      <c r="AB346" s="2386"/>
      <c r="AC346" s="2386"/>
      <c r="AD346" s="2386"/>
      <c r="AE346" s="2386"/>
      <c r="AF346" s="2386"/>
      <c r="AG346" s="2386"/>
      <c r="AH346" s="2386"/>
      <c r="AI346" s="2386"/>
      <c r="AJ346" s="2386"/>
      <c r="AK346" s="163"/>
      <c r="AL346" s="163"/>
      <c r="AM346" s="163"/>
      <c r="AN346" s="439"/>
      <c r="AQ346" s="50"/>
      <c r="AR346" s="137"/>
    </row>
    <row r="347" spans="1:76" s="46" customFormat="1" ht="12.75" customHeight="1">
      <c r="A347" s="163"/>
      <c r="B347" s="144"/>
      <c r="C347" s="2386"/>
      <c r="D347" s="2386"/>
      <c r="E347" s="2386"/>
      <c r="F347" s="2386"/>
      <c r="G347" s="2386"/>
      <c r="H347" s="2386"/>
      <c r="I347" s="2386"/>
      <c r="J347" s="2386"/>
      <c r="K347" s="2386"/>
      <c r="L347" s="2386"/>
      <c r="M347" s="2386"/>
      <c r="N347" s="2386"/>
      <c r="O347" s="2386"/>
      <c r="P347" s="2386"/>
      <c r="Q347" s="2386"/>
      <c r="R347" s="2386"/>
      <c r="S347" s="2386"/>
      <c r="T347" s="2386"/>
      <c r="U347" s="2386"/>
      <c r="V347" s="2386"/>
      <c r="W347" s="2386"/>
      <c r="X347" s="2386"/>
      <c r="Y347" s="2386"/>
      <c r="Z347" s="2386"/>
      <c r="AA347" s="2386"/>
      <c r="AB347" s="2386"/>
      <c r="AC347" s="2386"/>
      <c r="AD347" s="2386"/>
      <c r="AE347" s="2386"/>
      <c r="AF347" s="2386"/>
      <c r="AG347" s="2386"/>
      <c r="AH347" s="2386"/>
      <c r="AI347" s="2386"/>
      <c r="AJ347" s="2386"/>
      <c r="AK347" s="163"/>
      <c r="AL347" s="163"/>
      <c r="AM347" s="163"/>
      <c r="AN347" s="439"/>
      <c r="AQ347" s="50"/>
      <c r="AR347" s="137"/>
    </row>
    <row r="348" spans="1:76" s="46" customFormat="1" ht="12.45" customHeight="1">
      <c r="A348" s="163"/>
      <c r="B348" s="144"/>
      <c r="C348" s="2386"/>
      <c r="D348" s="2386"/>
      <c r="E348" s="2386"/>
      <c r="F348" s="2386"/>
      <c r="G348" s="2386"/>
      <c r="H348" s="2386"/>
      <c r="I348" s="2386"/>
      <c r="J348" s="2386"/>
      <c r="K348" s="2386"/>
      <c r="L348" s="2386"/>
      <c r="M348" s="2386"/>
      <c r="N348" s="2386"/>
      <c r="O348" s="2386"/>
      <c r="P348" s="2386"/>
      <c r="Q348" s="2386"/>
      <c r="R348" s="2386"/>
      <c r="S348" s="2386"/>
      <c r="T348" s="2386"/>
      <c r="U348" s="2386"/>
      <c r="V348" s="2386"/>
      <c r="W348" s="2386"/>
      <c r="X348" s="2386"/>
      <c r="Y348" s="2386"/>
      <c r="Z348" s="2386"/>
      <c r="AA348" s="2386"/>
      <c r="AB348" s="2386"/>
      <c r="AC348" s="2386"/>
      <c r="AD348" s="2386"/>
      <c r="AE348" s="2386"/>
      <c r="AF348" s="2386"/>
      <c r="AG348" s="2386"/>
      <c r="AH348" s="2386"/>
      <c r="AI348" s="2386"/>
      <c r="AJ348" s="2386"/>
      <c r="AK348" s="163"/>
      <c r="AL348" s="163"/>
      <c r="AM348" s="163"/>
      <c r="AN348" s="439"/>
      <c r="AQ348" s="50"/>
      <c r="AR348" s="50"/>
    </row>
    <row r="349" spans="1:76" s="46" customFormat="1" ht="12.75" customHeight="1">
      <c r="A349" s="163"/>
      <c r="B349" s="144"/>
      <c r="C349" s="2386" t="s">
        <v>2019</v>
      </c>
      <c r="D349" s="2386"/>
      <c r="E349" s="2386"/>
      <c r="F349" s="2386"/>
      <c r="G349" s="2386"/>
      <c r="H349" s="2386"/>
      <c r="I349" s="2386"/>
      <c r="J349" s="2386"/>
      <c r="K349" s="2386"/>
      <c r="L349" s="2386"/>
      <c r="M349" s="2386"/>
      <c r="N349" s="2386"/>
      <c r="O349" s="2386"/>
      <c r="P349" s="2386"/>
      <c r="Q349" s="2386"/>
      <c r="R349" s="2386"/>
      <c r="S349" s="2386"/>
      <c r="T349" s="2386"/>
      <c r="U349" s="2386"/>
      <c r="V349" s="2386"/>
      <c r="W349" s="2386"/>
      <c r="X349" s="2386"/>
      <c r="Y349" s="2386"/>
      <c r="Z349" s="2386"/>
      <c r="AA349" s="2386"/>
      <c r="AB349" s="2386"/>
      <c r="AC349" s="2386"/>
      <c r="AD349" s="2386"/>
      <c r="AE349" s="2386"/>
      <c r="AF349" s="2386"/>
      <c r="AG349" s="2386"/>
      <c r="AH349" s="2386"/>
      <c r="AI349" s="2386"/>
      <c r="AJ349" s="2386"/>
      <c r="AK349" s="163"/>
      <c r="AL349" s="163"/>
      <c r="AM349" s="163"/>
      <c r="AN349" s="439"/>
      <c r="AQ349" s="50"/>
      <c r="AR349" s="50"/>
    </row>
    <row r="350" spans="1:76" s="46" customFormat="1" ht="12.75" customHeight="1">
      <c r="A350" s="163"/>
      <c r="B350" s="144"/>
      <c r="C350" s="2386"/>
      <c r="D350" s="2386"/>
      <c r="E350" s="2386"/>
      <c r="F350" s="2386"/>
      <c r="G350" s="2386"/>
      <c r="H350" s="2386"/>
      <c r="I350" s="2386"/>
      <c r="J350" s="2386"/>
      <c r="K350" s="2386"/>
      <c r="L350" s="2386"/>
      <c r="M350" s="2386"/>
      <c r="N350" s="2386"/>
      <c r="O350" s="2386"/>
      <c r="P350" s="2386"/>
      <c r="Q350" s="2386"/>
      <c r="R350" s="2386"/>
      <c r="S350" s="2386"/>
      <c r="T350" s="2386"/>
      <c r="U350" s="2386"/>
      <c r="V350" s="2386"/>
      <c r="W350" s="2386"/>
      <c r="X350" s="2386"/>
      <c r="Y350" s="2386"/>
      <c r="Z350" s="2386"/>
      <c r="AA350" s="2386"/>
      <c r="AB350" s="2386"/>
      <c r="AC350" s="2386"/>
      <c r="AD350" s="2386"/>
      <c r="AE350" s="2386"/>
      <c r="AF350" s="2386"/>
      <c r="AG350" s="2386"/>
      <c r="AH350" s="2386"/>
      <c r="AI350" s="2386"/>
      <c r="AJ350" s="2386"/>
      <c r="AK350" s="163"/>
      <c r="AL350" s="163"/>
      <c r="AM350" s="163"/>
      <c r="AN350" s="439"/>
      <c r="AQ350" s="137"/>
      <c r="AR350" s="50"/>
    </row>
    <row r="351" spans="1:76" s="46" customFormat="1" ht="12.75" customHeight="1">
      <c r="A351" s="163"/>
      <c r="B351" s="144"/>
      <c r="C351" s="2386"/>
      <c r="D351" s="2386"/>
      <c r="E351" s="2386"/>
      <c r="F351" s="2386"/>
      <c r="G351" s="2386"/>
      <c r="H351" s="2386"/>
      <c r="I351" s="2386"/>
      <c r="J351" s="2386"/>
      <c r="K351" s="2386"/>
      <c r="L351" s="2386"/>
      <c r="M351" s="2386"/>
      <c r="N351" s="2386"/>
      <c r="O351" s="2386"/>
      <c r="P351" s="2386"/>
      <c r="Q351" s="2386"/>
      <c r="R351" s="2386"/>
      <c r="S351" s="2386"/>
      <c r="T351" s="2386"/>
      <c r="U351" s="2386"/>
      <c r="V351" s="2386"/>
      <c r="W351" s="2386"/>
      <c r="X351" s="2386"/>
      <c r="Y351" s="2386"/>
      <c r="Z351" s="2386"/>
      <c r="AA351" s="2386"/>
      <c r="AB351" s="2386"/>
      <c r="AC351" s="2386"/>
      <c r="AD351" s="2386"/>
      <c r="AE351" s="2386"/>
      <c r="AF351" s="2386"/>
      <c r="AG351" s="2386"/>
      <c r="AH351" s="2386"/>
      <c r="AI351" s="2386"/>
      <c r="AJ351" s="2386"/>
      <c r="AK351" s="163"/>
      <c r="AL351" s="163"/>
      <c r="AM351" s="163"/>
      <c r="AN351" s="439"/>
      <c r="AQ351" s="137"/>
      <c r="AR351" s="50"/>
    </row>
    <row r="352" spans="1:76" s="46" customFormat="1" ht="12.75" customHeight="1">
      <c r="A352" s="163"/>
      <c r="B352" s="144"/>
      <c r="C352" s="2386" t="s">
        <v>2020</v>
      </c>
      <c r="D352" s="2386"/>
      <c r="E352" s="2386"/>
      <c r="F352" s="2386"/>
      <c r="G352" s="2386"/>
      <c r="H352" s="2386"/>
      <c r="I352" s="2386"/>
      <c r="J352" s="2386"/>
      <c r="K352" s="2386"/>
      <c r="L352" s="2386"/>
      <c r="M352" s="2386"/>
      <c r="N352" s="2386"/>
      <c r="O352" s="2386"/>
      <c r="P352" s="2386"/>
      <c r="Q352" s="2386"/>
      <c r="R352" s="2386"/>
      <c r="S352" s="2386"/>
      <c r="T352" s="2386"/>
      <c r="U352" s="2386"/>
      <c r="V352" s="2386"/>
      <c r="W352" s="2386"/>
      <c r="X352" s="2386"/>
      <c r="Y352" s="2386"/>
      <c r="Z352" s="2386"/>
      <c r="AA352" s="2386"/>
      <c r="AB352" s="2386"/>
      <c r="AC352" s="2386"/>
      <c r="AD352" s="2386"/>
      <c r="AE352" s="2386"/>
      <c r="AF352" s="2386"/>
      <c r="AG352" s="2386"/>
      <c r="AH352" s="2386"/>
      <c r="AI352" s="2386"/>
      <c r="AJ352" s="2386"/>
      <c r="AK352" s="163"/>
      <c r="AL352" s="163"/>
      <c r="AM352" s="163"/>
      <c r="AN352" s="439"/>
      <c r="AQ352" s="50"/>
      <c r="AR352" s="50"/>
    </row>
    <row r="353" spans="1:46" s="46" customFormat="1" ht="12.75" customHeight="1">
      <c r="A353" s="163"/>
      <c r="B353" s="144"/>
      <c r="C353" s="2386"/>
      <c r="D353" s="2386"/>
      <c r="E353" s="2386"/>
      <c r="F353" s="2386"/>
      <c r="G353" s="2386"/>
      <c r="H353" s="2386"/>
      <c r="I353" s="2386"/>
      <c r="J353" s="2386"/>
      <c r="K353" s="2386"/>
      <c r="L353" s="2386"/>
      <c r="M353" s="2386"/>
      <c r="N353" s="2386"/>
      <c r="O353" s="2386"/>
      <c r="P353" s="2386"/>
      <c r="Q353" s="2386"/>
      <c r="R353" s="2386"/>
      <c r="S353" s="2386"/>
      <c r="T353" s="2386"/>
      <c r="U353" s="2386"/>
      <c r="V353" s="2386"/>
      <c r="W353" s="2386"/>
      <c r="X353" s="2386"/>
      <c r="Y353" s="2386"/>
      <c r="Z353" s="2386"/>
      <c r="AA353" s="2386"/>
      <c r="AB353" s="2386"/>
      <c r="AC353" s="2386"/>
      <c r="AD353" s="2386"/>
      <c r="AE353" s="2386"/>
      <c r="AF353" s="2386"/>
      <c r="AG353" s="2386"/>
      <c r="AH353" s="2386"/>
      <c r="AI353" s="2386"/>
      <c r="AJ353" s="2386"/>
      <c r="AK353" s="163"/>
      <c r="AL353" s="163"/>
      <c r="AM353" s="163"/>
      <c r="AN353" s="439"/>
      <c r="AQ353" s="50"/>
      <c r="AR353" s="50"/>
    </row>
    <row r="354" spans="1:46" s="46" customFormat="1" ht="13.2" customHeight="1">
      <c r="A354" s="163"/>
      <c r="B354" s="144"/>
      <c r="C354" s="2386"/>
      <c r="D354" s="2386"/>
      <c r="E354" s="2386"/>
      <c r="F354" s="2386"/>
      <c r="G354" s="2386"/>
      <c r="H354" s="2386"/>
      <c r="I354" s="2386"/>
      <c r="J354" s="2386"/>
      <c r="K354" s="2386"/>
      <c r="L354" s="2386"/>
      <c r="M354" s="2386"/>
      <c r="N354" s="2386"/>
      <c r="O354" s="2386"/>
      <c r="P354" s="2386"/>
      <c r="Q354" s="2386"/>
      <c r="R354" s="2386"/>
      <c r="S354" s="2386"/>
      <c r="T354" s="2386"/>
      <c r="U354" s="2386"/>
      <c r="V354" s="2386"/>
      <c r="W354" s="2386"/>
      <c r="X354" s="2386"/>
      <c r="Y354" s="2386"/>
      <c r="Z354" s="2386"/>
      <c r="AA354" s="2386"/>
      <c r="AB354" s="2386"/>
      <c r="AC354" s="2386"/>
      <c r="AD354" s="2386"/>
      <c r="AE354" s="2386"/>
      <c r="AF354" s="2386"/>
      <c r="AG354" s="2386"/>
      <c r="AH354" s="2386"/>
      <c r="AI354" s="2386"/>
      <c r="AJ354" s="2386"/>
      <c r="AK354" s="163"/>
      <c r="AL354" s="163"/>
      <c r="AM354" s="163"/>
      <c r="AN354" s="439"/>
      <c r="AQ354" s="50"/>
      <c r="AR354" s="50"/>
    </row>
    <row r="355" spans="1:46" s="46" customFormat="1" ht="12.75" customHeight="1">
      <c r="A355" s="163"/>
      <c r="B355" s="144"/>
      <c r="C355" s="2386"/>
      <c r="D355" s="2386"/>
      <c r="E355" s="2386"/>
      <c r="F355" s="2386"/>
      <c r="G355" s="2386"/>
      <c r="H355" s="2386"/>
      <c r="I355" s="2386"/>
      <c r="J355" s="2386"/>
      <c r="K355" s="2386"/>
      <c r="L355" s="2386"/>
      <c r="M355" s="2386"/>
      <c r="N355" s="2386"/>
      <c r="O355" s="2386"/>
      <c r="P355" s="2386"/>
      <c r="Q355" s="2386"/>
      <c r="R355" s="2386"/>
      <c r="S355" s="2386"/>
      <c r="T355" s="2386"/>
      <c r="U355" s="2386"/>
      <c r="V355" s="2386"/>
      <c r="W355" s="2386"/>
      <c r="X355" s="2386"/>
      <c r="Y355" s="2386"/>
      <c r="Z355" s="2386"/>
      <c r="AA355" s="2386"/>
      <c r="AB355" s="2386"/>
      <c r="AC355" s="2386"/>
      <c r="AD355" s="2386"/>
      <c r="AE355" s="2386"/>
      <c r="AF355" s="2386"/>
      <c r="AG355" s="2386"/>
      <c r="AH355" s="2386"/>
      <c r="AI355" s="2386"/>
      <c r="AJ355" s="2386"/>
      <c r="AK355" s="163"/>
      <c r="AL355" s="163"/>
      <c r="AM355" s="163"/>
      <c r="AN355" s="439"/>
      <c r="AO355" s="257"/>
      <c r="AP355" s="257"/>
      <c r="AQ355" s="50"/>
      <c r="AR355" s="137"/>
    </row>
    <row r="356" spans="1:46" s="46" customFormat="1" ht="11.85" customHeight="1">
      <c r="A356" s="163"/>
      <c r="B356" s="144"/>
      <c r="C356" s="2386"/>
      <c r="D356" s="2386"/>
      <c r="E356" s="2386"/>
      <c r="F356" s="2386"/>
      <c r="G356" s="2386"/>
      <c r="H356" s="2386"/>
      <c r="I356" s="2386"/>
      <c r="J356" s="2386"/>
      <c r="K356" s="2386"/>
      <c r="L356" s="2386"/>
      <c r="M356" s="2386"/>
      <c r="N356" s="2386"/>
      <c r="O356" s="2386"/>
      <c r="P356" s="2386"/>
      <c r="Q356" s="2386"/>
      <c r="R356" s="2386"/>
      <c r="S356" s="2386"/>
      <c r="T356" s="2386"/>
      <c r="U356" s="2386"/>
      <c r="V356" s="2386"/>
      <c r="W356" s="2386"/>
      <c r="X356" s="2386"/>
      <c r="Y356" s="2386"/>
      <c r="Z356" s="2386"/>
      <c r="AA356" s="2386"/>
      <c r="AB356" s="2386"/>
      <c r="AC356" s="2386"/>
      <c r="AD356" s="2386"/>
      <c r="AE356" s="2386"/>
      <c r="AF356" s="2386"/>
      <c r="AG356" s="2386"/>
      <c r="AH356" s="2386"/>
      <c r="AI356" s="2386"/>
      <c r="AJ356" s="2386"/>
      <c r="AK356" s="163"/>
      <c r="AL356" s="163"/>
      <c r="AM356" s="163"/>
      <c r="AN356" s="439"/>
      <c r="AO356" s="1118" t="s">
        <v>983</v>
      </c>
      <c r="AP356" s="1119">
        <f>IF(C381="Yes",5,0)</f>
        <v>5</v>
      </c>
      <c r="AQ356" s="137"/>
      <c r="AR356" s="137"/>
      <c r="AS356" s="63" t="s">
        <v>1945</v>
      </c>
    </row>
    <row r="357" spans="1:46" s="46" customFormat="1" ht="12.75" customHeight="1">
      <c r="A357" s="163"/>
      <c r="B357" s="144"/>
      <c r="C357" s="2386"/>
      <c r="D357" s="2386"/>
      <c r="E357" s="2386"/>
      <c r="F357" s="2386"/>
      <c r="G357" s="2386"/>
      <c r="H357" s="2386"/>
      <c r="I357" s="2386"/>
      <c r="J357" s="2386"/>
      <c r="K357" s="2386"/>
      <c r="L357" s="2386"/>
      <c r="M357" s="2386"/>
      <c r="N357" s="2386"/>
      <c r="O357" s="2386"/>
      <c r="P357" s="2386"/>
      <c r="Q357" s="2386"/>
      <c r="R357" s="2386"/>
      <c r="S357" s="2386"/>
      <c r="T357" s="2386"/>
      <c r="U357" s="2386"/>
      <c r="V357" s="2386"/>
      <c r="W357" s="2386"/>
      <c r="X357" s="2386"/>
      <c r="Y357" s="2386"/>
      <c r="Z357" s="2386"/>
      <c r="AA357" s="2386"/>
      <c r="AB357" s="2386"/>
      <c r="AC357" s="2386"/>
      <c r="AD357" s="2386"/>
      <c r="AE357" s="2386"/>
      <c r="AF357" s="2386"/>
      <c r="AG357" s="2386"/>
      <c r="AH357" s="2386"/>
      <c r="AI357" s="2386"/>
      <c r="AJ357" s="2386"/>
      <c r="AK357" s="163"/>
      <c r="AL357" s="163"/>
      <c r="AM357" s="163"/>
      <c r="AN357" s="439"/>
      <c r="AO357" s="1118"/>
      <c r="AP357" s="1119"/>
      <c r="AQ357" s="137"/>
      <c r="AR357" s="137"/>
      <c r="AS357" s="2383">
        <f>IF(AQ370=0,AQ383,AQ370)</f>
        <v>10</v>
      </c>
      <c r="AT357" s="2383"/>
    </row>
    <row r="358" spans="1:46" s="46" customFormat="1" ht="12.75" customHeight="1">
      <c r="A358" s="163"/>
      <c r="B358" s="144"/>
      <c r="C358" s="2386"/>
      <c r="D358" s="2386"/>
      <c r="E358" s="2386"/>
      <c r="F358" s="2386"/>
      <c r="G358" s="2386"/>
      <c r="H358" s="2386"/>
      <c r="I358" s="2386"/>
      <c r="J358" s="2386"/>
      <c r="K358" s="2386"/>
      <c r="L358" s="2386"/>
      <c r="M358" s="2386"/>
      <c r="N358" s="2386"/>
      <c r="O358" s="2386"/>
      <c r="P358" s="2386"/>
      <c r="Q358" s="2386"/>
      <c r="R358" s="2386"/>
      <c r="S358" s="2386"/>
      <c r="T358" s="2386"/>
      <c r="U358" s="2386"/>
      <c r="V358" s="2386"/>
      <c r="W358" s="2386"/>
      <c r="X358" s="2386"/>
      <c r="Y358" s="2386"/>
      <c r="Z358" s="2386"/>
      <c r="AA358" s="2386"/>
      <c r="AB358" s="2386"/>
      <c r="AC358" s="2386"/>
      <c r="AD358" s="2386"/>
      <c r="AE358" s="2386"/>
      <c r="AF358" s="2386"/>
      <c r="AG358" s="2386"/>
      <c r="AH358" s="2386"/>
      <c r="AI358" s="2386"/>
      <c r="AJ358" s="2386"/>
      <c r="AK358" s="163"/>
      <c r="AL358" s="163"/>
      <c r="AM358" s="163"/>
      <c r="AN358" s="439"/>
      <c r="AO358" s="1118" t="s">
        <v>984</v>
      </c>
      <c r="AP358" s="1119">
        <f>IF(C391="Yes",5,0)</f>
        <v>0</v>
      </c>
      <c r="AS358" s="63" t="s">
        <v>1979</v>
      </c>
    </row>
    <row r="359" spans="1:46" s="46" customFormat="1" ht="12.75" customHeight="1">
      <c r="A359" s="163"/>
      <c r="B359" s="144"/>
      <c r="C359" s="2386"/>
      <c r="D359" s="2386"/>
      <c r="E359" s="2386"/>
      <c r="F359" s="2386"/>
      <c r="G359" s="2386"/>
      <c r="H359" s="2386"/>
      <c r="I359" s="2386"/>
      <c r="J359" s="2386"/>
      <c r="K359" s="2386"/>
      <c r="L359" s="2386"/>
      <c r="M359" s="2386"/>
      <c r="N359" s="2386"/>
      <c r="O359" s="2386"/>
      <c r="P359" s="2386"/>
      <c r="Q359" s="2386"/>
      <c r="R359" s="2386"/>
      <c r="S359" s="2386"/>
      <c r="T359" s="2386"/>
      <c r="U359" s="2386"/>
      <c r="V359" s="2386"/>
      <c r="W359" s="2386"/>
      <c r="X359" s="2386"/>
      <c r="Y359" s="2386"/>
      <c r="Z359" s="2386"/>
      <c r="AA359" s="2386"/>
      <c r="AB359" s="2386"/>
      <c r="AC359" s="2386"/>
      <c r="AD359" s="2386"/>
      <c r="AE359" s="2386"/>
      <c r="AF359" s="2386"/>
      <c r="AG359" s="2386"/>
      <c r="AH359" s="2386"/>
      <c r="AI359" s="2386"/>
      <c r="AJ359" s="2386"/>
      <c r="AK359" s="163"/>
      <c r="AL359" s="163"/>
      <c r="AM359" s="163"/>
      <c r="AN359" s="439"/>
      <c r="AO359" s="1118"/>
      <c r="AP359" s="1119"/>
      <c r="AS359" s="2383">
        <f>IF(AND(AQ370&gt;0,AQ383&gt;0),(AQ370+AQ383)/2,0)</f>
        <v>0</v>
      </c>
      <c r="AT359" s="2383"/>
    </row>
    <row r="360" spans="1:46" s="46" customFormat="1" ht="12.75" customHeight="1">
      <c r="A360" s="163"/>
      <c r="B360" s="144"/>
      <c r="C360" s="2386"/>
      <c r="D360" s="2386"/>
      <c r="E360" s="2386"/>
      <c r="F360" s="2386"/>
      <c r="G360" s="2386"/>
      <c r="H360" s="2386"/>
      <c r="I360" s="2386"/>
      <c r="J360" s="2386"/>
      <c r="K360" s="2386"/>
      <c r="L360" s="2386"/>
      <c r="M360" s="2386"/>
      <c r="N360" s="2386"/>
      <c r="O360" s="2386"/>
      <c r="P360" s="2386"/>
      <c r="Q360" s="2386"/>
      <c r="R360" s="2386"/>
      <c r="S360" s="2386"/>
      <c r="T360" s="2386"/>
      <c r="U360" s="2386"/>
      <c r="V360" s="2386"/>
      <c r="W360" s="2386"/>
      <c r="X360" s="2386"/>
      <c r="Y360" s="2386"/>
      <c r="Z360" s="2386"/>
      <c r="AA360" s="2386"/>
      <c r="AB360" s="2386"/>
      <c r="AC360" s="2386"/>
      <c r="AD360" s="2386"/>
      <c r="AE360" s="2386"/>
      <c r="AF360" s="2386"/>
      <c r="AG360" s="2386"/>
      <c r="AH360" s="2386"/>
      <c r="AI360" s="2386"/>
      <c r="AJ360" s="2386"/>
      <c r="AK360" s="163"/>
      <c r="AL360" s="163"/>
      <c r="AM360" s="163"/>
      <c r="AN360" s="439"/>
      <c r="AO360" s="1118" t="s">
        <v>990</v>
      </c>
      <c r="AP360" s="1119">
        <f>IF(C401="Yes",7,0)</f>
        <v>0</v>
      </c>
      <c r="AQ360" s="137"/>
      <c r="AR360" s="137"/>
    </row>
    <row r="361" spans="1:46" s="46" customFormat="1" ht="12.75" customHeight="1">
      <c r="A361" s="163"/>
      <c r="B361" s="144"/>
      <c r="C361" s="2386" t="s">
        <v>2021</v>
      </c>
      <c r="D361" s="2386"/>
      <c r="E361" s="2386"/>
      <c r="F361" s="2386"/>
      <c r="G361" s="2386"/>
      <c r="H361" s="2386"/>
      <c r="I361" s="2386"/>
      <c r="J361" s="2386"/>
      <c r="K361" s="2386"/>
      <c r="L361" s="2386"/>
      <c r="M361" s="2386"/>
      <c r="N361" s="2386"/>
      <c r="O361" s="2386"/>
      <c r="P361" s="2386"/>
      <c r="Q361" s="2386"/>
      <c r="R361" s="2386"/>
      <c r="S361" s="2386"/>
      <c r="T361" s="2386"/>
      <c r="U361" s="2386"/>
      <c r="V361" s="2386"/>
      <c r="W361" s="2386"/>
      <c r="X361" s="2386"/>
      <c r="Y361" s="2386"/>
      <c r="Z361" s="2386"/>
      <c r="AA361" s="2386"/>
      <c r="AB361" s="2386"/>
      <c r="AC361" s="2386"/>
      <c r="AD361" s="2386"/>
      <c r="AE361" s="2386"/>
      <c r="AF361" s="2386"/>
      <c r="AG361" s="2386"/>
      <c r="AH361" s="2386"/>
      <c r="AI361" s="2386"/>
      <c r="AJ361" s="2386"/>
      <c r="AK361" s="163"/>
      <c r="AL361" s="163"/>
      <c r="AM361" s="163"/>
      <c r="AN361" s="439"/>
      <c r="AO361" s="439"/>
      <c r="AP361" s="1119">
        <f>IF(C403="Yes",5,0)</f>
        <v>5</v>
      </c>
    </row>
    <row r="362" spans="1:46" s="46" customFormat="1" ht="12.75" customHeight="1">
      <c r="A362" s="163"/>
      <c r="B362" s="144"/>
      <c r="C362" s="2386"/>
      <c r="D362" s="2386"/>
      <c r="E362" s="2386"/>
      <c r="F362" s="2386"/>
      <c r="G362" s="2386"/>
      <c r="H362" s="2386"/>
      <c r="I362" s="2386"/>
      <c r="J362" s="2386"/>
      <c r="K362" s="2386"/>
      <c r="L362" s="2386"/>
      <c r="M362" s="2386"/>
      <c r="N362" s="2386"/>
      <c r="O362" s="2386"/>
      <c r="P362" s="2386"/>
      <c r="Q362" s="2386"/>
      <c r="R362" s="2386"/>
      <c r="S362" s="2386"/>
      <c r="T362" s="2386"/>
      <c r="U362" s="2386"/>
      <c r="V362" s="2386"/>
      <c r="W362" s="2386"/>
      <c r="X362" s="2386"/>
      <c r="Y362" s="2386"/>
      <c r="Z362" s="2386"/>
      <c r="AA362" s="2386"/>
      <c r="AB362" s="2386"/>
      <c r="AC362" s="2386"/>
      <c r="AD362" s="2386"/>
      <c r="AE362" s="2386"/>
      <c r="AF362" s="2386"/>
      <c r="AG362" s="2386"/>
      <c r="AH362" s="2386"/>
      <c r="AI362" s="2386"/>
      <c r="AJ362" s="2386"/>
      <c r="AK362" s="163"/>
      <c r="AL362" s="163"/>
      <c r="AM362" s="163"/>
      <c r="AN362" s="439"/>
      <c r="AO362" s="439"/>
      <c r="AP362" s="1119"/>
    </row>
    <row r="363" spans="1:46" s="46" customFormat="1" ht="12.75" customHeight="1">
      <c r="A363" s="163"/>
      <c r="B363" s="144"/>
      <c r="C363" s="2386"/>
      <c r="D363" s="2386"/>
      <c r="E363" s="2386"/>
      <c r="F363" s="2386"/>
      <c r="G363" s="2386"/>
      <c r="H363" s="2386"/>
      <c r="I363" s="2386"/>
      <c r="J363" s="2386"/>
      <c r="K363" s="2386"/>
      <c r="L363" s="2386"/>
      <c r="M363" s="2386"/>
      <c r="N363" s="2386"/>
      <c r="O363" s="2386"/>
      <c r="P363" s="2386"/>
      <c r="Q363" s="2386"/>
      <c r="R363" s="2386"/>
      <c r="S363" s="2386"/>
      <c r="T363" s="2386"/>
      <c r="U363" s="2386"/>
      <c r="V363" s="2386"/>
      <c r="W363" s="2386"/>
      <c r="X363" s="2386"/>
      <c r="Y363" s="2386"/>
      <c r="Z363" s="2386"/>
      <c r="AA363" s="2386"/>
      <c r="AB363" s="2386"/>
      <c r="AC363" s="2386"/>
      <c r="AD363" s="2386"/>
      <c r="AE363" s="2386"/>
      <c r="AF363" s="2386"/>
      <c r="AG363" s="2386"/>
      <c r="AH363" s="2386"/>
      <c r="AI363" s="2386"/>
      <c r="AJ363" s="2386"/>
      <c r="AK363" s="163"/>
      <c r="AL363" s="163"/>
      <c r="AM363" s="163"/>
      <c r="AN363" s="439"/>
      <c r="AO363" s="1118" t="s">
        <v>477</v>
      </c>
      <c r="AP363" s="1119">
        <f>IF(C411="Yes",5,0)</f>
        <v>0</v>
      </c>
    </row>
    <row r="364" spans="1:46" s="46" customFormat="1" ht="11.85" customHeight="1">
      <c r="A364" s="163"/>
      <c r="B364" s="144"/>
      <c r="C364" s="2386"/>
      <c r="D364" s="2386"/>
      <c r="E364" s="2386"/>
      <c r="F364" s="2386"/>
      <c r="G364" s="2386"/>
      <c r="H364" s="2386"/>
      <c r="I364" s="2386"/>
      <c r="J364" s="2386"/>
      <c r="K364" s="2386"/>
      <c r="L364" s="2386"/>
      <c r="M364" s="2386"/>
      <c r="N364" s="2386"/>
      <c r="O364" s="2386"/>
      <c r="P364" s="2386"/>
      <c r="Q364" s="2386"/>
      <c r="R364" s="2386"/>
      <c r="S364" s="2386"/>
      <c r="T364" s="2386"/>
      <c r="U364" s="2386"/>
      <c r="V364" s="2386"/>
      <c r="W364" s="2386"/>
      <c r="X364" s="2386"/>
      <c r="Y364" s="2386"/>
      <c r="Z364" s="2386"/>
      <c r="AA364" s="2386"/>
      <c r="AB364" s="2386"/>
      <c r="AC364" s="2386"/>
      <c r="AD364" s="2386"/>
      <c r="AE364" s="2386"/>
      <c r="AF364" s="2386"/>
      <c r="AG364" s="2386"/>
      <c r="AH364" s="2386"/>
      <c r="AI364" s="2386"/>
      <c r="AJ364" s="2386"/>
      <c r="AK364" s="163"/>
      <c r="AL364" s="163"/>
      <c r="AM364" s="163"/>
      <c r="AN364" s="439"/>
      <c r="AO364" s="439"/>
      <c r="AP364" s="1119">
        <f>IF(C413="Yes",3,0)</f>
        <v>0</v>
      </c>
    </row>
    <row r="365" spans="1:46" s="46" customFormat="1" ht="12.45" customHeight="1">
      <c r="A365" s="163"/>
      <c r="B365" s="144"/>
      <c r="C365" s="2386"/>
      <c r="D365" s="2386"/>
      <c r="E365" s="2386"/>
      <c r="F365" s="2386"/>
      <c r="G365" s="2386"/>
      <c r="H365" s="2386"/>
      <c r="I365" s="2386"/>
      <c r="J365" s="2386"/>
      <c r="K365" s="2386"/>
      <c r="L365" s="2386"/>
      <c r="M365" s="2386"/>
      <c r="N365" s="2386"/>
      <c r="O365" s="2386"/>
      <c r="P365" s="2386"/>
      <c r="Q365" s="2386"/>
      <c r="R365" s="2386"/>
      <c r="S365" s="2386"/>
      <c r="T365" s="2386"/>
      <c r="U365" s="2386"/>
      <c r="V365" s="2386"/>
      <c r="W365" s="2386"/>
      <c r="X365" s="2386"/>
      <c r="Y365" s="2386"/>
      <c r="Z365" s="2386"/>
      <c r="AA365" s="2386"/>
      <c r="AB365" s="2386"/>
      <c r="AC365" s="2386"/>
      <c r="AD365" s="2386"/>
      <c r="AE365" s="2386"/>
      <c r="AF365" s="2386"/>
      <c r="AG365" s="2386"/>
      <c r="AH365" s="2386"/>
      <c r="AI365" s="2386"/>
      <c r="AJ365" s="2386"/>
      <c r="AK365" s="163"/>
      <c r="AL365" s="163"/>
      <c r="AM365" s="163"/>
      <c r="AN365" s="439"/>
      <c r="AO365" s="439"/>
      <c r="AP365" s="1119"/>
    </row>
    <row r="366" spans="1:46" s="46" customFormat="1" ht="12.75" customHeight="1">
      <c r="A366" s="163"/>
      <c r="B366" s="144"/>
      <c r="C366" s="2386"/>
      <c r="D366" s="2386"/>
      <c r="E366" s="2386"/>
      <c r="F366" s="2386"/>
      <c r="G366" s="2386"/>
      <c r="H366" s="2386"/>
      <c r="I366" s="2386"/>
      <c r="J366" s="2386"/>
      <c r="K366" s="2386"/>
      <c r="L366" s="2386"/>
      <c r="M366" s="2386"/>
      <c r="N366" s="2386"/>
      <c r="O366" s="2386"/>
      <c r="P366" s="2386"/>
      <c r="Q366" s="2386"/>
      <c r="R366" s="2386"/>
      <c r="S366" s="2386"/>
      <c r="T366" s="2386"/>
      <c r="U366" s="2386"/>
      <c r="V366" s="2386"/>
      <c r="W366" s="2386"/>
      <c r="X366" s="2386"/>
      <c r="Y366" s="2386"/>
      <c r="Z366" s="2386"/>
      <c r="AA366" s="2386"/>
      <c r="AB366" s="2386"/>
      <c r="AC366" s="2386"/>
      <c r="AD366" s="2386"/>
      <c r="AE366" s="2386"/>
      <c r="AF366" s="2386"/>
      <c r="AG366" s="2386"/>
      <c r="AH366" s="2386"/>
      <c r="AI366" s="2386"/>
      <c r="AJ366" s="2386"/>
      <c r="AK366" s="163"/>
      <c r="AL366" s="163"/>
      <c r="AM366" s="163"/>
      <c r="AN366" s="439"/>
      <c r="AO366" s="1118" t="s">
        <v>187</v>
      </c>
      <c r="AP366" s="1119">
        <f>IF(C416="Yes",5,0)</f>
        <v>0</v>
      </c>
    </row>
    <row r="367" spans="1:46" s="46" customFormat="1" ht="12.75" customHeight="1">
      <c r="A367" s="163"/>
      <c r="B367" s="144"/>
      <c r="C367" s="2386"/>
      <c r="D367" s="2386"/>
      <c r="E367" s="2386"/>
      <c r="F367" s="2386"/>
      <c r="G367" s="2386"/>
      <c r="H367" s="2386"/>
      <c r="I367" s="2386"/>
      <c r="J367" s="2386"/>
      <c r="K367" s="2386"/>
      <c r="L367" s="2386"/>
      <c r="M367" s="2386"/>
      <c r="N367" s="2386"/>
      <c r="O367" s="2386"/>
      <c r="P367" s="2386"/>
      <c r="Q367" s="2386"/>
      <c r="R367" s="2386"/>
      <c r="S367" s="2386"/>
      <c r="T367" s="2386"/>
      <c r="U367" s="2386"/>
      <c r="V367" s="2386"/>
      <c r="W367" s="2386"/>
      <c r="X367" s="2386"/>
      <c r="Y367" s="2386"/>
      <c r="Z367" s="2386"/>
      <c r="AA367" s="2386"/>
      <c r="AB367" s="2386"/>
      <c r="AC367" s="2386"/>
      <c r="AD367" s="2386"/>
      <c r="AE367" s="2386"/>
      <c r="AF367" s="2386"/>
      <c r="AG367" s="2386"/>
      <c r="AH367" s="2386"/>
      <c r="AI367" s="2386"/>
      <c r="AJ367" s="2386"/>
      <c r="AK367" s="163"/>
      <c r="AL367" s="163"/>
      <c r="AM367" s="163"/>
      <c r="AN367" s="439"/>
      <c r="AO367" s="1118" t="s">
        <v>480</v>
      </c>
      <c r="AP367" s="1119">
        <f>IF(C425="Yes",5,0)</f>
        <v>0</v>
      </c>
    </row>
    <row r="368" spans="1:46" s="46" customFormat="1" ht="12.75" customHeight="1">
      <c r="A368" s="163"/>
      <c r="B368" s="144"/>
      <c r="C368" s="2386" t="s">
        <v>2022</v>
      </c>
      <c r="D368" s="2386"/>
      <c r="E368" s="2386"/>
      <c r="F368" s="2386"/>
      <c r="G368" s="2386"/>
      <c r="H368" s="2386"/>
      <c r="I368" s="2386"/>
      <c r="J368" s="2386"/>
      <c r="K368" s="2386"/>
      <c r="L368" s="2386"/>
      <c r="M368" s="2386"/>
      <c r="N368" s="2386"/>
      <c r="O368" s="2386"/>
      <c r="P368" s="2386"/>
      <c r="Q368" s="2386"/>
      <c r="R368" s="2386"/>
      <c r="S368" s="2386"/>
      <c r="T368" s="2386"/>
      <c r="U368" s="2386"/>
      <c r="V368" s="2386"/>
      <c r="W368" s="2386"/>
      <c r="X368" s="2386"/>
      <c r="Y368" s="2386"/>
      <c r="Z368" s="2386"/>
      <c r="AA368" s="2386"/>
      <c r="AB368" s="2386"/>
      <c r="AC368" s="2386"/>
      <c r="AD368" s="2386"/>
      <c r="AE368" s="2386"/>
      <c r="AF368" s="2386"/>
      <c r="AG368" s="2386"/>
      <c r="AH368" s="2386"/>
      <c r="AI368" s="2386"/>
      <c r="AJ368" s="2386"/>
      <c r="AK368" s="163"/>
      <c r="AL368" s="163"/>
      <c r="AM368" s="163"/>
      <c r="AN368" s="439"/>
      <c r="AO368" s="439"/>
      <c r="AP368" s="1119">
        <f>IF(C427="Yes",3,0)</f>
        <v>0</v>
      </c>
    </row>
    <row r="369" spans="1:153" s="46" customFormat="1" ht="12.75" customHeight="1">
      <c r="A369" s="163"/>
      <c r="B369" s="144"/>
      <c r="C369" s="2386"/>
      <c r="D369" s="2386"/>
      <c r="E369" s="2386"/>
      <c r="F369" s="2386"/>
      <c r="G369" s="2386"/>
      <c r="H369" s="2386"/>
      <c r="I369" s="2386"/>
      <c r="J369" s="2386"/>
      <c r="K369" s="2386"/>
      <c r="L369" s="2386"/>
      <c r="M369" s="2386"/>
      <c r="N369" s="2386"/>
      <c r="O369" s="2386"/>
      <c r="P369" s="2386"/>
      <c r="Q369" s="2386"/>
      <c r="R369" s="2386"/>
      <c r="S369" s="2386"/>
      <c r="T369" s="2386"/>
      <c r="U369" s="2386"/>
      <c r="V369" s="2386"/>
      <c r="W369" s="2386"/>
      <c r="X369" s="2386"/>
      <c r="Y369" s="2386"/>
      <c r="Z369" s="2386"/>
      <c r="AA369" s="2386"/>
      <c r="AB369" s="2386"/>
      <c r="AC369" s="2386"/>
      <c r="AD369" s="2386"/>
      <c r="AE369" s="2386"/>
      <c r="AF369" s="2386"/>
      <c r="AG369" s="2386"/>
      <c r="AH369" s="2386"/>
      <c r="AI369" s="2386"/>
      <c r="AJ369" s="2386"/>
      <c r="AK369" s="163"/>
      <c r="AL369" s="163"/>
      <c r="AM369" s="163"/>
      <c r="AN369" s="439"/>
      <c r="AO369" s="1120"/>
      <c r="AP369" s="1121"/>
    </row>
    <row r="370" spans="1:153" s="46" customFormat="1" ht="68.099999999999994" customHeight="1">
      <c r="A370" s="163"/>
      <c r="B370" s="144"/>
      <c r="C370" s="2386"/>
      <c r="D370" s="2386"/>
      <c r="E370" s="2386"/>
      <c r="F370" s="2386"/>
      <c r="G370" s="2386"/>
      <c r="H370" s="2386"/>
      <c r="I370" s="2386"/>
      <c r="J370" s="2386"/>
      <c r="K370" s="2386"/>
      <c r="L370" s="2386"/>
      <c r="M370" s="2386"/>
      <c r="N370" s="2386"/>
      <c r="O370" s="2386"/>
      <c r="P370" s="2386"/>
      <c r="Q370" s="2386"/>
      <c r="R370" s="2386"/>
      <c r="S370" s="2386"/>
      <c r="T370" s="2386"/>
      <c r="U370" s="2386"/>
      <c r="V370" s="2386"/>
      <c r="W370" s="2386"/>
      <c r="X370" s="2386"/>
      <c r="Y370" s="2386"/>
      <c r="Z370" s="2386"/>
      <c r="AA370" s="2386"/>
      <c r="AB370" s="2386"/>
      <c r="AC370" s="2386"/>
      <c r="AD370" s="2386"/>
      <c r="AE370" s="2386"/>
      <c r="AF370" s="2386"/>
      <c r="AG370" s="2386"/>
      <c r="AH370" s="2386"/>
      <c r="AI370" s="2386"/>
      <c r="AJ370" s="2386"/>
      <c r="AK370" s="163"/>
      <c r="AL370" s="163"/>
      <c r="AM370" s="163"/>
      <c r="AN370" s="439"/>
      <c r="AO370" s="1122" t="s">
        <v>672</v>
      </c>
      <c r="AP370" s="1123">
        <f>SUM(AP356:AP369)</f>
        <v>10</v>
      </c>
      <c r="AQ370" s="2563">
        <f>IF(AP370&gt;0,AP370,0)</f>
        <v>10</v>
      </c>
      <c r="AR370" s="2563"/>
    </row>
    <row r="371" spans="1:153" s="46" customFormat="1" ht="12.45" customHeight="1">
      <c r="A371" s="163"/>
      <c r="B371" s="144"/>
      <c r="C371" s="435" t="s">
        <v>1627</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2135</v>
      </c>
      <c r="D372" s="1125"/>
      <c r="E372" s="1125"/>
      <c r="F372" s="1125"/>
      <c r="G372" s="1125"/>
      <c r="H372" s="1125"/>
      <c r="I372" s="1125"/>
      <c r="J372" s="1125"/>
      <c r="K372" s="1125"/>
      <c r="L372" s="1125"/>
      <c r="M372" s="342"/>
      <c r="N372" s="342"/>
      <c r="O372" s="1126"/>
      <c r="P372" s="1125"/>
      <c r="Q372" s="1125"/>
      <c r="R372" s="342"/>
      <c r="S372" s="342"/>
      <c r="T372" s="1125"/>
      <c r="U372" s="2568">
        <f>Application!CQ650-U373</f>
        <v>166</v>
      </c>
      <c r="V372" s="2568"/>
      <c r="W372" s="2568"/>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1944</v>
      </c>
      <c r="D373" s="1128"/>
      <c r="E373" s="1128"/>
      <c r="F373" s="1128"/>
      <c r="G373" s="1128"/>
      <c r="H373" s="1128"/>
      <c r="I373" s="1128"/>
      <c r="J373" s="1128"/>
      <c r="K373" s="1128"/>
      <c r="L373" s="1128"/>
      <c r="M373" s="257"/>
      <c r="N373" s="257"/>
      <c r="O373" s="1128"/>
      <c r="P373" s="1128"/>
      <c r="Q373" s="1128"/>
      <c r="R373" s="1128"/>
      <c r="S373" s="1128"/>
      <c r="T373" s="1128"/>
      <c r="U373" s="2569">
        <f>Application!AG734</f>
        <v>0</v>
      </c>
      <c r="V373" s="2569"/>
      <c r="W373" s="2569"/>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56" t="s">
        <v>1954</v>
      </c>
      <c r="G377" s="2356"/>
      <c r="H377" s="2356"/>
      <c r="I377" s="2356"/>
      <c r="J377" s="2356"/>
      <c r="K377" s="2356"/>
      <c r="L377" s="2356"/>
      <c r="M377" s="2356"/>
      <c r="N377" s="2356"/>
      <c r="O377" s="2356"/>
      <c r="P377" s="2356"/>
      <c r="Q377" s="2356"/>
      <c r="R377" s="2356"/>
      <c r="S377" s="2356"/>
      <c r="T377" s="2356"/>
      <c r="U377" s="2356"/>
      <c r="V377" s="2356"/>
      <c r="W377" s="2356"/>
      <c r="X377" s="2356"/>
      <c r="Y377" s="2356"/>
      <c r="Z377" s="2356"/>
      <c r="AA377" s="2356"/>
      <c r="AB377" s="2356"/>
      <c r="AC377" s="2356"/>
      <c r="AD377" s="2356"/>
      <c r="AE377" s="2356"/>
      <c r="AF377" s="2356"/>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57"/>
      <c r="G378" s="2357"/>
      <c r="H378" s="2357"/>
      <c r="I378" s="2357"/>
      <c r="J378" s="2357"/>
      <c r="K378" s="2357"/>
      <c r="L378" s="2357"/>
      <c r="M378" s="2357"/>
      <c r="N378" s="2357"/>
      <c r="O378" s="2357"/>
      <c r="P378" s="2357"/>
      <c r="Q378" s="2357"/>
      <c r="R378" s="2357"/>
      <c r="S378" s="2357"/>
      <c r="T378" s="2357"/>
      <c r="U378" s="2357"/>
      <c r="V378" s="2357"/>
      <c r="W378" s="2357"/>
      <c r="X378" s="2357"/>
      <c r="Y378" s="2357"/>
      <c r="Z378" s="2357"/>
      <c r="AA378" s="2357"/>
      <c r="AB378" s="2357"/>
      <c r="AC378" s="2357"/>
      <c r="AD378" s="2357"/>
      <c r="AE378" s="2357"/>
      <c r="AF378" s="2357"/>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57"/>
      <c r="G379" s="2357"/>
      <c r="H379" s="2357"/>
      <c r="I379" s="2357"/>
      <c r="J379" s="2357"/>
      <c r="K379" s="2357"/>
      <c r="L379" s="2357"/>
      <c r="M379" s="2357"/>
      <c r="N379" s="2357"/>
      <c r="O379" s="2357"/>
      <c r="P379" s="2357"/>
      <c r="Q379" s="2357"/>
      <c r="R379" s="2357"/>
      <c r="S379" s="2357"/>
      <c r="T379" s="2357"/>
      <c r="U379" s="2357"/>
      <c r="V379" s="2357"/>
      <c r="W379" s="2357"/>
      <c r="X379" s="2357"/>
      <c r="Y379" s="2357"/>
      <c r="Z379" s="2357"/>
      <c r="AA379" s="2357"/>
      <c r="AB379" s="2357"/>
      <c r="AC379" s="2357"/>
      <c r="AD379" s="2357"/>
      <c r="AE379" s="2357"/>
      <c r="AF379" s="2357"/>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57"/>
      <c r="G380" s="2357"/>
      <c r="H380" s="2357"/>
      <c r="I380" s="2357"/>
      <c r="J380" s="2357"/>
      <c r="K380" s="2357"/>
      <c r="L380" s="2357"/>
      <c r="M380" s="2357"/>
      <c r="N380" s="2357"/>
      <c r="O380" s="2357"/>
      <c r="P380" s="2357"/>
      <c r="Q380" s="2357"/>
      <c r="R380" s="2357"/>
      <c r="S380" s="2357"/>
      <c r="T380" s="2357"/>
      <c r="U380" s="2357"/>
      <c r="V380" s="2357"/>
      <c r="W380" s="2357"/>
      <c r="X380" s="2357"/>
      <c r="Y380" s="2357"/>
      <c r="Z380" s="2357"/>
      <c r="AA380" s="2357"/>
      <c r="AB380" s="2357"/>
      <c r="AC380" s="2357"/>
      <c r="AD380" s="2357"/>
      <c r="AE380" s="2357"/>
      <c r="AF380" s="2357"/>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1" t="s">
        <v>119</v>
      </c>
      <c r="D381" s="1826"/>
      <c r="E381" s="350"/>
      <c r="F381" s="1133" t="s">
        <v>1946</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39" t="s">
        <v>354</v>
      </c>
      <c r="AG381" s="2339"/>
      <c r="AH381" s="2339"/>
      <c r="AI381" s="2339"/>
      <c r="AJ381" s="2339"/>
      <c r="AK381" s="2339"/>
      <c r="AL381" s="2340"/>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563">
        <f>IF(AP383&gt;0,AP383,0)</f>
        <v>0</v>
      </c>
      <c r="AR383" s="256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56" t="s">
        <v>1953</v>
      </c>
      <c r="G386" s="2356"/>
      <c r="H386" s="2356"/>
      <c r="I386" s="2356"/>
      <c r="J386" s="2356"/>
      <c r="K386" s="2356"/>
      <c r="L386" s="2356"/>
      <c r="M386" s="2356"/>
      <c r="N386" s="2356"/>
      <c r="O386" s="2356"/>
      <c r="P386" s="2356"/>
      <c r="Q386" s="2356"/>
      <c r="R386" s="2356"/>
      <c r="S386" s="2356"/>
      <c r="T386" s="2356"/>
      <c r="U386" s="2356"/>
      <c r="V386" s="2356"/>
      <c r="W386" s="2356"/>
      <c r="X386" s="2356"/>
      <c r="Y386" s="2356"/>
      <c r="Z386" s="2356"/>
      <c r="AA386" s="2356"/>
      <c r="AB386" s="2356"/>
      <c r="AC386" s="2356"/>
      <c r="AD386" s="2356"/>
      <c r="AE386" s="2356"/>
      <c r="AF386" s="2356"/>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57"/>
      <c r="G387" s="2357"/>
      <c r="H387" s="2357"/>
      <c r="I387" s="2357"/>
      <c r="J387" s="2357"/>
      <c r="K387" s="2357"/>
      <c r="L387" s="2357"/>
      <c r="M387" s="2357"/>
      <c r="N387" s="2357"/>
      <c r="O387" s="2357"/>
      <c r="P387" s="2357"/>
      <c r="Q387" s="2357"/>
      <c r="R387" s="2357"/>
      <c r="S387" s="2357"/>
      <c r="T387" s="2357"/>
      <c r="U387" s="2357"/>
      <c r="V387" s="2357"/>
      <c r="W387" s="2357"/>
      <c r="X387" s="2357"/>
      <c r="Y387" s="2357"/>
      <c r="Z387" s="2357"/>
      <c r="AA387" s="2357"/>
      <c r="AB387" s="2357"/>
      <c r="AC387" s="2357"/>
      <c r="AD387" s="2357"/>
      <c r="AE387" s="2357"/>
      <c r="AF387" s="2357"/>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57"/>
      <c r="G388" s="2357"/>
      <c r="H388" s="2357"/>
      <c r="I388" s="2357"/>
      <c r="J388" s="2357"/>
      <c r="K388" s="2357"/>
      <c r="L388" s="2357"/>
      <c r="M388" s="2357"/>
      <c r="N388" s="2357"/>
      <c r="O388" s="2357"/>
      <c r="P388" s="2357"/>
      <c r="Q388" s="2357"/>
      <c r="R388" s="2357"/>
      <c r="S388" s="2357"/>
      <c r="T388" s="2357"/>
      <c r="U388" s="2357"/>
      <c r="V388" s="2357"/>
      <c r="W388" s="2357"/>
      <c r="X388" s="2357"/>
      <c r="Y388" s="2357"/>
      <c r="Z388" s="2357"/>
      <c r="AA388" s="2357"/>
      <c r="AB388" s="2357"/>
      <c r="AC388" s="2357"/>
      <c r="AD388" s="2357"/>
      <c r="AE388" s="2357"/>
      <c r="AF388" s="2357"/>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57"/>
      <c r="G389" s="2357"/>
      <c r="H389" s="2357"/>
      <c r="I389" s="2357"/>
      <c r="J389" s="2357"/>
      <c r="K389" s="2357"/>
      <c r="L389" s="2357"/>
      <c r="M389" s="2357"/>
      <c r="N389" s="2357"/>
      <c r="O389" s="2357"/>
      <c r="P389" s="2357"/>
      <c r="Q389" s="2357"/>
      <c r="R389" s="2357"/>
      <c r="S389" s="2357"/>
      <c r="T389" s="2357"/>
      <c r="U389" s="2357"/>
      <c r="V389" s="2357"/>
      <c r="W389" s="2357"/>
      <c r="X389" s="2357"/>
      <c r="Y389" s="2357"/>
      <c r="Z389" s="2357"/>
      <c r="AA389" s="2357"/>
      <c r="AB389" s="2357"/>
      <c r="AC389" s="2357"/>
      <c r="AD389" s="2357"/>
      <c r="AE389" s="2357"/>
      <c r="AF389" s="2357"/>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57"/>
      <c r="G390" s="2357"/>
      <c r="H390" s="2357"/>
      <c r="I390" s="2357"/>
      <c r="J390" s="2357"/>
      <c r="K390" s="2357"/>
      <c r="L390" s="2357"/>
      <c r="M390" s="2357"/>
      <c r="N390" s="2357"/>
      <c r="O390" s="2357"/>
      <c r="P390" s="2357"/>
      <c r="Q390" s="2357"/>
      <c r="R390" s="2357"/>
      <c r="S390" s="2357"/>
      <c r="T390" s="2357"/>
      <c r="U390" s="2357"/>
      <c r="V390" s="2357"/>
      <c r="W390" s="2357"/>
      <c r="X390" s="2357"/>
      <c r="Y390" s="2357"/>
      <c r="Z390" s="2357"/>
      <c r="AA390" s="2357"/>
      <c r="AB390" s="2357"/>
      <c r="AC390" s="2357"/>
      <c r="AD390" s="2357"/>
      <c r="AE390" s="2357"/>
      <c r="AF390" s="2357"/>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1" t="s">
        <v>135</v>
      </c>
      <c r="D391" s="1826"/>
      <c r="E391" s="306"/>
      <c r="F391" s="1133" t="s">
        <v>1947</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39" t="s">
        <v>354</v>
      </c>
      <c r="AG391" s="2339"/>
      <c r="AH391" s="2339"/>
      <c r="AI391" s="2339"/>
      <c r="AJ391" s="2339"/>
      <c r="AK391" s="2339"/>
      <c r="AL391" s="2340"/>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53"/>
      <c r="D393" s="2153"/>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12"/>
      <c r="AG393" s="2312"/>
      <c r="AH393" s="2312"/>
      <c r="AI393" s="2312"/>
      <c r="AJ393" s="2312"/>
      <c r="AK393" s="2312"/>
      <c r="AL393" s="2312"/>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384" t="s">
        <v>2155</v>
      </c>
      <c r="G396" s="2384"/>
      <c r="H396" s="2384"/>
      <c r="I396" s="2384"/>
      <c r="J396" s="2384"/>
      <c r="K396" s="2384"/>
      <c r="L396" s="2384"/>
      <c r="M396" s="2384"/>
      <c r="N396" s="2384"/>
      <c r="O396" s="2384"/>
      <c r="P396" s="2384"/>
      <c r="Q396" s="2384"/>
      <c r="R396" s="2384"/>
      <c r="S396" s="2384"/>
      <c r="T396" s="2384"/>
      <c r="U396" s="2384"/>
      <c r="V396" s="2384"/>
      <c r="W396" s="2384"/>
      <c r="X396" s="2384"/>
      <c r="Y396" s="2384"/>
      <c r="Z396" s="2384"/>
      <c r="AA396" s="2384"/>
      <c r="AB396" s="2384"/>
      <c r="AC396" s="2384"/>
      <c r="AD396" s="2384"/>
      <c r="AE396" s="2384"/>
      <c r="AF396" s="2384"/>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85"/>
      <c r="G397" s="2385"/>
      <c r="H397" s="2385"/>
      <c r="I397" s="2385"/>
      <c r="J397" s="2385"/>
      <c r="K397" s="2385"/>
      <c r="L397" s="2385"/>
      <c r="M397" s="2385"/>
      <c r="N397" s="2385"/>
      <c r="O397" s="2385"/>
      <c r="P397" s="2385"/>
      <c r="Q397" s="2385"/>
      <c r="R397" s="2385"/>
      <c r="S397" s="2385"/>
      <c r="T397" s="2385"/>
      <c r="U397" s="2385"/>
      <c r="V397" s="2385"/>
      <c r="W397" s="2385"/>
      <c r="X397" s="2385"/>
      <c r="Y397" s="2385"/>
      <c r="Z397" s="2385"/>
      <c r="AA397" s="2385"/>
      <c r="AB397" s="2385"/>
      <c r="AC397" s="2385"/>
      <c r="AD397" s="2385"/>
      <c r="AE397" s="2385"/>
      <c r="AF397" s="2385"/>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85"/>
      <c r="G398" s="2385"/>
      <c r="H398" s="2385"/>
      <c r="I398" s="2385"/>
      <c r="J398" s="2385"/>
      <c r="K398" s="2385"/>
      <c r="L398" s="2385"/>
      <c r="M398" s="2385"/>
      <c r="N398" s="2385"/>
      <c r="O398" s="2385"/>
      <c r="P398" s="2385"/>
      <c r="Q398" s="2385"/>
      <c r="R398" s="2385"/>
      <c r="S398" s="2385"/>
      <c r="T398" s="2385"/>
      <c r="U398" s="2385"/>
      <c r="V398" s="2385"/>
      <c r="W398" s="2385"/>
      <c r="X398" s="2385"/>
      <c r="Y398" s="2385"/>
      <c r="Z398" s="2385"/>
      <c r="AA398" s="2385"/>
      <c r="AB398" s="2385"/>
      <c r="AC398" s="2385"/>
      <c r="AD398" s="2385"/>
      <c r="AE398" s="2385"/>
      <c r="AF398" s="2385"/>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85"/>
      <c r="G399" s="2385"/>
      <c r="H399" s="2385"/>
      <c r="I399" s="2385"/>
      <c r="J399" s="2385"/>
      <c r="K399" s="2385"/>
      <c r="L399" s="2385"/>
      <c r="M399" s="2385"/>
      <c r="N399" s="2385"/>
      <c r="O399" s="2385"/>
      <c r="P399" s="2385"/>
      <c r="Q399" s="2385"/>
      <c r="R399" s="2385"/>
      <c r="S399" s="2385"/>
      <c r="T399" s="2385"/>
      <c r="U399" s="2385"/>
      <c r="V399" s="2385"/>
      <c r="W399" s="2385"/>
      <c r="X399" s="2385"/>
      <c r="Y399" s="2385"/>
      <c r="Z399" s="2385"/>
      <c r="AA399" s="2385"/>
      <c r="AB399" s="2385"/>
      <c r="AC399" s="2385"/>
      <c r="AD399" s="2385"/>
      <c r="AE399" s="2385"/>
      <c r="AF399" s="2385"/>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85"/>
      <c r="G400" s="2385"/>
      <c r="H400" s="2385"/>
      <c r="I400" s="2385"/>
      <c r="J400" s="2385"/>
      <c r="K400" s="2385"/>
      <c r="L400" s="2385"/>
      <c r="M400" s="2385"/>
      <c r="N400" s="2385"/>
      <c r="O400" s="2385"/>
      <c r="P400" s="2385"/>
      <c r="Q400" s="2385"/>
      <c r="R400" s="2385"/>
      <c r="S400" s="2385"/>
      <c r="T400" s="2385"/>
      <c r="U400" s="2385"/>
      <c r="V400" s="2385"/>
      <c r="W400" s="2385"/>
      <c r="X400" s="2385"/>
      <c r="Y400" s="2385"/>
      <c r="Z400" s="2385"/>
      <c r="AA400" s="2385"/>
      <c r="AB400" s="2385"/>
      <c r="AC400" s="2385"/>
      <c r="AD400" s="2385"/>
      <c r="AE400" s="2385"/>
      <c r="AF400" s="2385"/>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1" t="s">
        <v>135</v>
      </c>
      <c r="D401" s="1826"/>
      <c r="E401" s="306"/>
      <c r="F401" s="1133" t="s">
        <v>1949</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39" t="s">
        <v>1046</v>
      </c>
      <c r="AG401" s="2339"/>
      <c r="AH401" s="2339"/>
      <c r="AI401" s="2339"/>
      <c r="AJ401" s="2339"/>
      <c r="AK401" s="2339"/>
      <c r="AL401" s="2340"/>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1" t="s">
        <v>119</v>
      </c>
      <c r="D403" s="1826"/>
      <c r="E403" s="306"/>
      <c r="F403" s="1146" t="s">
        <v>1950</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39" t="s">
        <v>354</v>
      </c>
      <c r="AG403" s="2339"/>
      <c r="AH403" s="2339"/>
      <c r="AI403" s="2339"/>
      <c r="AJ403" s="2339"/>
      <c r="AK403" s="2339"/>
      <c r="AL403" s="2340"/>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1948</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56" t="s">
        <v>1952</v>
      </c>
      <c r="G407" s="2356"/>
      <c r="H407" s="2356"/>
      <c r="I407" s="2356"/>
      <c r="J407" s="2356"/>
      <c r="K407" s="2356"/>
      <c r="L407" s="2356"/>
      <c r="M407" s="2356"/>
      <c r="N407" s="2356"/>
      <c r="O407" s="2356"/>
      <c r="P407" s="2356"/>
      <c r="Q407" s="2356"/>
      <c r="R407" s="2356"/>
      <c r="S407" s="2356"/>
      <c r="T407" s="2356"/>
      <c r="U407" s="2356"/>
      <c r="V407" s="2356"/>
      <c r="W407" s="2356"/>
      <c r="X407" s="2356"/>
      <c r="Y407" s="2356"/>
      <c r="Z407" s="2356"/>
      <c r="AA407" s="2356"/>
      <c r="AB407" s="2356"/>
      <c r="AC407" s="2356"/>
      <c r="AD407" s="2356"/>
      <c r="AE407" s="2356"/>
      <c r="AF407" s="2356"/>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57"/>
      <c r="G408" s="2357"/>
      <c r="H408" s="2357"/>
      <c r="I408" s="2357"/>
      <c r="J408" s="2357"/>
      <c r="K408" s="2357"/>
      <c r="L408" s="2357"/>
      <c r="M408" s="2357"/>
      <c r="N408" s="2357"/>
      <c r="O408" s="2357"/>
      <c r="P408" s="2357"/>
      <c r="Q408" s="2357"/>
      <c r="R408" s="2357"/>
      <c r="S408" s="2357"/>
      <c r="T408" s="2357"/>
      <c r="U408" s="2357"/>
      <c r="V408" s="2357"/>
      <c r="W408" s="2357"/>
      <c r="X408" s="2357"/>
      <c r="Y408" s="2357"/>
      <c r="Z408" s="2357"/>
      <c r="AA408" s="2357"/>
      <c r="AB408" s="2357"/>
      <c r="AC408" s="2357"/>
      <c r="AD408" s="2357"/>
      <c r="AE408" s="2357"/>
      <c r="AF408" s="2357"/>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57"/>
      <c r="G409" s="2357"/>
      <c r="H409" s="2357"/>
      <c r="I409" s="2357"/>
      <c r="J409" s="2357"/>
      <c r="K409" s="2357"/>
      <c r="L409" s="2357"/>
      <c r="M409" s="2357"/>
      <c r="N409" s="2357"/>
      <c r="O409" s="2357"/>
      <c r="P409" s="2357"/>
      <c r="Q409" s="2357"/>
      <c r="R409" s="2357"/>
      <c r="S409" s="2357"/>
      <c r="T409" s="2357"/>
      <c r="U409" s="2357"/>
      <c r="V409" s="2357"/>
      <c r="W409" s="2357"/>
      <c r="X409" s="2357"/>
      <c r="Y409" s="2357"/>
      <c r="Z409" s="2357"/>
      <c r="AA409" s="2357"/>
      <c r="AB409" s="2357"/>
      <c r="AC409" s="2357"/>
      <c r="AD409" s="2357"/>
      <c r="AE409" s="2357"/>
      <c r="AF409" s="2357"/>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57"/>
      <c r="G410" s="2357"/>
      <c r="H410" s="2357"/>
      <c r="I410" s="2357"/>
      <c r="J410" s="2357"/>
      <c r="K410" s="2357"/>
      <c r="L410" s="2357"/>
      <c r="M410" s="2357"/>
      <c r="N410" s="2357"/>
      <c r="O410" s="2357"/>
      <c r="P410" s="2357"/>
      <c r="Q410" s="2357"/>
      <c r="R410" s="2357"/>
      <c r="S410" s="2357"/>
      <c r="T410" s="2357"/>
      <c r="U410" s="2357"/>
      <c r="V410" s="2357"/>
      <c r="W410" s="2357"/>
      <c r="X410" s="2357"/>
      <c r="Y410" s="2357"/>
      <c r="Z410" s="2357"/>
      <c r="AA410" s="2357"/>
      <c r="AB410" s="2357"/>
      <c r="AC410" s="2357"/>
      <c r="AD410" s="2357"/>
      <c r="AE410" s="2357"/>
      <c r="AF410" s="2357"/>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1" t="s">
        <v>135</v>
      </c>
      <c r="D411" s="1826"/>
      <c r="E411" s="306"/>
      <c r="F411" s="1133" t="s">
        <v>1951</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39" t="s">
        <v>354</v>
      </c>
      <c r="AG411" s="2339"/>
      <c r="AH411" s="2339"/>
      <c r="AI411" s="2339"/>
      <c r="AJ411" s="2339"/>
      <c r="AK411" s="2339"/>
      <c r="AL411" s="2340"/>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1" t="s">
        <v>135</v>
      </c>
      <c r="D413" s="1826"/>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39" t="s">
        <v>1045</v>
      </c>
      <c r="AG413" s="2339"/>
      <c r="AH413" s="2339"/>
      <c r="AI413" s="2339"/>
      <c r="AJ413" s="2339"/>
      <c r="AK413" s="2339"/>
      <c r="AL413" s="2340"/>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1" t="s">
        <v>135</v>
      </c>
      <c r="D416" s="1826"/>
      <c r="E416" s="1137" t="s">
        <v>209</v>
      </c>
      <c r="F416" s="2356" t="s">
        <v>1956</v>
      </c>
      <c r="G416" s="2356"/>
      <c r="H416" s="2356"/>
      <c r="I416" s="2356"/>
      <c r="J416" s="2356"/>
      <c r="K416" s="2356"/>
      <c r="L416" s="2356"/>
      <c r="M416" s="2356"/>
      <c r="N416" s="2356"/>
      <c r="O416" s="2356"/>
      <c r="P416" s="2356"/>
      <c r="Q416" s="2356"/>
      <c r="R416" s="2356"/>
      <c r="S416" s="2356"/>
      <c r="T416" s="2356"/>
      <c r="U416" s="2356"/>
      <c r="V416" s="2356"/>
      <c r="W416" s="2356"/>
      <c r="X416" s="2356"/>
      <c r="Y416" s="2356"/>
      <c r="Z416" s="2356"/>
      <c r="AA416" s="2356"/>
      <c r="AB416" s="2356"/>
      <c r="AC416" s="2356"/>
      <c r="AD416" s="2356"/>
      <c r="AE416" s="2356"/>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57"/>
      <c r="G417" s="2357"/>
      <c r="H417" s="2357"/>
      <c r="I417" s="2357"/>
      <c r="J417" s="2357"/>
      <c r="K417" s="2357"/>
      <c r="L417" s="2357"/>
      <c r="M417" s="2357"/>
      <c r="N417" s="2357"/>
      <c r="O417" s="2357"/>
      <c r="P417" s="2357"/>
      <c r="Q417" s="2357"/>
      <c r="R417" s="2357"/>
      <c r="S417" s="2357"/>
      <c r="T417" s="2357"/>
      <c r="U417" s="2357"/>
      <c r="V417" s="2357"/>
      <c r="W417" s="2357"/>
      <c r="X417" s="2357"/>
      <c r="Y417" s="2357"/>
      <c r="Z417" s="2357"/>
      <c r="AA417" s="2357"/>
      <c r="AB417" s="2357"/>
      <c r="AC417" s="2357"/>
      <c r="AD417" s="2357"/>
      <c r="AE417" s="2357"/>
      <c r="AF417" s="2337" t="s">
        <v>354</v>
      </c>
      <c r="AG417" s="2337"/>
      <c r="AH417" s="2337"/>
      <c r="AI417" s="2337"/>
      <c r="AJ417" s="2337"/>
      <c r="AK417" s="2337"/>
      <c r="AL417" s="233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57"/>
      <c r="G418" s="2357"/>
      <c r="H418" s="2357"/>
      <c r="I418" s="2357"/>
      <c r="J418" s="2357"/>
      <c r="K418" s="2357"/>
      <c r="L418" s="2357"/>
      <c r="M418" s="2357"/>
      <c r="N418" s="2357"/>
      <c r="O418" s="2357"/>
      <c r="P418" s="2357"/>
      <c r="Q418" s="2357"/>
      <c r="R418" s="2357"/>
      <c r="S418" s="2357"/>
      <c r="T418" s="2357"/>
      <c r="U418" s="2357"/>
      <c r="V418" s="2357"/>
      <c r="W418" s="2357"/>
      <c r="X418" s="2357"/>
      <c r="Y418" s="2357"/>
      <c r="Z418" s="2357"/>
      <c r="AA418" s="2357"/>
      <c r="AB418" s="2357"/>
      <c r="AC418" s="2357"/>
      <c r="AD418" s="2357"/>
      <c r="AE418" s="2357"/>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58"/>
      <c r="G419" s="2358"/>
      <c r="H419" s="2358"/>
      <c r="I419" s="2358"/>
      <c r="J419" s="2358"/>
      <c r="K419" s="2358"/>
      <c r="L419" s="2358"/>
      <c r="M419" s="2358"/>
      <c r="N419" s="2358"/>
      <c r="O419" s="2358"/>
      <c r="P419" s="2358"/>
      <c r="Q419" s="2358"/>
      <c r="R419" s="2358"/>
      <c r="S419" s="2358"/>
      <c r="T419" s="2358"/>
      <c r="U419" s="2358"/>
      <c r="V419" s="2358"/>
      <c r="W419" s="2358"/>
      <c r="X419" s="2358"/>
      <c r="Y419" s="2358"/>
      <c r="Z419" s="2358"/>
      <c r="AA419" s="2358"/>
      <c r="AB419" s="2358"/>
      <c r="AC419" s="2358"/>
      <c r="AD419" s="2358"/>
      <c r="AE419" s="2358"/>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54" t="s">
        <v>1958</v>
      </c>
      <c r="G421" s="2354"/>
      <c r="H421" s="2354"/>
      <c r="I421" s="2354"/>
      <c r="J421" s="2354"/>
      <c r="K421" s="2354"/>
      <c r="L421" s="2354"/>
      <c r="M421" s="2354"/>
      <c r="N421" s="2354"/>
      <c r="O421" s="2354"/>
      <c r="P421" s="2354"/>
      <c r="Q421" s="2354"/>
      <c r="R421" s="2354"/>
      <c r="S421" s="2354"/>
      <c r="T421" s="2354"/>
      <c r="U421" s="2354"/>
      <c r="V421" s="2354"/>
      <c r="W421" s="2354"/>
      <c r="X421" s="2354"/>
      <c r="Y421" s="2354"/>
      <c r="Z421" s="2354"/>
      <c r="AA421" s="2354"/>
      <c r="AB421" s="2354"/>
      <c r="AC421" s="2354"/>
      <c r="AD421" s="2354"/>
      <c r="AE421" s="2354"/>
      <c r="AF421" s="1158"/>
      <c r="AG421" s="1158"/>
      <c r="AH421" s="1158"/>
      <c r="AI421" s="1158"/>
      <c r="AJ421" s="1158"/>
      <c r="AK421" s="1158"/>
      <c r="AL421" s="1159"/>
      <c r="AM421" s="16"/>
    </row>
    <row r="422" spans="1:153">
      <c r="A422" s="8"/>
      <c r="C422" s="1143"/>
      <c r="D422" s="125"/>
      <c r="E422" s="306"/>
      <c r="F422" s="2355"/>
      <c r="G422" s="2355"/>
      <c r="H422" s="2355"/>
      <c r="I422" s="2355"/>
      <c r="J422" s="2355"/>
      <c r="K422" s="2355"/>
      <c r="L422" s="2355"/>
      <c r="M422" s="2355"/>
      <c r="N422" s="2355"/>
      <c r="O422" s="2355"/>
      <c r="P422" s="2355"/>
      <c r="Q422" s="2355"/>
      <c r="R422" s="2355"/>
      <c r="S422" s="2355"/>
      <c r="T422" s="2355"/>
      <c r="U422" s="2355"/>
      <c r="V422" s="2355"/>
      <c r="W422" s="2355"/>
      <c r="X422" s="2355"/>
      <c r="Y422" s="2355"/>
      <c r="Z422" s="2355"/>
      <c r="AA422" s="2355"/>
      <c r="AB422" s="2355"/>
      <c r="AC422" s="2355"/>
      <c r="AD422" s="2355"/>
      <c r="AE422" s="2355"/>
      <c r="AF422" s="62"/>
      <c r="AG422" s="71"/>
      <c r="AH422" s="162"/>
      <c r="AI422" s="162"/>
      <c r="AJ422" s="162"/>
      <c r="AK422" s="162"/>
      <c r="AL422" s="1144"/>
      <c r="AM422" s="16"/>
    </row>
    <row r="423" spans="1:153" s="46" customFormat="1" ht="12.75" customHeight="1">
      <c r="A423" s="8"/>
      <c r="B423" s="65"/>
      <c r="C423" s="1143"/>
      <c r="D423" s="125"/>
      <c r="E423" s="306"/>
      <c r="F423" s="2355"/>
      <c r="G423" s="2355"/>
      <c r="H423" s="2355"/>
      <c r="I423" s="2355"/>
      <c r="J423" s="2355"/>
      <c r="K423" s="2355"/>
      <c r="L423" s="2355"/>
      <c r="M423" s="2355"/>
      <c r="N423" s="2355"/>
      <c r="O423" s="2355"/>
      <c r="P423" s="2355"/>
      <c r="Q423" s="2355"/>
      <c r="R423" s="2355"/>
      <c r="S423" s="2355"/>
      <c r="T423" s="2355"/>
      <c r="U423" s="2355"/>
      <c r="V423" s="2355"/>
      <c r="W423" s="2355"/>
      <c r="X423" s="2355"/>
      <c r="Y423" s="2355"/>
      <c r="Z423" s="2355"/>
      <c r="AA423" s="2355"/>
      <c r="AB423" s="2355"/>
      <c r="AC423" s="2355"/>
      <c r="AD423" s="2355"/>
      <c r="AE423" s="2355"/>
      <c r="AF423" s="162"/>
      <c r="AG423" s="162"/>
      <c r="AH423" s="162"/>
      <c r="AI423" s="162"/>
      <c r="AJ423" s="162"/>
      <c r="AK423" s="162"/>
      <c r="AL423" s="1144"/>
      <c r="AM423" s="16"/>
      <c r="AN423" s="439"/>
    </row>
    <row r="424" spans="1:153" s="46" customFormat="1" ht="12.75" customHeight="1">
      <c r="A424" s="8"/>
      <c r="B424" s="65"/>
      <c r="C424" s="1147"/>
      <c r="D424" s="162"/>
      <c r="E424" s="162"/>
      <c r="F424" s="2355"/>
      <c r="G424" s="2355"/>
      <c r="H424" s="2355"/>
      <c r="I424" s="2355"/>
      <c r="J424" s="2355"/>
      <c r="K424" s="2355"/>
      <c r="L424" s="2355"/>
      <c r="M424" s="2355"/>
      <c r="N424" s="2355"/>
      <c r="O424" s="2355"/>
      <c r="P424" s="2355"/>
      <c r="Q424" s="2355"/>
      <c r="R424" s="2355"/>
      <c r="S424" s="2355"/>
      <c r="T424" s="2355"/>
      <c r="U424" s="2355"/>
      <c r="V424" s="2355"/>
      <c r="W424" s="2355"/>
      <c r="X424" s="2355"/>
      <c r="Y424" s="2355"/>
      <c r="Z424" s="2355"/>
      <c r="AA424" s="2355"/>
      <c r="AB424" s="2355"/>
      <c r="AC424" s="2355"/>
      <c r="AD424" s="2355"/>
      <c r="AE424" s="2355"/>
      <c r="AF424" s="162"/>
      <c r="AG424" s="162"/>
      <c r="AH424" s="162"/>
      <c r="AI424" s="162"/>
      <c r="AJ424" s="162"/>
      <c r="AK424" s="162"/>
      <c r="AL424" s="1144"/>
      <c r="AM424" s="16"/>
      <c r="AN424" s="439"/>
    </row>
    <row r="425" spans="1:153" s="46" customFormat="1" ht="12.75" customHeight="1">
      <c r="A425" s="8"/>
      <c r="B425" s="65"/>
      <c r="C425" s="2341" t="s">
        <v>135</v>
      </c>
      <c r="D425" s="1826"/>
      <c r="E425" s="306"/>
      <c r="F425" s="1160" t="s">
        <v>1955</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37" t="s">
        <v>354</v>
      </c>
      <c r="AG425" s="2337"/>
      <c r="AH425" s="2337"/>
      <c r="AI425" s="2337"/>
      <c r="AJ425" s="2337"/>
      <c r="AK425" s="2337"/>
      <c r="AL425" s="2338"/>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1" t="s">
        <v>135</v>
      </c>
      <c r="D427" s="1826"/>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37" t="s">
        <v>1045</v>
      </c>
      <c r="AG427" s="2337"/>
      <c r="AH427" s="2337"/>
      <c r="AI427" s="2337"/>
      <c r="AJ427" s="2337"/>
      <c r="AK427" s="2337"/>
      <c r="AL427" s="2338"/>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56" t="s">
        <v>1959</v>
      </c>
      <c r="G431" s="2356"/>
      <c r="H431" s="2356"/>
      <c r="I431" s="2356"/>
      <c r="J431" s="2356"/>
      <c r="K431" s="2356"/>
      <c r="L431" s="2356"/>
      <c r="M431" s="2356"/>
      <c r="N431" s="2356"/>
      <c r="O431" s="2356"/>
      <c r="P431" s="2356"/>
      <c r="Q431" s="2356"/>
      <c r="R431" s="2356"/>
      <c r="S431" s="2356"/>
      <c r="T431" s="2356"/>
      <c r="U431" s="2356"/>
      <c r="V431" s="2356"/>
      <c r="W431" s="2356"/>
      <c r="X431" s="2356"/>
      <c r="Y431" s="2356"/>
      <c r="Z431" s="2356"/>
      <c r="AA431" s="2356"/>
      <c r="AB431" s="2356"/>
      <c r="AC431" s="2356"/>
      <c r="AD431" s="2356"/>
      <c r="AE431" s="2356"/>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57"/>
      <c r="G432" s="2357"/>
      <c r="H432" s="2357"/>
      <c r="I432" s="2357"/>
      <c r="J432" s="2357"/>
      <c r="K432" s="2357"/>
      <c r="L432" s="2357"/>
      <c r="M432" s="2357"/>
      <c r="N432" s="2357"/>
      <c r="O432" s="2357"/>
      <c r="P432" s="2357"/>
      <c r="Q432" s="2357"/>
      <c r="R432" s="2357"/>
      <c r="S432" s="2357"/>
      <c r="T432" s="2357"/>
      <c r="U432" s="2357"/>
      <c r="V432" s="2357"/>
      <c r="W432" s="2357"/>
      <c r="X432" s="2357"/>
      <c r="Y432" s="2357"/>
      <c r="Z432" s="2357"/>
      <c r="AA432" s="2357"/>
      <c r="AB432" s="2357"/>
      <c r="AC432" s="2357"/>
      <c r="AD432" s="2357"/>
      <c r="AE432" s="2357"/>
      <c r="AF432" s="62"/>
      <c r="AG432" s="71"/>
      <c r="AH432" s="162"/>
      <c r="AI432" s="162"/>
      <c r="AJ432" s="162"/>
      <c r="AK432" s="162"/>
      <c r="AL432" s="1144"/>
      <c r="AM432" s="16"/>
      <c r="AN432" s="1089"/>
      <c r="AO432" s="162"/>
      <c r="AP432" s="162"/>
    </row>
    <row r="433" spans="1:60" s="46" customFormat="1" ht="12.45" customHeight="1">
      <c r="A433" s="8"/>
      <c r="B433" s="118"/>
      <c r="C433" s="1165"/>
      <c r="D433" s="1166"/>
      <c r="E433" s="306"/>
      <c r="F433" s="2357"/>
      <c r="G433" s="2357"/>
      <c r="H433" s="2357"/>
      <c r="I433" s="2357"/>
      <c r="J433" s="2357"/>
      <c r="K433" s="2357"/>
      <c r="L433" s="2357"/>
      <c r="M433" s="2357"/>
      <c r="N433" s="2357"/>
      <c r="O433" s="2357"/>
      <c r="P433" s="2357"/>
      <c r="Q433" s="2357"/>
      <c r="R433" s="2357"/>
      <c r="S433" s="2357"/>
      <c r="T433" s="2357"/>
      <c r="U433" s="2357"/>
      <c r="V433" s="2357"/>
      <c r="W433" s="2357"/>
      <c r="X433" s="2357"/>
      <c r="Y433" s="2357"/>
      <c r="Z433" s="2357"/>
      <c r="AA433" s="2357"/>
      <c r="AB433" s="2357"/>
      <c r="AC433" s="2357"/>
      <c r="AD433" s="2357"/>
      <c r="AE433" s="2357"/>
      <c r="AF433" s="162"/>
      <c r="AG433" s="162"/>
      <c r="AH433" s="162"/>
      <c r="AI433" s="162"/>
      <c r="AJ433" s="162"/>
      <c r="AK433" s="162"/>
      <c r="AL433" s="1144"/>
      <c r="AM433" s="16"/>
      <c r="AN433" s="439"/>
      <c r="AO433" s="162"/>
      <c r="AP433" s="162"/>
    </row>
    <row r="434" spans="1:60" s="46" customFormat="1" ht="12.75" customHeight="1">
      <c r="A434" s="8"/>
      <c r="B434" s="118"/>
      <c r="C434" s="2341" t="s">
        <v>135</v>
      </c>
      <c r="D434" s="1826"/>
      <c r="E434" s="306"/>
      <c r="F434" s="1133" t="s">
        <v>1957</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37" t="s">
        <v>354</v>
      </c>
      <c r="AG434" s="2337"/>
      <c r="AH434" s="2337"/>
      <c r="AI434" s="2337"/>
      <c r="AJ434" s="2337"/>
      <c r="AK434" s="2337"/>
      <c r="AL434" s="2338"/>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2" customHeight="1">
      <c r="A437" s="8"/>
      <c r="B437" s="118"/>
      <c r="C437" s="1157"/>
      <c r="D437" s="1158"/>
      <c r="E437" s="1137" t="s">
        <v>729</v>
      </c>
      <c r="F437" s="2356" t="s">
        <v>1960</v>
      </c>
      <c r="G437" s="2356"/>
      <c r="H437" s="2356"/>
      <c r="I437" s="2356"/>
      <c r="J437" s="2356"/>
      <c r="K437" s="2356"/>
      <c r="L437" s="2356"/>
      <c r="M437" s="2356"/>
      <c r="N437" s="2356"/>
      <c r="O437" s="2356"/>
      <c r="P437" s="2356"/>
      <c r="Q437" s="2356"/>
      <c r="R437" s="2356"/>
      <c r="S437" s="2356"/>
      <c r="T437" s="2356"/>
      <c r="U437" s="2356"/>
      <c r="V437" s="2356"/>
      <c r="W437" s="2356"/>
      <c r="X437" s="2356"/>
      <c r="Y437" s="2356"/>
      <c r="Z437" s="2356"/>
      <c r="AA437" s="2356"/>
      <c r="AB437" s="2356"/>
      <c r="AC437" s="2356"/>
      <c r="AD437" s="2356"/>
      <c r="AE437" s="2356"/>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57"/>
      <c r="G438" s="2357"/>
      <c r="H438" s="2357"/>
      <c r="I438" s="2357"/>
      <c r="J438" s="2357"/>
      <c r="K438" s="2357"/>
      <c r="L438" s="2357"/>
      <c r="M438" s="2357"/>
      <c r="N438" s="2357"/>
      <c r="O438" s="2357"/>
      <c r="P438" s="2357"/>
      <c r="Q438" s="2357"/>
      <c r="R438" s="2357"/>
      <c r="S438" s="2357"/>
      <c r="T438" s="2357"/>
      <c r="U438" s="2357"/>
      <c r="V438" s="2357"/>
      <c r="W438" s="2357"/>
      <c r="X438" s="2357"/>
      <c r="Y438" s="2357"/>
      <c r="Z438" s="2357"/>
      <c r="AA438" s="2357"/>
      <c r="AB438" s="2357"/>
      <c r="AC438" s="2357"/>
      <c r="AD438" s="2357"/>
      <c r="AE438" s="2357"/>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57"/>
      <c r="G439" s="2357"/>
      <c r="H439" s="2357"/>
      <c r="I439" s="2357"/>
      <c r="J439" s="2357"/>
      <c r="K439" s="2357"/>
      <c r="L439" s="2357"/>
      <c r="M439" s="2357"/>
      <c r="N439" s="2357"/>
      <c r="O439" s="2357"/>
      <c r="P439" s="2357"/>
      <c r="Q439" s="2357"/>
      <c r="R439" s="2357"/>
      <c r="S439" s="2357"/>
      <c r="T439" s="2357"/>
      <c r="U439" s="2357"/>
      <c r="V439" s="2357"/>
      <c r="W439" s="2357"/>
      <c r="X439" s="2357"/>
      <c r="Y439" s="2357"/>
      <c r="Z439" s="2357"/>
      <c r="AA439" s="2357"/>
      <c r="AB439" s="2357"/>
      <c r="AC439" s="2357"/>
      <c r="AD439" s="2357"/>
      <c r="AE439" s="2357"/>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57"/>
      <c r="G440" s="2357"/>
      <c r="H440" s="2357"/>
      <c r="I440" s="2357"/>
      <c r="J440" s="2357"/>
      <c r="K440" s="2357"/>
      <c r="L440" s="2357"/>
      <c r="M440" s="2357"/>
      <c r="N440" s="2357"/>
      <c r="O440" s="2357"/>
      <c r="P440" s="2357"/>
      <c r="Q440" s="2357"/>
      <c r="R440" s="2357"/>
      <c r="S440" s="2357"/>
      <c r="T440" s="2357"/>
      <c r="U440" s="2357"/>
      <c r="V440" s="2357"/>
      <c r="W440" s="2357"/>
      <c r="X440" s="2357"/>
      <c r="Y440" s="2357"/>
      <c r="Z440" s="2357"/>
      <c r="AA440" s="2357"/>
      <c r="AB440" s="2357"/>
      <c r="AC440" s="2357"/>
      <c r="AD440" s="2357"/>
      <c r="AE440" s="2357"/>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57"/>
      <c r="G441" s="2357"/>
      <c r="H441" s="2357"/>
      <c r="I441" s="2357"/>
      <c r="J441" s="2357"/>
      <c r="K441" s="2357"/>
      <c r="L441" s="2357"/>
      <c r="M441" s="2357"/>
      <c r="N441" s="2357"/>
      <c r="O441" s="2357"/>
      <c r="P441" s="2357"/>
      <c r="Q441" s="2357"/>
      <c r="R441" s="2357"/>
      <c r="S441" s="2357"/>
      <c r="T441" s="2357"/>
      <c r="U441" s="2357"/>
      <c r="V441" s="2357"/>
      <c r="W441" s="2357"/>
      <c r="X441" s="2357"/>
      <c r="Y441" s="2357"/>
      <c r="Z441" s="2357"/>
      <c r="AA441" s="2357"/>
      <c r="AB441" s="2357"/>
      <c r="AC441" s="2357"/>
      <c r="AD441" s="2357"/>
      <c r="AE441" s="2357"/>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57"/>
      <c r="G442" s="2357"/>
      <c r="H442" s="2357"/>
      <c r="I442" s="2357"/>
      <c r="J442" s="2357"/>
      <c r="K442" s="2357"/>
      <c r="L442" s="2357"/>
      <c r="M442" s="2357"/>
      <c r="N442" s="2357"/>
      <c r="O442" s="2357"/>
      <c r="P442" s="2357"/>
      <c r="Q442" s="2357"/>
      <c r="R442" s="2357"/>
      <c r="S442" s="2357"/>
      <c r="T442" s="2357"/>
      <c r="U442" s="2357"/>
      <c r="V442" s="2357"/>
      <c r="W442" s="2357"/>
      <c r="X442" s="2357"/>
      <c r="Y442" s="2357"/>
      <c r="Z442" s="2357"/>
      <c r="AA442" s="2357"/>
      <c r="AB442" s="2357"/>
      <c r="AC442" s="2357"/>
      <c r="AD442" s="2357"/>
      <c r="AE442" s="2357"/>
      <c r="AF442" s="1265"/>
      <c r="AG442" s="1265"/>
      <c r="AH442" s="1265"/>
      <c r="AI442" s="1265"/>
      <c r="AJ442" s="1265"/>
      <c r="AK442" s="1265"/>
      <c r="AL442" s="1272"/>
      <c r="AM442" s="16"/>
      <c r="AN442" s="439"/>
    </row>
    <row r="443" spans="1:60" s="46" customFormat="1" ht="12.75" customHeight="1">
      <c r="A443" s="8"/>
      <c r="B443" s="118"/>
      <c r="C443" s="1273"/>
      <c r="D443" s="1266"/>
      <c r="E443" s="350"/>
      <c r="F443" s="2357"/>
      <c r="G443" s="2357"/>
      <c r="H443" s="2357"/>
      <c r="I443" s="2357"/>
      <c r="J443" s="2357"/>
      <c r="K443" s="2357"/>
      <c r="L443" s="2357"/>
      <c r="M443" s="2357"/>
      <c r="N443" s="2357"/>
      <c r="O443" s="2357"/>
      <c r="P443" s="2357"/>
      <c r="Q443" s="2357"/>
      <c r="R443" s="2357"/>
      <c r="S443" s="2357"/>
      <c r="T443" s="2357"/>
      <c r="U443" s="2357"/>
      <c r="V443" s="2357"/>
      <c r="W443" s="2357"/>
      <c r="X443" s="2357"/>
      <c r="Y443" s="2357"/>
      <c r="Z443" s="2357"/>
      <c r="AA443" s="2357"/>
      <c r="AB443" s="2357"/>
      <c r="AC443" s="2357"/>
      <c r="AD443" s="2357"/>
      <c r="AE443" s="2357"/>
      <c r="AF443" s="1265"/>
      <c r="AG443" s="1265"/>
      <c r="AH443" s="1265"/>
      <c r="AI443" s="1265"/>
      <c r="AJ443" s="1265"/>
      <c r="AK443" s="1265"/>
      <c r="AL443" s="1272"/>
      <c r="AM443" s="16"/>
      <c r="AN443" s="439"/>
    </row>
    <row r="444" spans="1:60" s="46" customFormat="1" ht="12.75" customHeight="1">
      <c r="A444" s="8"/>
      <c r="B444" s="118"/>
      <c r="C444" s="1273"/>
      <c r="D444" s="1266"/>
      <c r="E444" s="350"/>
      <c r="F444" s="2357"/>
      <c r="G444" s="2357"/>
      <c r="H444" s="2357"/>
      <c r="I444" s="2357"/>
      <c r="J444" s="2357"/>
      <c r="K444" s="2357"/>
      <c r="L444" s="2357"/>
      <c r="M444" s="2357"/>
      <c r="N444" s="2357"/>
      <c r="O444" s="2357"/>
      <c r="P444" s="2357"/>
      <c r="Q444" s="2357"/>
      <c r="R444" s="2357"/>
      <c r="S444" s="2357"/>
      <c r="T444" s="2357"/>
      <c r="U444" s="2357"/>
      <c r="V444" s="2357"/>
      <c r="W444" s="2357"/>
      <c r="X444" s="2357"/>
      <c r="Y444" s="2357"/>
      <c r="Z444" s="2357"/>
      <c r="AA444" s="2357"/>
      <c r="AB444" s="2357"/>
      <c r="AC444" s="2357"/>
      <c r="AD444" s="2357"/>
      <c r="AE444" s="2357"/>
      <c r="AF444" s="1265"/>
      <c r="AG444" s="1265"/>
      <c r="AH444" s="1265"/>
      <c r="AI444" s="1265"/>
      <c r="AJ444" s="1265"/>
      <c r="AK444" s="1265"/>
      <c r="AL444" s="1272"/>
      <c r="AM444" s="16"/>
      <c r="AN444" s="439"/>
    </row>
    <row r="445" spans="1:60" s="46" customFormat="1" ht="17.25" customHeight="1">
      <c r="A445" s="8"/>
      <c r="B445" s="118"/>
      <c r="C445" s="1273"/>
      <c r="D445" s="1266"/>
      <c r="E445" s="350"/>
      <c r="F445" s="2357"/>
      <c r="G445" s="2357"/>
      <c r="H445" s="2357"/>
      <c r="I445" s="2357"/>
      <c r="J445" s="2357"/>
      <c r="K445" s="2357"/>
      <c r="L445" s="2357"/>
      <c r="M445" s="2357"/>
      <c r="N445" s="2357"/>
      <c r="O445" s="2357"/>
      <c r="P445" s="2357"/>
      <c r="Q445" s="2357"/>
      <c r="R445" s="2357"/>
      <c r="S445" s="2357"/>
      <c r="T445" s="2357"/>
      <c r="U445" s="2357"/>
      <c r="V445" s="2357"/>
      <c r="W445" s="2357"/>
      <c r="X445" s="2357"/>
      <c r="Y445" s="2357"/>
      <c r="Z445" s="2357"/>
      <c r="AA445" s="2357"/>
      <c r="AB445" s="2357"/>
      <c r="AC445" s="2357"/>
      <c r="AD445" s="2357"/>
      <c r="AE445" s="2357"/>
      <c r="AF445" s="162"/>
      <c r="AG445" s="162"/>
      <c r="AH445" s="162"/>
      <c r="AI445" s="162"/>
      <c r="AJ445" s="162"/>
      <c r="AK445" s="162"/>
      <c r="AL445" s="1144"/>
      <c r="AM445" s="16"/>
      <c r="AN445" s="439"/>
    </row>
    <row r="446" spans="1:60" s="46" customFormat="1" ht="12.75" customHeight="1">
      <c r="A446" s="8"/>
      <c r="B446" s="65"/>
      <c r="C446" s="2341" t="s">
        <v>135</v>
      </c>
      <c r="D446" s="1826"/>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37" t="s">
        <v>354</v>
      </c>
      <c r="AG446" s="2337"/>
      <c r="AH446" s="2337"/>
      <c r="AI446" s="2337"/>
      <c r="AJ446" s="2337"/>
      <c r="AK446" s="2337"/>
      <c r="AL446" s="2338"/>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56" t="s">
        <v>1963</v>
      </c>
      <c r="G449" s="2356"/>
      <c r="H449" s="2356"/>
      <c r="I449" s="2356"/>
      <c r="J449" s="2356"/>
      <c r="K449" s="2356"/>
      <c r="L449" s="2356"/>
      <c r="M449" s="2356"/>
      <c r="N449" s="2356"/>
      <c r="O449" s="2356"/>
      <c r="P449" s="2356"/>
      <c r="Q449" s="2356"/>
      <c r="R449" s="2356"/>
      <c r="S449" s="2356"/>
      <c r="T449" s="2356"/>
      <c r="U449" s="2356"/>
      <c r="V449" s="2356"/>
      <c r="W449" s="2356"/>
      <c r="X449" s="2356"/>
      <c r="Y449" s="2356"/>
      <c r="Z449" s="2356"/>
      <c r="AA449" s="2356"/>
      <c r="AB449" s="2356"/>
      <c r="AC449" s="2356"/>
      <c r="AD449" s="2356"/>
      <c r="AE449" s="2356"/>
      <c r="AF449" s="1136"/>
      <c r="AG449" s="1136"/>
      <c r="AH449" s="1136"/>
      <c r="AI449" s="1136"/>
      <c r="AJ449" s="1136"/>
      <c r="AK449" s="1136"/>
      <c r="AL449" s="1164"/>
      <c r="AM449" s="16"/>
      <c r="AN449" s="439"/>
    </row>
    <row r="450" spans="1:49" s="46" customFormat="1" ht="12.75" customHeight="1">
      <c r="A450" s="8"/>
      <c r="B450" s="118"/>
      <c r="C450" s="1273"/>
      <c r="D450" s="1266"/>
      <c r="E450" s="350"/>
      <c r="F450" s="2357"/>
      <c r="G450" s="2357"/>
      <c r="H450" s="2357"/>
      <c r="I450" s="2357"/>
      <c r="J450" s="2357"/>
      <c r="K450" s="2357"/>
      <c r="L450" s="2357"/>
      <c r="M450" s="2357"/>
      <c r="N450" s="2357"/>
      <c r="O450" s="2357"/>
      <c r="P450" s="2357"/>
      <c r="Q450" s="2357"/>
      <c r="R450" s="2357"/>
      <c r="S450" s="2357"/>
      <c r="T450" s="2357"/>
      <c r="U450" s="2357"/>
      <c r="V450" s="2357"/>
      <c r="W450" s="2357"/>
      <c r="X450" s="2357"/>
      <c r="Y450" s="2357"/>
      <c r="Z450" s="2357"/>
      <c r="AA450" s="2357"/>
      <c r="AB450" s="2357"/>
      <c r="AC450" s="2357"/>
      <c r="AD450" s="2357"/>
      <c r="AE450" s="2357"/>
      <c r="AF450" s="1337"/>
      <c r="AG450" s="1267"/>
      <c r="AH450" s="1267"/>
      <c r="AI450" s="1267"/>
      <c r="AJ450" s="1267"/>
      <c r="AK450" s="1267"/>
      <c r="AL450" s="1268"/>
      <c r="AM450" s="16"/>
      <c r="AN450" s="439"/>
    </row>
    <row r="451" spans="1:49" s="46" customFormat="1" ht="12.75" customHeight="1">
      <c r="A451" s="8"/>
      <c r="B451" s="118"/>
      <c r="C451" s="1273"/>
      <c r="D451" s="1266"/>
      <c r="E451" s="350"/>
      <c r="F451" s="2357"/>
      <c r="G451" s="2357"/>
      <c r="H451" s="2357"/>
      <c r="I451" s="2357"/>
      <c r="J451" s="2357"/>
      <c r="K451" s="2357"/>
      <c r="L451" s="2357"/>
      <c r="M451" s="2357"/>
      <c r="N451" s="2357"/>
      <c r="O451" s="2357"/>
      <c r="P451" s="2357"/>
      <c r="Q451" s="2357"/>
      <c r="R451" s="2357"/>
      <c r="S451" s="2357"/>
      <c r="T451" s="2357"/>
      <c r="U451" s="2357"/>
      <c r="V451" s="2357"/>
      <c r="W451" s="2357"/>
      <c r="X451" s="2357"/>
      <c r="Y451" s="2357"/>
      <c r="Z451" s="2357"/>
      <c r="AA451" s="2357"/>
      <c r="AB451" s="2357"/>
      <c r="AC451" s="2357"/>
      <c r="AD451" s="2357"/>
      <c r="AE451" s="2357"/>
      <c r="AF451" s="1337"/>
      <c r="AG451" s="1267"/>
      <c r="AH451" s="1267"/>
      <c r="AI451" s="1267"/>
      <c r="AJ451" s="1267"/>
      <c r="AK451" s="1267"/>
      <c r="AL451" s="1268"/>
      <c r="AM451" s="16"/>
      <c r="AN451" s="439"/>
    </row>
    <row r="452" spans="1:49" s="46" customFormat="1" ht="12.75" customHeight="1">
      <c r="A452" s="8"/>
      <c r="B452" s="118"/>
      <c r="C452" s="1273"/>
      <c r="D452" s="1266"/>
      <c r="E452" s="350"/>
      <c r="F452" s="2357"/>
      <c r="G452" s="2357"/>
      <c r="H452" s="2357"/>
      <c r="I452" s="2357"/>
      <c r="J452" s="2357"/>
      <c r="K452" s="2357"/>
      <c r="L452" s="2357"/>
      <c r="M452" s="2357"/>
      <c r="N452" s="2357"/>
      <c r="O452" s="2357"/>
      <c r="P452" s="2357"/>
      <c r="Q452" s="2357"/>
      <c r="R452" s="2357"/>
      <c r="S452" s="2357"/>
      <c r="T452" s="2357"/>
      <c r="U452" s="2357"/>
      <c r="V452" s="2357"/>
      <c r="W452" s="2357"/>
      <c r="X452" s="2357"/>
      <c r="Y452" s="2357"/>
      <c r="Z452" s="2357"/>
      <c r="AA452" s="2357"/>
      <c r="AB452" s="2357"/>
      <c r="AC452" s="2357"/>
      <c r="AD452" s="2357"/>
      <c r="AE452" s="2357"/>
      <c r="AF452" s="162"/>
      <c r="AG452" s="162"/>
      <c r="AH452" s="162"/>
      <c r="AI452" s="162"/>
      <c r="AJ452" s="162"/>
      <c r="AK452" s="162"/>
      <c r="AL452" s="1144"/>
      <c r="AM452" s="16"/>
      <c r="AN452" s="439"/>
    </row>
    <row r="453" spans="1:49" s="162" customFormat="1" ht="12.75" customHeight="1">
      <c r="A453" s="8"/>
      <c r="B453" s="118"/>
      <c r="C453" s="2341" t="s">
        <v>135</v>
      </c>
      <c r="D453" s="1826"/>
      <c r="E453" s="350"/>
      <c r="F453" s="1133" t="s">
        <v>1962</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37" t="s">
        <v>354</v>
      </c>
      <c r="AG453" s="2337"/>
      <c r="AH453" s="2337"/>
      <c r="AI453" s="2337"/>
      <c r="AJ453" s="2337"/>
      <c r="AK453" s="2337"/>
      <c r="AL453" s="2338"/>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1948</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70" t="s">
        <v>135</v>
      </c>
      <c r="D457" s="2571"/>
      <c r="E457" s="1137" t="s">
        <v>1050</v>
      </c>
      <c r="F457" s="2356" t="s">
        <v>1052</v>
      </c>
      <c r="G457" s="2356"/>
      <c r="H457" s="2356"/>
      <c r="I457" s="2356"/>
      <c r="J457" s="2356"/>
      <c r="K457" s="2356"/>
      <c r="L457" s="2356"/>
      <c r="M457" s="2356"/>
      <c r="N457" s="2356"/>
      <c r="O457" s="2356"/>
      <c r="P457" s="2356"/>
      <c r="Q457" s="2356"/>
      <c r="R457" s="2356"/>
      <c r="S457" s="2356"/>
      <c r="T457" s="2356"/>
      <c r="U457" s="2356"/>
      <c r="V457" s="2356"/>
      <c r="W457" s="2356"/>
      <c r="X457" s="2356"/>
      <c r="Y457" s="2356"/>
      <c r="Z457" s="2356"/>
      <c r="AA457" s="2356"/>
      <c r="AB457" s="2356"/>
      <c r="AC457" s="2356"/>
      <c r="AD457" s="2356"/>
      <c r="AE457" s="2356"/>
      <c r="AF457" s="2566" t="s">
        <v>354</v>
      </c>
      <c r="AG457" s="2566"/>
      <c r="AH457" s="2566"/>
      <c r="AI457" s="2566"/>
      <c r="AJ457" s="2566"/>
      <c r="AK457" s="2566"/>
      <c r="AL457" s="2567"/>
      <c r="AM457" s="16"/>
      <c r="AN457" s="1094"/>
      <c r="AO457" s="162"/>
      <c r="AP457" s="162"/>
      <c r="AQ457" s="249"/>
    </row>
    <row r="458" spans="1:49" s="137" customFormat="1" ht="12.75" customHeight="1">
      <c r="A458" s="8"/>
      <c r="B458" s="118"/>
      <c r="C458" s="1273"/>
      <c r="D458" s="1266"/>
      <c r="E458" s="350"/>
      <c r="F458" s="2357"/>
      <c r="G458" s="2357"/>
      <c r="H458" s="2357"/>
      <c r="I458" s="2357"/>
      <c r="J458" s="2357"/>
      <c r="K458" s="2357"/>
      <c r="L458" s="2357"/>
      <c r="M458" s="2357"/>
      <c r="N458" s="2357"/>
      <c r="O458" s="2357"/>
      <c r="P458" s="2357"/>
      <c r="Q458" s="2357"/>
      <c r="R458" s="2357"/>
      <c r="S458" s="2357"/>
      <c r="T458" s="2357"/>
      <c r="U458" s="2357"/>
      <c r="V458" s="2357"/>
      <c r="W458" s="2357"/>
      <c r="X458" s="2357"/>
      <c r="Y458" s="2357"/>
      <c r="Z458" s="2357"/>
      <c r="AA458" s="2357"/>
      <c r="AB458" s="2357"/>
      <c r="AC458" s="2357"/>
      <c r="AD458" s="2357"/>
      <c r="AE458" s="2357"/>
      <c r="AF458" s="1267"/>
      <c r="AG458" s="1267"/>
      <c r="AH458" s="1267"/>
      <c r="AI458" s="1267"/>
      <c r="AJ458" s="1267"/>
      <c r="AK458" s="1267"/>
      <c r="AL458" s="1268"/>
      <c r="AM458" s="16"/>
      <c r="AN458" s="1095"/>
      <c r="AO458" s="46" t="s">
        <v>135</v>
      </c>
      <c r="AP458" s="162">
        <v>0</v>
      </c>
      <c r="AQ458" s="249"/>
    </row>
    <row r="459" spans="1:49" s="46" customFormat="1" ht="17.7" customHeight="1">
      <c r="A459" s="8"/>
      <c r="B459" s="118"/>
      <c r="C459" s="1139"/>
      <c r="D459" s="1140"/>
      <c r="E459" s="1141"/>
      <c r="F459" s="2358"/>
      <c r="G459" s="2358"/>
      <c r="H459" s="2358"/>
      <c r="I459" s="2358"/>
      <c r="J459" s="2358"/>
      <c r="K459" s="2358"/>
      <c r="L459" s="2358"/>
      <c r="M459" s="2358"/>
      <c r="N459" s="2358"/>
      <c r="O459" s="2358"/>
      <c r="P459" s="2358"/>
      <c r="Q459" s="2358"/>
      <c r="R459" s="2358"/>
      <c r="S459" s="2358"/>
      <c r="T459" s="2358"/>
      <c r="U459" s="2358"/>
      <c r="V459" s="2358"/>
      <c r="W459" s="2358"/>
      <c r="X459" s="2358"/>
      <c r="Y459" s="2358"/>
      <c r="Z459" s="2358"/>
      <c r="AA459" s="2358"/>
      <c r="AB459" s="2358"/>
      <c r="AC459" s="2358"/>
      <c r="AD459" s="2358"/>
      <c r="AE459" s="2358"/>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570" t="s">
        <v>135</v>
      </c>
      <c r="D461" s="2571"/>
      <c r="E461" s="1137" t="s">
        <v>1051</v>
      </c>
      <c r="F461" s="2356" t="s">
        <v>2004</v>
      </c>
      <c r="G461" s="2356"/>
      <c r="H461" s="2356"/>
      <c r="I461" s="2356"/>
      <c r="J461" s="2356"/>
      <c r="K461" s="2356"/>
      <c r="L461" s="2356"/>
      <c r="M461" s="2356"/>
      <c r="N461" s="2356"/>
      <c r="O461" s="2356"/>
      <c r="P461" s="2356"/>
      <c r="Q461" s="2356"/>
      <c r="R461" s="2356"/>
      <c r="S461" s="2356"/>
      <c r="T461" s="2356"/>
      <c r="U461" s="2356"/>
      <c r="V461" s="2356"/>
      <c r="W461" s="2356"/>
      <c r="X461" s="2356"/>
      <c r="Y461" s="2356"/>
      <c r="Z461" s="2356"/>
      <c r="AA461" s="2356"/>
      <c r="AB461" s="2356"/>
      <c r="AC461" s="2356"/>
      <c r="AD461" s="2356"/>
      <c r="AE461" s="2356"/>
      <c r="AF461" s="2566" t="s">
        <v>354</v>
      </c>
      <c r="AG461" s="2566"/>
      <c r="AH461" s="2566"/>
      <c r="AI461" s="2566"/>
      <c r="AJ461" s="2566"/>
      <c r="AK461" s="2566"/>
      <c r="AL461" s="2567"/>
      <c r="AM461" s="16"/>
      <c r="AN461" s="1097"/>
      <c r="AO461" s="46" t="s">
        <v>1442</v>
      </c>
      <c r="AP461" s="46">
        <v>5</v>
      </c>
      <c r="AQ461" s="251"/>
    </row>
    <row r="462" spans="1:49" s="46" customFormat="1" ht="12.75" customHeight="1">
      <c r="A462" s="8"/>
      <c r="B462" s="65"/>
      <c r="C462" s="1143"/>
      <c r="D462" s="125"/>
      <c r="E462" s="306"/>
      <c r="F462" s="2357"/>
      <c r="G462" s="2357"/>
      <c r="H462" s="2357"/>
      <c r="I462" s="2357"/>
      <c r="J462" s="2357"/>
      <c r="K462" s="2357"/>
      <c r="L462" s="2357"/>
      <c r="M462" s="2357"/>
      <c r="N462" s="2357"/>
      <c r="O462" s="2357"/>
      <c r="P462" s="2357"/>
      <c r="Q462" s="2357"/>
      <c r="R462" s="2357"/>
      <c r="S462" s="2357"/>
      <c r="T462" s="2357"/>
      <c r="U462" s="2357"/>
      <c r="V462" s="2357"/>
      <c r="W462" s="2357"/>
      <c r="X462" s="2357"/>
      <c r="Y462" s="2357"/>
      <c r="Z462" s="2357"/>
      <c r="AA462" s="2357"/>
      <c r="AB462" s="2357"/>
      <c r="AC462" s="2357"/>
      <c r="AD462" s="2357"/>
      <c r="AE462" s="2357"/>
      <c r="AF462" s="62"/>
      <c r="AG462" s="71"/>
      <c r="AH462" s="162"/>
      <c r="AI462" s="162"/>
      <c r="AJ462" s="162"/>
      <c r="AK462" s="162"/>
      <c r="AL462" s="1144"/>
      <c r="AM462" s="16"/>
      <c r="AN462" s="1097"/>
      <c r="AO462" s="46" t="s">
        <v>1438</v>
      </c>
      <c r="AP462" s="46">
        <v>5</v>
      </c>
    </row>
    <row r="463" spans="1:49" s="46" customFormat="1" ht="12.75" customHeight="1">
      <c r="A463" s="8"/>
      <c r="B463" s="65"/>
      <c r="C463" s="1143"/>
      <c r="D463" s="125"/>
      <c r="E463" s="306"/>
      <c r="F463" s="2357"/>
      <c r="G463" s="2357"/>
      <c r="H463" s="2357"/>
      <c r="I463" s="2357"/>
      <c r="J463" s="2357"/>
      <c r="K463" s="2357"/>
      <c r="L463" s="2357"/>
      <c r="M463" s="2357"/>
      <c r="N463" s="2357"/>
      <c r="O463" s="2357"/>
      <c r="P463" s="2357"/>
      <c r="Q463" s="2357"/>
      <c r="R463" s="2357"/>
      <c r="S463" s="2357"/>
      <c r="T463" s="2357"/>
      <c r="U463" s="2357"/>
      <c r="V463" s="2357"/>
      <c r="W463" s="2357"/>
      <c r="X463" s="2357"/>
      <c r="Y463" s="2357"/>
      <c r="Z463" s="2357"/>
      <c r="AA463" s="2357"/>
      <c r="AB463" s="2357"/>
      <c r="AC463" s="2357"/>
      <c r="AD463" s="2357"/>
      <c r="AE463" s="2357"/>
      <c r="AF463" s="62"/>
      <c r="AG463" s="71"/>
      <c r="AH463" s="162"/>
      <c r="AI463" s="162"/>
      <c r="AJ463" s="162"/>
      <c r="AK463" s="162"/>
      <c r="AL463" s="1144"/>
      <c r="AM463" s="16"/>
      <c r="AN463" s="1097"/>
      <c r="AO463" s="46" t="s">
        <v>1439</v>
      </c>
      <c r="AP463" s="46">
        <v>5</v>
      </c>
    </row>
    <row r="464" spans="1:49" s="46" customFormat="1" ht="12.75" customHeight="1">
      <c r="A464" s="8"/>
      <c r="B464" s="118"/>
      <c r="C464" s="1139"/>
      <c r="D464" s="1140"/>
      <c r="E464" s="1141"/>
      <c r="F464" s="2358"/>
      <c r="G464" s="2358"/>
      <c r="H464" s="2358"/>
      <c r="I464" s="2358"/>
      <c r="J464" s="2358"/>
      <c r="K464" s="2358"/>
      <c r="L464" s="2358"/>
      <c r="M464" s="2358"/>
      <c r="N464" s="2358"/>
      <c r="O464" s="2358"/>
      <c r="P464" s="2358"/>
      <c r="Q464" s="2358"/>
      <c r="R464" s="2358"/>
      <c r="S464" s="2358"/>
      <c r="T464" s="2358"/>
      <c r="U464" s="2358"/>
      <c r="V464" s="2358"/>
      <c r="W464" s="2358"/>
      <c r="X464" s="2358"/>
      <c r="Y464" s="2358"/>
      <c r="Z464" s="2358"/>
      <c r="AA464" s="2358"/>
      <c r="AB464" s="2358"/>
      <c r="AC464" s="2358"/>
      <c r="AD464" s="2358"/>
      <c r="AE464" s="2358"/>
      <c r="AF464" s="1270"/>
      <c r="AG464" s="1270"/>
      <c r="AH464" s="1270"/>
      <c r="AI464" s="1270"/>
      <c r="AJ464" s="1270"/>
      <c r="AK464" s="1270"/>
      <c r="AL464" s="1271"/>
      <c r="AM464" s="16"/>
      <c r="AN464" s="439"/>
      <c r="AO464" s="46" t="s">
        <v>1440</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1319</v>
      </c>
      <c r="AP465" s="46">
        <v>5</v>
      </c>
    </row>
    <row r="466" spans="1:54" s="46" customFormat="1" ht="12.75" customHeight="1">
      <c r="A466" s="8"/>
      <c r="B466" s="65"/>
      <c r="C466" s="1280"/>
      <c r="D466" s="1205"/>
      <c r="E466" s="1137" t="s">
        <v>1049</v>
      </c>
      <c r="F466" s="2354" t="s">
        <v>2005</v>
      </c>
      <c r="G466" s="2354"/>
      <c r="H466" s="2354"/>
      <c r="I466" s="2354"/>
      <c r="J466" s="2354"/>
      <c r="K466" s="2354"/>
      <c r="L466" s="2354"/>
      <c r="M466" s="2354"/>
      <c r="N466" s="2354"/>
      <c r="O466" s="2354"/>
      <c r="P466" s="2354"/>
      <c r="Q466" s="2354"/>
      <c r="R466" s="2354"/>
      <c r="S466" s="2354"/>
      <c r="T466" s="2354"/>
      <c r="U466" s="2354"/>
      <c r="V466" s="2354"/>
      <c r="W466" s="2354"/>
      <c r="X466" s="2354"/>
      <c r="Y466" s="2354"/>
      <c r="Z466" s="2354"/>
      <c r="AA466" s="2354"/>
      <c r="AB466" s="2354"/>
      <c r="AC466" s="2354"/>
      <c r="AD466" s="2354"/>
      <c r="AE466" s="2354"/>
      <c r="AF466" s="2354"/>
      <c r="AG466" s="1279"/>
      <c r="AH466" s="1136"/>
      <c r="AI466" s="1136"/>
      <c r="AJ466" s="1136"/>
      <c r="AK466" s="1136"/>
      <c r="AL466" s="1164"/>
      <c r="AM466" s="16"/>
      <c r="AN466" s="439"/>
      <c r="AO466" s="46" t="s">
        <v>1441</v>
      </c>
      <c r="AP466" s="46">
        <v>1</v>
      </c>
    </row>
    <row r="467" spans="1:54" s="46" customFormat="1" ht="12.75" customHeight="1">
      <c r="A467" s="8"/>
      <c r="B467" s="65"/>
      <c r="C467" s="1143"/>
      <c r="D467" s="125"/>
      <c r="E467" s="306"/>
      <c r="F467" s="2355"/>
      <c r="G467" s="2355"/>
      <c r="H467" s="2355"/>
      <c r="I467" s="2355"/>
      <c r="J467" s="2355"/>
      <c r="K467" s="2355"/>
      <c r="L467" s="2355"/>
      <c r="M467" s="2355"/>
      <c r="N467" s="2355"/>
      <c r="O467" s="2355"/>
      <c r="P467" s="2355"/>
      <c r="Q467" s="2355"/>
      <c r="R467" s="2355"/>
      <c r="S467" s="2355"/>
      <c r="T467" s="2355"/>
      <c r="U467" s="2355"/>
      <c r="V467" s="2355"/>
      <c r="W467" s="2355"/>
      <c r="X467" s="2355"/>
      <c r="Y467" s="2355"/>
      <c r="Z467" s="2355"/>
      <c r="AA467" s="2355"/>
      <c r="AB467" s="2355"/>
      <c r="AC467" s="2355"/>
      <c r="AD467" s="2355"/>
      <c r="AE467" s="2355"/>
      <c r="AF467" s="2355"/>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55"/>
      <c r="G468" s="2355"/>
      <c r="H468" s="2355"/>
      <c r="I468" s="2355"/>
      <c r="J468" s="2355"/>
      <c r="K468" s="2355"/>
      <c r="L468" s="2355"/>
      <c r="M468" s="2355"/>
      <c r="N468" s="2355"/>
      <c r="O468" s="2355"/>
      <c r="P468" s="2355"/>
      <c r="Q468" s="2355"/>
      <c r="R468" s="2355"/>
      <c r="S468" s="2355"/>
      <c r="T468" s="2355"/>
      <c r="U468" s="2355"/>
      <c r="V468" s="2355"/>
      <c r="W468" s="2355"/>
      <c r="X468" s="2355"/>
      <c r="Y468" s="2355"/>
      <c r="Z468" s="2355"/>
      <c r="AA468" s="2355"/>
      <c r="AB468" s="2355"/>
      <c r="AC468" s="2355"/>
      <c r="AD468" s="2355"/>
      <c r="AE468" s="2355"/>
      <c r="AF468" s="2355"/>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55"/>
      <c r="G469" s="2355"/>
      <c r="H469" s="2355"/>
      <c r="I469" s="2355"/>
      <c r="J469" s="2355"/>
      <c r="K469" s="2355"/>
      <c r="L469" s="2355"/>
      <c r="M469" s="2355"/>
      <c r="N469" s="2355"/>
      <c r="O469" s="2355"/>
      <c r="P469" s="2355"/>
      <c r="Q469" s="2355"/>
      <c r="R469" s="2355"/>
      <c r="S469" s="2355"/>
      <c r="T469" s="2355"/>
      <c r="U469" s="2355"/>
      <c r="V469" s="2355"/>
      <c r="W469" s="2355"/>
      <c r="X469" s="2355"/>
      <c r="Y469" s="2355"/>
      <c r="Z469" s="2355"/>
      <c r="AA469" s="2355"/>
      <c r="AB469" s="2355"/>
      <c r="AC469" s="2355"/>
      <c r="AD469" s="2355"/>
      <c r="AE469" s="2355"/>
      <c r="AF469" s="2355"/>
      <c r="AG469" s="162"/>
      <c r="AH469" s="162"/>
      <c r="AI469" s="162"/>
      <c r="AJ469" s="162"/>
      <c r="AK469" s="162"/>
      <c r="AL469" s="1144"/>
      <c r="AM469" s="16"/>
      <c r="AN469" s="439"/>
      <c r="AO469" s="534">
        <v>7.0000000000000007E-2</v>
      </c>
      <c r="AP469" s="64">
        <v>3</v>
      </c>
      <c r="AR469" s="46" t="s">
        <v>2112</v>
      </c>
      <c r="AS469" s="64">
        <v>3</v>
      </c>
      <c r="AT469" s="43"/>
      <c r="AW469" s="534">
        <v>0.4</v>
      </c>
      <c r="AX469" s="43">
        <v>3</v>
      </c>
      <c r="BA469" s="534">
        <v>0.4</v>
      </c>
      <c r="BB469" s="43">
        <v>4</v>
      </c>
    </row>
    <row r="470" spans="1:54" s="46" customFormat="1" ht="12.75" customHeight="1">
      <c r="A470" s="8"/>
      <c r="B470" s="65"/>
      <c r="C470" s="2341" t="s">
        <v>135</v>
      </c>
      <c r="D470" s="1826"/>
      <c r="E470" s="350"/>
      <c r="F470" s="1160" t="s">
        <v>1955</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39" t="s">
        <v>354</v>
      </c>
      <c r="AG470" s="2339"/>
      <c r="AH470" s="2339"/>
      <c r="AI470" s="2339"/>
      <c r="AJ470" s="2339"/>
      <c r="AK470" s="2339"/>
      <c r="AL470" s="2340"/>
      <c r="AM470" s="16"/>
      <c r="AN470" s="439"/>
      <c r="AO470" s="534">
        <v>0.12</v>
      </c>
      <c r="AP470" s="64">
        <v>5</v>
      </c>
      <c r="AR470" s="46" t="s">
        <v>2113</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77">
        <f>IF(AS359=0,AS357,AS359)</f>
        <v>10</v>
      </c>
      <c r="AL476" s="2397"/>
      <c r="AM476" s="237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12" t="s">
        <v>1358</v>
      </c>
      <c r="AF479" s="2312"/>
      <c r="AG479" s="2312"/>
      <c r="AH479" s="2312"/>
      <c r="AI479" s="2312"/>
      <c r="AJ479" s="2312"/>
      <c r="AK479" s="2312"/>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1442</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1438</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1439</v>
      </c>
      <c r="AP483" s="46">
        <v>5</v>
      </c>
      <c r="AQ483" s="659"/>
      <c r="AR483" s="659"/>
      <c r="AW483" s="710"/>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10"/>
    </row>
    <row r="485" spans="1:50" s="46" customFormat="1" ht="12.75" hidden="1" customHeight="1">
      <c r="A485" s="152"/>
      <c r="C485" s="2344" t="s">
        <v>135</v>
      </c>
      <c r="D485" s="2345"/>
      <c r="E485" s="1203" t="s">
        <v>211</v>
      </c>
      <c r="F485" s="2564" t="s">
        <v>1055</v>
      </c>
      <c r="G485" s="2564"/>
      <c r="H485" s="2564"/>
      <c r="I485" s="2564"/>
      <c r="J485" s="2564"/>
      <c r="K485" s="2564"/>
      <c r="L485" s="2564"/>
      <c r="M485" s="2564"/>
      <c r="N485" s="2564"/>
      <c r="O485" s="2564"/>
      <c r="P485" s="2564"/>
      <c r="Q485" s="2564"/>
      <c r="R485" s="2564"/>
      <c r="S485" s="2564"/>
      <c r="T485" s="2564"/>
      <c r="U485" s="2564"/>
      <c r="V485" s="2564"/>
      <c r="W485" s="2564"/>
      <c r="X485" s="2564"/>
      <c r="Y485" s="2564"/>
      <c r="Z485" s="2564"/>
      <c r="AA485" s="2564"/>
      <c r="AB485" s="2564"/>
      <c r="AC485" s="2564"/>
      <c r="AD485" s="2564"/>
      <c r="AE485" s="2564"/>
      <c r="AF485" s="1136"/>
      <c r="AG485" s="1136"/>
      <c r="AH485" s="1136"/>
      <c r="AI485" s="1136"/>
      <c r="AJ485" s="1136"/>
      <c r="AK485" s="1164"/>
      <c r="AL485" s="162"/>
      <c r="AN485" s="439"/>
      <c r="AO485" s="46" t="s">
        <v>2114</v>
      </c>
      <c r="AP485" s="46">
        <v>5</v>
      </c>
      <c r="AS485" s="534"/>
      <c r="AT485" s="43"/>
      <c r="AW485" s="710"/>
      <c r="AX485" s="64"/>
    </row>
    <row r="486" spans="1:50" s="46" customFormat="1" ht="12.75" hidden="1" customHeight="1">
      <c r="A486" s="28"/>
      <c r="C486" s="1172"/>
      <c r="D486" s="162"/>
      <c r="E486" s="225"/>
      <c r="F486" s="2565"/>
      <c r="G486" s="2565"/>
      <c r="H486" s="2565"/>
      <c r="I486" s="2565"/>
      <c r="J486" s="2565"/>
      <c r="K486" s="2565"/>
      <c r="L486" s="2565"/>
      <c r="M486" s="2565"/>
      <c r="N486" s="2565"/>
      <c r="O486" s="2565"/>
      <c r="P486" s="2565"/>
      <c r="Q486" s="2565"/>
      <c r="R486" s="2565"/>
      <c r="S486" s="2565"/>
      <c r="T486" s="2565"/>
      <c r="U486" s="2565"/>
      <c r="V486" s="2565"/>
      <c r="W486" s="2565"/>
      <c r="X486" s="2565"/>
      <c r="Y486" s="2565"/>
      <c r="Z486" s="2565"/>
      <c r="AA486" s="2565"/>
      <c r="AB486" s="2565"/>
      <c r="AC486" s="2565"/>
      <c r="AD486" s="2565"/>
      <c r="AE486" s="2565"/>
      <c r="AF486" s="162"/>
      <c r="AG486" s="27"/>
      <c r="AH486" s="27"/>
      <c r="AI486" s="27"/>
      <c r="AJ486" s="27"/>
      <c r="AK486" s="1144"/>
      <c r="AL486" s="162"/>
      <c r="AN486" s="439"/>
      <c r="AO486" s="46" t="s">
        <v>1441</v>
      </c>
      <c r="AP486" s="46">
        <v>1</v>
      </c>
    </row>
    <row r="487" spans="1:50" s="46" customFormat="1" ht="12.75" hidden="1" customHeight="1">
      <c r="A487" s="28"/>
      <c r="C487" s="1173"/>
      <c r="D487" s="1154"/>
      <c r="E487" s="1174"/>
      <c r="F487" s="2493" t="s">
        <v>135</v>
      </c>
      <c r="G487" s="2493"/>
      <c r="H487" s="2493"/>
      <c r="I487" s="2493"/>
      <c r="J487" s="2493"/>
      <c r="K487" s="2493"/>
      <c r="L487" s="2493"/>
      <c r="M487" s="2493"/>
      <c r="N487" s="2493"/>
      <c r="O487" s="2493"/>
      <c r="P487" s="2493"/>
      <c r="Q487" s="2493"/>
      <c r="R487" s="2493"/>
      <c r="S487" s="2493"/>
      <c r="T487" s="2493"/>
      <c r="U487" s="2493"/>
      <c r="V487" s="2493"/>
      <c r="W487" s="2493"/>
      <c r="X487" s="2493"/>
      <c r="Y487" s="2493"/>
      <c r="Z487" s="2493"/>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70" t="s">
        <v>119</v>
      </c>
      <c r="D489" s="2571"/>
      <c r="E489" s="1203" t="s">
        <v>335</v>
      </c>
      <c r="F489" s="1179" t="s">
        <v>1446</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1320</v>
      </c>
      <c r="D490" s="162"/>
      <c r="E490" s="162"/>
      <c r="F490" s="867"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2126</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353" t="s">
        <v>135</v>
      </c>
      <c r="W492" s="2353"/>
      <c r="X492" s="2353"/>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2130</v>
      </c>
      <c r="G494" s="162"/>
      <c r="H494" s="162"/>
      <c r="I494" s="867"/>
      <c r="J494" s="867"/>
      <c r="K494" s="867"/>
      <c r="L494" s="867"/>
      <c r="M494" s="867"/>
      <c r="N494" s="867"/>
      <c r="O494" s="867"/>
      <c r="P494" s="867"/>
      <c r="Q494" s="867"/>
      <c r="R494" s="867"/>
      <c r="S494" s="867"/>
      <c r="T494" s="867"/>
      <c r="U494" s="867"/>
      <c r="V494" s="2353" t="s">
        <v>135</v>
      </c>
      <c r="W494" s="2353"/>
      <c r="X494" s="2353"/>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1448</v>
      </c>
      <c r="AP496" s="64">
        <v>2</v>
      </c>
    </row>
    <row r="497" spans="1:147" s="46" customFormat="1" ht="12.75" hidden="1" customHeight="1">
      <c r="A497" s="28"/>
      <c r="C497" s="1172"/>
      <c r="D497" s="28"/>
      <c r="E497" s="28"/>
      <c r="F497" s="943" t="s">
        <v>2110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1447</v>
      </c>
      <c r="G499" s="28"/>
      <c r="H499" s="28"/>
      <c r="I499" s="28"/>
      <c r="J499" s="28"/>
      <c r="K499" s="28"/>
      <c r="L499" s="28"/>
      <c r="M499" s="225"/>
      <c r="N499" s="225"/>
      <c r="O499" s="225"/>
      <c r="P499" s="225"/>
      <c r="Q499" s="27"/>
      <c r="R499" s="27"/>
      <c r="S499" s="27"/>
      <c r="T499" s="27"/>
      <c r="U499" s="27"/>
      <c r="V499" s="2353" t="s">
        <v>135</v>
      </c>
      <c r="W499" s="2353"/>
      <c r="X499" s="2353"/>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1321</v>
      </c>
      <c r="D501" s="1188"/>
      <c r="E501" s="1188"/>
      <c r="F501" s="1189" t="s">
        <v>1444</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1955"/>
      <c r="E502" s="1955"/>
      <c r="F502" s="867"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1456</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353" t="s">
        <v>135</v>
      </c>
      <c r="W503" s="2353"/>
      <c r="X503" s="2353"/>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2130</v>
      </c>
      <c r="G505" s="1185"/>
      <c r="H505" s="1185"/>
      <c r="I505" s="1154"/>
      <c r="J505" s="1154"/>
      <c r="K505" s="1154"/>
      <c r="L505" s="1154"/>
      <c r="M505" s="1154"/>
      <c r="N505" s="1154"/>
      <c r="O505" s="1154"/>
      <c r="P505" s="1154"/>
      <c r="Q505" s="1154"/>
      <c r="R505" s="1154"/>
      <c r="S505" s="1154"/>
      <c r="T505" s="1154"/>
      <c r="U505" s="1154"/>
      <c r="V505" s="2353" t="s">
        <v>135</v>
      </c>
      <c r="W505" s="2353"/>
      <c r="X505" s="2353"/>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64" t="s">
        <v>719</v>
      </c>
      <c r="AV506" s="2365"/>
      <c r="AW506" s="2365"/>
      <c r="AX506" s="2365"/>
      <c r="AY506" s="2365"/>
      <c r="AZ506" s="2365"/>
      <c r="BA506" s="2365"/>
      <c r="BB506" s="205"/>
      <c r="BC506" s="205"/>
      <c r="BE506" s="46"/>
      <c r="BF506" s="46"/>
      <c r="BG506" s="46"/>
      <c r="BH506" s="46"/>
      <c r="BI506" s="46"/>
      <c r="BJ506" s="2362" t="s">
        <v>35</v>
      </c>
      <c r="BK506" s="2363"/>
      <c r="BL506" s="2363"/>
      <c r="BM506" s="2363"/>
      <c r="BN506" s="2363"/>
      <c r="BO506" s="2363"/>
      <c r="BP506" s="2363"/>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64"/>
      <c r="AV507" s="2365"/>
      <c r="AW507" s="2365"/>
      <c r="AX507" s="2365"/>
      <c r="AY507" s="2365"/>
      <c r="AZ507" s="2365"/>
      <c r="BA507" s="2365"/>
      <c r="BB507" s="205"/>
      <c r="BC507" s="205"/>
      <c r="BE507" s="46"/>
      <c r="BF507" s="46"/>
      <c r="BG507" s="46"/>
      <c r="BH507" s="46"/>
      <c r="BI507" s="46"/>
      <c r="BJ507" s="2362"/>
      <c r="BK507" s="2363"/>
      <c r="BL507" s="2363"/>
      <c r="BM507" s="2363"/>
      <c r="BN507" s="2363"/>
      <c r="BO507" s="2363"/>
      <c r="BP507" s="2363"/>
      <c r="BQ507" s="205"/>
      <c r="BR507" s="46"/>
    </row>
    <row r="508" spans="1:147" s="16" customFormat="1" ht="12.75" hidden="1" customHeight="1">
      <c r="A508" s="195"/>
      <c r="B508" s="46"/>
      <c r="C508" s="2344" t="s">
        <v>135</v>
      </c>
      <c r="D508" s="2345"/>
      <c r="E508" s="1190" t="s">
        <v>211</v>
      </c>
      <c r="F508" s="2564" t="s">
        <v>1055</v>
      </c>
      <c r="G508" s="2564"/>
      <c r="H508" s="2564"/>
      <c r="I508" s="2564"/>
      <c r="J508" s="2564"/>
      <c r="K508" s="2564"/>
      <c r="L508" s="2564"/>
      <c r="M508" s="2564"/>
      <c r="N508" s="2564"/>
      <c r="O508" s="2564"/>
      <c r="P508" s="2564"/>
      <c r="Q508" s="2564"/>
      <c r="R508" s="2564"/>
      <c r="S508" s="2564"/>
      <c r="T508" s="2564"/>
      <c r="U508" s="2564"/>
      <c r="V508" s="2564"/>
      <c r="W508" s="2564"/>
      <c r="X508" s="2564"/>
      <c r="Y508" s="2564"/>
      <c r="Z508" s="2564"/>
      <c r="AA508" s="2564"/>
      <c r="AB508" s="2564"/>
      <c r="AC508" s="2564"/>
      <c r="AD508" s="2564"/>
      <c r="AE508" s="2564"/>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65"/>
      <c r="G509" s="2565"/>
      <c r="H509" s="2565"/>
      <c r="I509" s="2565"/>
      <c r="J509" s="2565"/>
      <c r="K509" s="2565"/>
      <c r="L509" s="2565"/>
      <c r="M509" s="2565"/>
      <c r="N509" s="2565"/>
      <c r="O509" s="2565"/>
      <c r="P509" s="2565"/>
      <c r="Q509" s="2565"/>
      <c r="R509" s="2565"/>
      <c r="S509" s="2565"/>
      <c r="T509" s="2565"/>
      <c r="U509" s="2565"/>
      <c r="V509" s="2565"/>
      <c r="W509" s="2565"/>
      <c r="X509" s="2565"/>
      <c r="Y509" s="2565"/>
      <c r="Z509" s="2565"/>
      <c r="AA509" s="2565"/>
      <c r="AB509" s="2565"/>
      <c r="AC509" s="2565"/>
      <c r="AD509" s="2565"/>
      <c r="AE509" s="2565"/>
      <c r="AF509" s="162"/>
      <c r="AG509" s="27"/>
      <c r="AH509" s="27"/>
      <c r="AI509" s="27"/>
      <c r="AJ509" s="27"/>
      <c r="AK509" s="1144"/>
      <c r="AL509" s="162"/>
      <c r="AM509" s="46"/>
      <c r="AN509" s="1084"/>
      <c r="AO509" s="132"/>
      <c r="AP509" s="2325" t="s">
        <v>1635</v>
      </c>
      <c r="AQ509" s="2326"/>
      <c r="AR509" s="2327"/>
      <c r="AS509" s="951">
        <v>80</v>
      </c>
      <c r="AT509" s="46">
        <v>0</v>
      </c>
      <c r="AU509" s="243">
        <v>10</v>
      </c>
      <c r="AV509" s="243">
        <v>25</v>
      </c>
      <c r="AW509" s="243">
        <v>37.5</v>
      </c>
      <c r="AX509" s="243">
        <v>35</v>
      </c>
      <c r="AY509" s="243">
        <v>37.5</v>
      </c>
      <c r="AZ509" s="243">
        <v>50</v>
      </c>
      <c r="BA509" s="243">
        <v>50</v>
      </c>
      <c r="BB509" s="65"/>
      <c r="BC509" s="65"/>
      <c r="BE509" s="2325" t="s">
        <v>1635</v>
      </c>
      <c r="BF509" s="2326"/>
      <c r="BG509" s="2327"/>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85" t="s">
        <v>135</v>
      </c>
      <c r="G510" s="2585"/>
      <c r="H510" s="2585"/>
      <c r="I510" s="2585"/>
      <c r="J510" s="2585"/>
      <c r="K510" s="2585"/>
      <c r="L510" s="2585"/>
      <c r="M510" s="2585"/>
      <c r="N510" s="2585"/>
      <c r="O510" s="2585"/>
      <c r="P510" s="2585"/>
      <c r="Q510" s="2585"/>
      <c r="R510" s="2585"/>
      <c r="S510" s="2585"/>
      <c r="T510" s="2585"/>
      <c r="U510" s="2585"/>
      <c r="V510" s="2585"/>
      <c r="W510" s="2585"/>
      <c r="X510" s="2585"/>
      <c r="Y510" s="2585"/>
      <c r="Z510" s="2585"/>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28"/>
      <c r="AQ510" s="2329"/>
      <c r="AR510" s="2330"/>
      <c r="AS510" s="951">
        <v>75</v>
      </c>
      <c r="AT510" s="46">
        <v>0</v>
      </c>
      <c r="AU510" s="243">
        <v>10</v>
      </c>
      <c r="AV510" s="243">
        <v>25</v>
      </c>
      <c r="AW510" s="243">
        <v>37.5</v>
      </c>
      <c r="AX510" s="243">
        <v>35</v>
      </c>
      <c r="AY510" s="243">
        <v>37.5</v>
      </c>
      <c r="AZ510" s="243">
        <v>50</v>
      </c>
      <c r="BA510" s="243">
        <v>50</v>
      </c>
      <c r="BB510" s="65"/>
      <c r="BC510" s="65"/>
      <c r="BE510" s="2328"/>
      <c r="BF510" s="2329"/>
      <c r="BG510" s="2330"/>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28"/>
      <c r="AQ511" s="2329"/>
      <c r="AR511" s="2330"/>
      <c r="AS511" s="951">
        <v>70</v>
      </c>
      <c r="AT511" s="46">
        <v>0</v>
      </c>
      <c r="AU511" s="243">
        <v>10</v>
      </c>
      <c r="AV511" s="243">
        <v>25</v>
      </c>
      <c r="AW511" s="243">
        <v>37.5</v>
      </c>
      <c r="AX511" s="243">
        <v>35</v>
      </c>
      <c r="AY511" s="243">
        <v>37.5</v>
      </c>
      <c r="AZ511" s="243">
        <v>50</v>
      </c>
      <c r="BA511" s="243">
        <v>50</v>
      </c>
      <c r="BB511" s="65"/>
      <c r="BC511" s="65"/>
      <c r="BE511" s="2328"/>
      <c r="BF511" s="2329"/>
      <c r="BG511" s="2330"/>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44" t="s">
        <v>135</v>
      </c>
      <c r="D512" s="2345"/>
      <c r="E512" s="1190" t="s">
        <v>335</v>
      </c>
      <c r="F512" s="2576" t="s">
        <v>1253</v>
      </c>
      <c r="G512" s="2576"/>
      <c r="H512" s="2576"/>
      <c r="I512" s="2576"/>
      <c r="J512" s="2576"/>
      <c r="K512" s="2576"/>
      <c r="L512" s="2576"/>
      <c r="M512" s="2576"/>
      <c r="N512" s="2576"/>
      <c r="O512" s="2576"/>
      <c r="P512" s="2576"/>
      <c r="Q512" s="2576"/>
      <c r="R512" s="2576"/>
      <c r="S512" s="2576"/>
      <c r="T512" s="2576"/>
      <c r="U512" s="2576"/>
      <c r="V512" s="2576"/>
      <c r="W512" s="2576"/>
      <c r="X512" s="2576"/>
      <c r="Y512" s="2576"/>
      <c r="Z512" s="2576"/>
      <c r="AA512" s="2576"/>
      <c r="AB512" s="2576"/>
      <c r="AC512" s="2576"/>
      <c r="AD512" s="2576"/>
      <c r="AE512" s="2576"/>
      <c r="AF512" s="1136"/>
      <c r="AG512" s="1180"/>
      <c r="AH512" s="1180"/>
      <c r="AI512" s="1180"/>
      <c r="AJ512" s="1180"/>
      <c r="AK512" s="1164"/>
      <c r="AL512" s="162"/>
      <c r="AM512" s="46"/>
      <c r="AN512" s="1084"/>
      <c r="AO512" s="132"/>
      <c r="AP512" s="2328"/>
      <c r="AQ512" s="2329"/>
      <c r="AR512" s="2330"/>
      <c r="AS512" s="951">
        <v>65</v>
      </c>
      <c r="AT512" s="46">
        <v>0</v>
      </c>
      <c r="AU512" s="243">
        <v>10</v>
      </c>
      <c r="AV512" s="243">
        <v>25</v>
      </c>
      <c r="AW512" s="243">
        <v>37.5</v>
      </c>
      <c r="AX512" s="243">
        <v>35</v>
      </c>
      <c r="AY512" s="243">
        <v>37.5</v>
      </c>
      <c r="AZ512" s="243">
        <v>50</v>
      </c>
      <c r="BA512" s="243">
        <v>50</v>
      </c>
      <c r="BB512" s="65"/>
      <c r="BC512" s="65"/>
      <c r="BE512" s="2328"/>
      <c r="BF512" s="2329"/>
      <c r="BG512" s="2330"/>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77"/>
      <c r="G513" s="2577"/>
      <c r="H513" s="2577"/>
      <c r="I513" s="2577"/>
      <c r="J513" s="2577"/>
      <c r="K513" s="2577"/>
      <c r="L513" s="2577"/>
      <c r="M513" s="2577"/>
      <c r="N513" s="2577"/>
      <c r="O513" s="2577"/>
      <c r="P513" s="2577"/>
      <c r="Q513" s="2577"/>
      <c r="R513" s="2577"/>
      <c r="S513" s="2577"/>
      <c r="T513" s="2577"/>
      <c r="U513" s="2577"/>
      <c r="V513" s="2577"/>
      <c r="W513" s="2577"/>
      <c r="X513" s="2577"/>
      <c r="Y513" s="2577"/>
      <c r="Z513" s="2577"/>
      <c r="AA513" s="2577"/>
      <c r="AB513" s="2577"/>
      <c r="AC513" s="2577"/>
      <c r="AD513" s="2577"/>
      <c r="AE513" s="2577"/>
      <c r="AF513" s="162"/>
      <c r="AG513" s="27"/>
      <c r="AH513" s="27"/>
      <c r="AI513" s="27"/>
      <c r="AJ513" s="27"/>
      <c r="AK513" s="1144"/>
      <c r="AL513" s="162"/>
      <c r="AM513" s="46"/>
      <c r="AN513" s="1084"/>
      <c r="AO513" s="132"/>
      <c r="AP513" s="2328"/>
      <c r="AQ513" s="2329"/>
      <c r="AR513" s="2330"/>
      <c r="AS513" s="951">
        <v>60</v>
      </c>
      <c r="AT513" s="46">
        <v>0</v>
      </c>
      <c r="AU513" s="243">
        <v>10</v>
      </c>
      <c r="AV513" s="243">
        <v>25</v>
      </c>
      <c r="AW513" s="243">
        <v>37.5</v>
      </c>
      <c r="AX513" s="243">
        <v>35</v>
      </c>
      <c r="AY513" s="243">
        <v>37.5</v>
      </c>
      <c r="AZ513" s="243">
        <v>50</v>
      </c>
      <c r="BA513" s="243">
        <v>50</v>
      </c>
      <c r="BB513" s="65"/>
      <c r="BC513" s="65"/>
      <c r="BE513" s="2328"/>
      <c r="BF513" s="2329"/>
      <c r="BG513" s="2330"/>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28"/>
      <c r="AQ514" s="2329"/>
      <c r="AR514" s="2330"/>
      <c r="AS514" s="951">
        <v>55</v>
      </c>
      <c r="AT514" s="46">
        <v>0</v>
      </c>
      <c r="AU514" s="243">
        <v>10</v>
      </c>
      <c r="AV514" s="243">
        <v>25</v>
      </c>
      <c r="AW514" s="243">
        <v>37.5</v>
      </c>
      <c r="AX514" s="243">
        <v>35</v>
      </c>
      <c r="AY514" s="243">
        <v>37.5</v>
      </c>
      <c r="AZ514" s="243">
        <v>50</v>
      </c>
      <c r="BA514" s="243">
        <v>50</v>
      </c>
      <c r="BE514" s="2328"/>
      <c r="BF514" s="2329"/>
      <c r="BG514" s="2330"/>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586" t="s">
        <v>135</v>
      </c>
      <c r="G515" s="2586"/>
      <c r="H515" s="2586"/>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28"/>
      <c r="AQ515" s="2329"/>
      <c r="AR515" s="2330"/>
      <c r="AS515" s="242">
        <v>50</v>
      </c>
      <c r="AT515" s="46">
        <v>0</v>
      </c>
      <c r="AU515" s="243">
        <v>10</v>
      </c>
      <c r="AV515" s="243">
        <v>25</v>
      </c>
      <c r="AW515" s="243">
        <v>37.5</v>
      </c>
      <c r="AX515" s="243">
        <v>35</v>
      </c>
      <c r="AY515" s="243">
        <v>37.5</v>
      </c>
      <c r="AZ515" s="243">
        <v>50</v>
      </c>
      <c r="BA515" s="243">
        <v>50</v>
      </c>
      <c r="BE515" s="2328"/>
      <c r="BF515" s="2329"/>
      <c r="BG515" s="233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28"/>
      <c r="AQ516" s="2329"/>
      <c r="AR516" s="2330"/>
      <c r="AS516" s="242">
        <v>45</v>
      </c>
      <c r="AT516" s="46">
        <v>0</v>
      </c>
      <c r="AU516" s="243">
        <v>10</v>
      </c>
      <c r="AV516" s="243">
        <v>22.5</v>
      </c>
      <c r="AW516" s="243">
        <v>33.799999999999997</v>
      </c>
      <c r="AX516" s="243">
        <v>35</v>
      </c>
      <c r="AY516" s="243">
        <v>37.5</v>
      </c>
      <c r="AZ516" s="243">
        <v>50</v>
      </c>
      <c r="BA516" s="243">
        <v>50</v>
      </c>
      <c r="BE516" s="2328"/>
      <c r="BF516" s="2329"/>
      <c r="BG516" s="233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44" t="s">
        <v>135</v>
      </c>
      <c r="D517" s="2345"/>
      <c r="E517" s="1190" t="s">
        <v>1361</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28"/>
      <c r="AQ517" s="2329"/>
      <c r="AR517" s="2330"/>
      <c r="AS517" s="242">
        <v>40</v>
      </c>
      <c r="AT517" s="46">
        <v>0</v>
      </c>
      <c r="AU517" s="243">
        <v>10</v>
      </c>
      <c r="AV517" s="243">
        <v>20</v>
      </c>
      <c r="AW517" s="243">
        <v>30</v>
      </c>
      <c r="AX517" s="243">
        <v>35</v>
      </c>
      <c r="AY517" s="243">
        <v>37.5</v>
      </c>
      <c r="AZ517" s="243">
        <v>50</v>
      </c>
      <c r="BA517" s="243">
        <v>50</v>
      </c>
      <c r="BE517" s="2328"/>
      <c r="BF517" s="2329"/>
      <c r="BG517" s="233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28"/>
      <c r="AQ518" s="2329"/>
      <c r="AR518" s="2330"/>
      <c r="AS518" s="242">
        <v>35</v>
      </c>
      <c r="AT518" s="46">
        <v>0</v>
      </c>
      <c r="AU518" s="243">
        <v>8.8000000000000007</v>
      </c>
      <c r="AV518" s="243">
        <v>17.5</v>
      </c>
      <c r="AW518" s="243">
        <v>26.3</v>
      </c>
      <c r="AX518" s="243">
        <v>35</v>
      </c>
      <c r="AY518" s="243">
        <v>37.5</v>
      </c>
      <c r="AZ518" s="243">
        <v>50</v>
      </c>
      <c r="BA518" s="243">
        <v>50</v>
      </c>
      <c r="BE518" s="2328"/>
      <c r="BF518" s="2329"/>
      <c r="BG518" s="233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52"/>
      <c r="D519" s="1955"/>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28"/>
      <c r="AQ519" s="2329"/>
      <c r="AR519" s="2330"/>
      <c r="AS519" s="242">
        <v>30</v>
      </c>
      <c r="AT519" s="46">
        <v>0</v>
      </c>
      <c r="AU519" s="243">
        <v>7.5</v>
      </c>
      <c r="AV519" s="243">
        <v>15</v>
      </c>
      <c r="AW519" s="243">
        <v>22.5</v>
      </c>
      <c r="AX519" s="243">
        <v>30</v>
      </c>
      <c r="AY519" s="243">
        <v>37.5</v>
      </c>
      <c r="AZ519" s="243">
        <v>45</v>
      </c>
      <c r="BA519" s="243">
        <v>50</v>
      </c>
      <c r="BE519" s="2328"/>
      <c r="BF519" s="2329"/>
      <c r="BG519" s="233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47" t="s">
        <v>135</v>
      </c>
      <c r="H520" s="2347"/>
      <c r="I520" s="2347"/>
      <c r="J520" s="2347"/>
      <c r="K520" s="2347"/>
      <c r="L520" s="2347"/>
      <c r="M520" s="2347"/>
      <c r="N520" s="2347"/>
      <c r="O520" s="2347"/>
      <c r="P520" s="2347"/>
      <c r="Q520" s="2347"/>
      <c r="R520" s="2347"/>
      <c r="S520" s="2347"/>
      <c r="T520" s="2347"/>
      <c r="U520" s="2347"/>
      <c r="V520" s="2347"/>
      <c r="W520" s="2347"/>
      <c r="X520" s="2347"/>
      <c r="Y520" s="2347"/>
      <c r="Z520" s="2347"/>
      <c r="AA520" s="2347"/>
      <c r="AB520" s="2347"/>
      <c r="AC520" s="2347"/>
      <c r="AD520" s="2347"/>
      <c r="AE520" s="2347"/>
      <c r="AF520" s="2347"/>
      <c r="AG520" s="162"/>
      <c r="AH520" s="162"/>
      <c r="AI520" s="162"/>
      <c r="AJ520" s="27"/>
      <c r="AK520" s="1144"/>
      <c r="AL520" s="162"/>
      <c r="AM520" s="46"/>
      <c r="AN520" s="1084"/>
      <c r="AP520" s="2328"/>
      <c r="AQ520" s="2329"/>
      <c r="AR520" s="2330"/>
      <c r="AS520" s="242">
        <v>25</v>
      </c>
      <c r="AT520" s="46">
        <v>0</v>
      </c>
      <c r="AU520" s="243">
        <v>6.3</v>
      </c>
      <c r="AV520" s="243">
        <v>12.5</v>
      </c>
      <c r="AW520" s="243">
        <v>18.8</v>
      </c>
      <c r="AX520" s="243">
        <v>25</v>
      </c>
      <c r="AY520" s="243">
        <v>31.3</v>
      </c>
      <c r="AZ520" s="243">
        <v>37.5</v>
      </c>
      <c r="BA520" s="243">
        <v>50</v>
      </c>
      <c r="BE520" s="2328"/>
      <c r="BF520" s="2329"/>
      <c r="BG520" s="233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28"/>
      <c r="AQ521" s="2329"/>
      <c r="AR521" s="2330"/>
      <c r="AS521" s="242">
        <v>20</v>
      </c>
      <c r="AT521" s="46">
        <v>0</v>
      </c>
      <c r="AU521" s="243">
        <v>5</v>
      </c>
      <c r="AV521" s="243">
        <v>10</v>
      </c>
      <c r="AW521" s="243">
        <v>15</v>
      </c>
      <c r="AX521" s="243">
        <v>20</v>
      </c>
      <c r="AY521" s="243">
        <v>25</v>
      </c>
      <c r="AZ521" s="243">
        <v>30</v>
      </c>
      <c r="BA521" s="243">
        <v>40</v>
      </c>
      <c r="BE521" s="2328"/>
      <c r="BF521" s="2329"/>
      <c r="BG521" s="233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48" t="s">
        <v>135</v>
      </c>
      <c r="D522" s="2349"/>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28"/>
      <c r="AQ522" s="2329"/>
      <c r="AR522" s="2330"/>
      <c r="AS522" s="242">
        <v>15</v>
      </c>
      <c r="AT522" s="46">
        <v>0</v>
      </c>
      <c r="AU522" s="243">
        <v>3.8</v>
      </c>
      <c r="AV522" s="243">
        <v>7.5</v>
      </c>
      <c r="AW522" s="243">
        <v>11.3</v>
      </c>
      <c r="AX522" s="243">
        <v>15</v>
      </c>
      <c r="AY522" s="243">
        <v>18.8</v>
      </c>
      <c r="AZ522" s="243">
        <v>22.5</v>
      </c>
      <c r="BA522" s="243">
        <v>30</v>
      </c>
      <c r="BE522" s="2328"/>
      <c r="BF522" s="2329"/>
      <c r="BG522" s="233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79"/>
      <c r="AQ523" s="2380"/>
      <c r="AR523" s="2381"/>
      <c r="AS523" s="242">
        <v>10</v>
      </c>
      <c r="AT523" s="46">
        <v>0</v>
      </c>
      <c r="AU523" s="243">
        <v>2.5</v>
      </c>
      <c r="AV523" s="243">
        <v>5</v>
      </c>
      <c r="AW523" s="243">
        <v>7.5</v>
      </c>
      <c r="AX523" s="243">
        <v>10</v>
      </c>
      <c r="AY523" s="243">
        <v>12.5</v>
      </c>
      <c r="AZ523" s="243">
        <v>15</v>
      </c>
      <c r="BA523" s="243">
        <v>20</v>
      </c>
      <c r="BE523" s="2379"/>
      <c r="BF523" s="2380"/>
      <c r="BG523" s="238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48" t="s">
        <v>135</v>
      </c>
      <c r="D526" s="2349"/>
      <c r="E526" s="162"/>
      <c r="F526" s="767" t="s">
        <v>952</v>
      </c>
      <c r="G526" s="2350" t="s">
        <v>1066</v>
      </c>
      <c r="H526" s="2350"/>
      <c r="I526" s="2350"/>
      <c r="J526" s="2350"/>
      <c r="K526" s="2350"/>
      <c r="L526" s="2350"/>
      <c r="M526" s="2350"/>
      <c r="N526" s="2350"/>
      <c r="O526" s="2350"/>
      <c r="P526" s="2350"/>
      <c r="Q526" s="2350"/>
      <c r="R526" s="2350"/>
      <c r="S526" s="2350"/>
      <c r="T526" s="2350"/>
      <c r="U526" s="2350"/>
      <c r="V526" s="2350"/>
      <c r="W526" s="2350"/>
      <c r="X526" s="2350"/>
      <c r="Y526" s="2350"/>
      <c r="Z526" s="2350"/>
      <c r="AA526" s="2350"/>
      <c r="AB526" s="2350"/>
      <c r="AC526" s="2350"/>
      <c r="AD526" s="2350"/>
      <c r="AE526" s="2350"/>
      <c r="AF526" s="2350"/>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361">
        <f>BJ530</f>
        <v>94</v>
      </c>
      <c r="BE526" s="2361"/>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351"/>
      <c r="H527" s="2351"/>
      <c r="I527" s="2351"/>
      <c r="J527" s="2351"/>
      <c r="K527" s="2351"/>
      <c r="L527" s="2351"/>
      <c r="M527" s="2351"/>
      <c r="N527" s="2351"/>
      <c r="O527" s="2351"/>
      <c r="P527" s="2351"/>
      <c r="Q527" s="2351"/>
      <c r="R527" s="2351"/>
      <c r="S527" s="2351"/>
      <c r="T527" s="2351"/>
      <c r="U527" s="2351"/>
      <c r="V527" s="2351"/>
      <c r="W527" s="2351"/>
      <c r="X527" s="2351"/>
      <c r="Y527" s="2351"/>
      <c r="Z527" s="2351"/>
      <c r="AA527" s="2351"/>
      <c r="AB527" s="2351"/>
      <c r="AC527" s="2351"/>
      <c r="AD527" s="2351"/>
      <c r="AE527" s="2351"/>
      <c r="AF527" s="2351"/>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361">
        <f>SUM(E583:J591)</f>
        <v>94</v>
      </c>
      <c r="BE527" s="2361"/>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359">
        <v>0</v>
      </c>
      <c r="BK528" s="2360"/>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2007</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59">
        <f>Application!AG431</f>
        <v>0</v>
      </c>
      <c r="BK529" s="2360"/>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1" t="s">
        <v>135</v>
      </c>
      <c r="D530" s="1826"/>
      <c r="E530" s="766" t="s">
        <v>1362</v>
      </c>
      <c r="F530" s="867" t="s">
        <v>1458</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59">
        <f>Application!AG433</f>
        <v>94</v>
      </c>
      <c r="BK530" s="2360"/>
      <c r="BM530" s="2372"/>
      <c r="BN530" s="2373"/>
      <c r="BO530" s="2372"/>
      <c r="BP530" s="2373"/>
      <c r="BQ530" s="2369"/>
      <c r="BR530" s="2371"/>
      <c r="BS530" s="2369"/>
      <c r="BT530" s="2371"/>
      <c r="BU530" s="2372">
        <f>IF(T610&gt;0,1,0)</f>
        <v>1</v>
      </c>
      <c r="BV530" s="2373"/>
      <c r="BW530" s="2372">
        <f>IF(Y610&gt;=0.1,1,0)</f>
        <v>1</v>
      </c>
      <c r="BX530" s="2373"/>
      <c r="BY530" s="2369"/>
      <c r="BZ530" s="2371"/>
      <c r="CA530" s="2369"/>
      <c r="CB530" s="2371"/>
      <c r="CC530" s="2372"/>
      <c r="CD530" s="2373"/>
      <c r="CE530" s="2372"/>
      <c r="CF530" s="2373"/>
      <c r="CG530" s="16"/>
      <c r="CH530" s="16"/>
      <c r="CI530" s="16"/>
      <c r="CJ530" s="16"/>
    </row>
    <row r="531" spans="1:101" s="46" customFormat="1" ht="12.75" hidden="1" customHeight="1">
      <c r="A531" s="28"/>
      <c r="C531" s="1198"/>
      <c r="D531" s="153"/>
      <c r="E531" s="225"/>
      <c r="F531" s="2069" t="s">
        <v>135</v>
      </c>
      <c r="G531" s="2069"/>
      <c r="H531" s="2069"/>
      <c r="I531" s="2069"/>
      <c r="J531" s="2069"/>
      <c r="K531" s="2069"/>
      <c r="L531" s="2069"/>
      <c r="M531" s="2069"/>
      <c r="N531" s="2069"/>
      <c r="O531" s="2069"/>
      <c r="P531" s="2069"/>
      <c r="Q531" s="2069"/>
      <c r="R531" s="2069"/>
      <c r="S531" s="2069"/>
      <c r="T531" s="2069"/>
      <c r="U531" s="2069"/>
      <c r="V531" s="2069"/>
      <c r="W531" s="2069"/>
      <c r="X531" s="2069"/>
      <c r="Y531" s="2069"/>
      <c r="Z531" s="2069"/>
      <c r="AA531" s="2069"/>
      <c r="AB531" s="2069"/>
      <c r="AC531" s="2069"/>
      <c r="AD531" s="2069"/>
      <c r="AE531" s="2069"/>
      <c r="AF531" s="2069"/>
      <c r="AG531" s="27"/>
      <c r="AH531" s="27"/>
      <c r="AI531" s="27"/>
      <c r="AJ531" s="27"/>
      <c r="AK531" s="1144"/>
      <c r="AL531" s="162"/>
      <c r="AN531" s="439"/>
      <c r="BM531" s="2372"/>
      <c r="BN531" s="2373"/>
      <c r="BO531" s="2372"/>
      <c r="BP531" s="2373"/>
      <c r="BQ531" s="2369"/>
      <c r="BR531" s="2371"/>
      <c r="BS531" s="2369"/>
      <c r="BT531" s="2371"/>
      <c r="BU531" s="2372"/>
      <c r="BV531" s="2373"/>
      <c r="BW531" s="2372"/>
      <c r="BX531" s="2373"/>
      <c r="BY531" s="2510">
        <f>IF(T611&gt;0,1,0)</f>
        <v>1</v>
      </c>
      <c r="BZ531" s="2512"/>
      <c r="CA531" s="2510">
        <f>IF(Y611&gt;=0.1,1,0)</f>
        <v>1</v>
      </c>
      <c r="CB531" s="2512"/>
      <c r="CC531" s="2372"/>
      <c r="CD531" s="2373"/>
      <c r="CE531" s="2372"/>
      <c r="CF531" s="2373"/>
      <c r="CG531" s="16"/>
      <c r="CH531" s="16"/>
      <c r="CI531" s="16"/>
      <c r="CJ531" s="16"/>
      <c r="CW531" s="16"/>
    </row>
    <row r="532" spans="1:101" s="46" customFormat="1" ht="12.75" hidden="1" customHeight="1">
      <c r="A532" s="28"/>
      <c r="C532" s="1199"/>
      <c r="D532" s="1154"/>
      <c r="E532" s="1174"/>
      <c r="F532" s="2575"/>
      <c r="G532" s="2575"/>
      <c r="H532" s="2575"/>
      <c r="I532" s="2575"/>
      <c r="J532" s="2575"/>
      <c r="K532" s="2575"/>
      <c r="L532" s="2575"/>
      <c r="M532" s="2575"/>
      <c r="N532" s="2575"/>
      <c r="O532" s="2575"/>
      <c r="P532" s="2575"/>
      <c r="Q532" s="2575"/>
      <c r="R532" s="2575"/>
      <c r="S532" s="2575"/>
      <c r="T532" s="2575"/>
      <c r="U532" s="2575"/>
      <c r="V532" s="2575"/>
      <c r="W532" s="2575"/>
      <c r="X532" s="2575"/>
      <c r="Y532" s="2575"/>
      <c r="Z532" s="2575"/>
      <c r="AA532" s="2575"/>
      <c r="AB532" s="2575"/>
      <c r="AC532" s="2575"/>
      <c r="AD532" s="2575"/>
      <c r="AE532" s="2575"/>
      <c r="AF532" s="2575"/>
      <c r="AG532" s="1176"/>
      <c r="AH532" s="1176"/>
      <c r="AI532" s="1176"/>
      <c r="AJ532" s="1176"/>
      <c r="AK532" s="1155"/>
      <c r="AL532" s="162"/>
      <c r="AN532" s="439"/>
      <c r="BM532" s="2372"/>
      <c r="BN532" s="2373"/>
      <c r="BO532" s="2372"/>
      <c r="BP532" s="2373"/>
      <c r="BQ532" s="2369"/>
      <c r="BR532" s="2371"/>
      <c r="BS532" s="2369"/>
      <c r="BT532" s="2371"/>
      <c r="BU532" s="2372"/>
      <c r="BV532" s="2373"/>
      <c r="BW532" s="2372"/>
      <c r="BX532" s="2373"/>
      <c r="BY532" s="2369"/>
      <c r="BZ532" s="2371"/>
      <c r="CA532" s="2369"/>
      <c r="CB532" s="2371"/>
      <c r="CC532" s="2372">
        <f>IF(T612&gt;0,1,0)</f>
        <v>0</v>
      </c>
      <c r="CD532" s="2373"/>
      <c r="CE532" s="2372">
        <f>IF(Y612&gt;=0.1,1,0)</f>
        <v>0</v>
      </c>
      <c r="CF532" s="2373"/>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72">
        <f>SUM(BM528:BN532)</f>
        <v>0</v>
      </c>
      <c r="BN533" s="2373"/>
      <c r="BO533" s="2372">
        <f>SUM(BO528:BP532)</f>
        <v>0</v>
      </c>
      <c r="BP533" s="2373"/>
      <c r="BQ533" s="2372">
        <f>SUM(BQ528:BR532)</f>
        <v>1</v>
      </c>
      <c r="BR533" s="2373"/>
      <c r="BS533" s="2372">
        <f>SUM(BS528:BT532)</f>
        <v>1</v>
      </c>
      <c r="BT533" s="2373"/>
      <c r="BU533" s="2372">
        <f>SUM(BU528:BV532)</f>
        <v>1</v>
      </c>
      <c r="BV533" s="2373"/>
      <c r="BW533" s="2372">
        <f>SUM(BW528:BX532)</f>
        <v>1</v>
      </c>
      <c r="BX533" s="2373"/>
      <c r="BY533" s="2372">
        <f>SUM(BY528:BZ532)</f>
        <v>1</v>
      </c>
      <c r="BZ533" s="2373"/>
      <c r="CA533" s="2372">
        <f>SUM(CA528:CB532)</f>
        <v>1</v>
      </c>
      <c r="CB533" s="2373"/>
      <c r="CC533" s="2372">
        <f>SUM(CC528:CD532)</f>
        <v>0</v>
      </c>
      <c r="CD533" s="2373"/>
      <c r="CE533" s="2372">
        <f>SUM(CE528:CF532)</f>
        <v>0</v>
      </c>
      <c r="CF533" s="2373"/>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88" t="s">
        <v>501</v>
      </c>
      <c r="AQ534" s="2389"/>
      <c r="AR534" s="2389"/>
      <c r="AS534" s="2389"/>
      <c r="AT534" s="2390"/>
      <c r="AU534" s="2388" t="s">
        <v>502</v>
      </c>
      <c r="AV534" s="2389"/>
      <c r="AW534" s="2389"/>
      <c r="AX534" s="2389"/>
      <c r="AY534" s="2390"/>
      <c r="BM534" s="2369">
        <f>SUM(BM533:BP533)</f>
        <v>0</v>
      </c>
      <c r="BN534" s="2370"/>
      <c r="BO534" s="2370"/>
      <c r="BP534" s="2371"/>
      <c r="BQ534" s="2369">
        <f>SUM(BQ533:BT533)</f>
        <v>2</v>
      </c>
      <c r="BR534" s="2370"/>
      <c r="BS534" s="2370"/>
      <c r="BT534" s="2371"/>
      <c r="BU534" s="2369">
        <f>SUM(BU533:BX533)</f>
        <v>2</v>
      </c>
      <c r="BV534" s="2370"/>
      <c r="BW534" s="2370"/>
      <c r="BX534" s="2371"/>
      <c r="BY534" s="2369">
        <f>SUM(BY533:CB533)</f>
        <v>2</v>
      </c>
      <c r="BZ534" s="2370"/>
      <c r="CA534" s="2370"/>
      <c r="CB534" s="2371"/>
      <c r="CC534" s="2369">
        <f>SUM(CC533:CF533)</f>
        <v>0</v>
      </c>
      <c r="CD534" s="2370"/>
      <c r="CE534" s="2370"/>
      <c r="CF534" s="2371"/>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66">
        <f>RANK(T608,$T$608:$X$612,0)+COUNTIF($T$608:$X$612,T608)-1</f>
        <v>5</v>
      </c>
      <c r="AQ535" s="2367"/>
      <c r="AR535" s="2367"/>
      <c r="AS535" s="2367"/>
      <c r="AT535" s="2368"/>
      <c r="AU535" s="2366">
        <f>RANK(Y608,$Y$608:$AC$612,0)+COUNTIF($Y$608:$AC$612,Y608)-1</f>
        <v>5</v>
      </c>
      <c r="AV535" s="2367"/>
      <c r="AW535" s="2367"/>
      <c r="AX535" s="2367"/>
      <c r="AY535" s="2368"/>
      <c r="BM535" s="2369"/>
      <c r="BN535" s="2370"/>
      <c r="BO535" s="2370"/>
      <c r="BP535" s="2371"/>
      <c r="BQ535" s="2369">
        <f>IF(AND(BQ534=2,BM534=1),1,0)</f>
        <v>0</v>
      </c>
      <c r="BR535" s="2370"/>
      <c r="BS535" s="2370"/>
      <c r="BT535" s="2371"/>
      <c r="BU535" s="2369">
        <f>IF(AND(BU534=2,BQ534=1),1,0)</f>
        <v>0</v>
      </c>
      <c r="BV535" s="2370"/>
      <c r="BW535" s="2370"/>
      <c r="BX535" s="2371"/>
      <c r="BY535" s="2369">
        <f>IF(AND(BY534=2,BU534=1),1,0)</f>
        <v>0</v>
      </c>
      <c r="BZ535" s="2370"/>
      <c r="CA535" s="2370"/>
      <c r="CB535" s="2371"/>
      <c r="CC535" s="2369">
        <f>IF(AND(CC534=2,BU534=1),1,0)</f>
        <v>0</v>
      </c>
      <c r="CD535" s="2370"/>
      <c r="CE535" s="2370"/>
      <c r="CF535" s="2371"/>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66">
        <f>RANK(T609,$T$608:$X$612,0)+COUNTIF($T$608:$X$612,T609)-1</f>
        <v>2</v>
      </c>
      <c r="AQ536" s="2367"/>
      <c r="AR536" s="2367"/>
      <c r="AS536" s="2367"/>
      <c r="AT536" s="2368"/>
      <c r="AU536" s="2366">
        <f>RANK(Y609,$Y$608:$AC$612,0)+COUNTIF($Y$608:$AC$612,Y609)-1</f>
        <v>1</v>
      </c>
      <c r="AV536" s="2367"/>
      <c r="AW536" s="2367"/>
      <c r="AX536" s="2367"/>
      <c r="AY536" s="2368"/>
      <c r="BM536" s="2369"/>
      <c r="BN536" s="2370"/>
      <c r="BO536" s="2370"/>
      <c r="BP536" s="2371"/>
      <c r="BQ536" s="2369"/>
      <c r="BR536" s="2370"/>
      <c r="BS536" s="2370"/>
      <c r="BT536" s="2371"/>
      <c r="BU536" s="2369">
        <f>IF(AND(BU534=2,BM534=1),1,0)</f>
        <v>0</v>
      </c>
      <c r="BV536" s="2370"/>
      <c r="BW536" s="2370"/>
      <c r="BX536" s="2371"/>
      <c r="BY536" s="2369">
        <f>IF(AND(BY534=2,BQ534=1),1,0)</f>
        <v>0</v>
      </c>
      <c r="BZ536" s="2370"/>
      <c r="CA536" s="2370"/>
      <c r="CB536" s="2371"/>
      <c r="CC536" s="2369">
        <f>IF(AND(CC535=2,BY535=1),1,0)</f>
        <v>0</v>
      </c>
      <c r="CD536" s="2370"/>
      <c r="CE536" s="2370"/>
      <c r="CF536" s="2371"/>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66">
        <f>RANK(T610,$T$608:$X$612,0)+COUNTIF($T$608:$X$612,T610)-1</f>
        <v>3</v>
      </c>
      <c r="AQ537" s="2367"/>
      <c r="AR537" s="2367"/>
      <c r="AS537" s="2367"/>
      <c r="AT537" s="2368"/>
      <c r="AU537" s="2366">
        <f>RANK(Y610,$Y$608:$AC$612,0)+COUNTIF($Y$608:$AC$612,Y610)-1</f>
        <v>2</v>
      </c>
      <c r="AV537" s="2367"/>
      <c r="AW537" s="2367"/>
      <c r="AX537" s="2367"/>
      <c r="AY537" s="2368"/>
      <c r="BM537" s="2369"/>
      <c r="BN537" s="2370"/>
      <c r="BO537" s="2370"/>
      <c r="BP537" s="2371"/>
      <c r="BQ537" s="2369"/>
      <c r="BR537" s="2370"/>
      <c r="BS537" s="2370"/>
      <c r="BT537" s="2371"/>
      <c r="BU537" s="2369"/>
      <c r="BV537" s="2370"/>
      <c r="BW537" s="2370"/>
      <c r="BX537" s="2371"/>
      <c r="BY537" s="2369">
        <f>IF(AND(BY534=2,BM534=1),1,0)</f>
        <v>0</v>
      </c>
      <c r="BZ537" s="2370"/>
      <c r="CA537" s="2370"/>
      <c r="CB537" s="2371"/>
      <c r="CC537" s="2369">
        <f>IF(AND(CC534=2,BQ534=1),1,0)</f>
        <v>0</v>
      </c>
      <c r="CD537" s="2370"/>
      <c r="CE537" s="2370"/>
      <c r="CF537" s="2371"/>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66">
        <f>RANK(T611,$T$608:$X$612,0)+COUNTIF($T$608:$X$612,T611)-1</f>
        <v>1</v>
      </c>
      <c r="AQ538" s="2367"/>
      <c r="AR538" s="2367"/>
      <c r="AS538" s="2367"/>
      <c r="AT538" s="2368"/>
      <c r="AU538" s="2366">
        <f>RANK(Y611,$Y$608:$AC$612,0)+COUNTIF($Y$608:$AC$612,Y611)-1</f>
        <v>3</v>
      </c>
      <c r="AV538" s="2367"/>
      <c r="AW538" s="2367"/>
      <c r="AX538" s="2367"/>
      <c r="AY538" s="2368"/>
      <c r="BM538" s="2369"/>
      <c r="BN538" s="2370"/>
      <c r="BO538" s="2370"/>
      <c r="BP538" s="2371"/>
      <c r="BQ538" s="2369"/>
      <c r="BR538" s="2370"/>
      <c r="BS538" s="2370"/>
      <c r="BT538" s="2371"/>
      <c r="BU538" s="2369"/>
      <c r="BV538" s="2370"/>
      <c r="BW538" s="2370"/>
      <c r="BX538" s="2371"/>
      <c r="BY538" s="2369"/>
      <c r="BZ538" s="2370"/>
      <c r="CA538" s="2370"/>
      <c r="CB538" s="2371"/>
      <c r="CC538" s="2369">
        <f>IF(AND(CC534=2,BM534=1),1,0)</f>
        <v>0</v>
      </c>
      <c r="CD538" s="2370"/>
      <c r="CE538" s="2370"/>
      <c r="CF538" s="2371"/>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66">
        <f>RANK(T612,$T$608:$X$612,0)+COUNTIF($T$608:$X$612,T612)-1</f>
        <v>5</v>
      </c>
      <c r="AQ539" s="2367"/>
      <c r="AR539" s="2367"/>
      <c r="AS539" s="2367"/>
      <c r="AT539" s="2368"/>
      <c r="AU539" s="2366">
        <f>RANK(Y612,$Y$608:$AC$612,0)+COUNTIF($Y$608:$AC$612,Y612)-1</f>
        <v>5</v>
      </c>
      <c r="AV539" s="2367"/>
      <c r="AW539" s="2367"/>
      <c r="AX539" s="2367"/>
      <c r="AY539" s="2368"/>
      <c r="BM539" s="2369">
        <f>SUM(BM535:BP538)</f>
        <v>0</v>
      </c>
      <c r="BN539" s="2370"/>
      <c r="BO539" s="2370"/>
      <c r="BP539" s="2371"/>
      <c r="BQ539" s="2369">
        <f>SUM(BQ535:BT538)</f>
        <v>0</v>
      </c>
      <c r="BR539" s="2370"/>
      <c r="BS539" s="2370"/>
      <c r="BT539" s="2371"/>
      <c r="BU539" s="2369">
        <f>SUM(BU535:BX538)</f>
        <v>0</v>
      </c>
      <c r="BV539" s="2370"/>
      <c r="BW539" s="2370"/>
      <c r="BX539" s="2371"/>
      <c r="BY539" s="2369">
        <f>SUM(BY535:CB538)</f>
        <v>0</v>
      </c>
      <c r="BZ539" s="2370"/>
      <c r="CA539" s="2370"/>
      <c r="CB539" s="2371"/>
      <c r="CC539" s="2369">
        <f>SUM(CC535:CF538)</f>
        <v>0</v>
      </c>
      <c r="CD539" s="2370"/>
      <c r="CE539" s="2370"/>
      <c r="CF539" s="2371"/>
      <c r="CG539" s="2369">
        <f>SUM(BM539:CF539)</f>
        <v>0</v>
      </c>
      <c r="CH539" s="2370"/>
      <c r="CI539" s="2370"/>
      <c r="CJ539" s="2371"/>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77">
        <f>SUM(AG486:AG531)</f>
        <v>0</v>
      </c>
      <c r="AL542" s="2397"/>
      <c r="AM542" s="2378"/>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372">
        <f>SUM(O608:S612)</f>
        <v>94</v>
      </c>
      <c r="AZ543" s="2373"/>
      <c r="CG543" s="35"/>
      <c r="CH543" s="2521" t="s">
        <v>840</v>
      </c>
      <c r="CI543" s="1793"/>
      <c r="CJ543" s="1793"/>
      <c r="CK543" s="1794"/>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372" t="str">
        <f>IF(AY543=BK570,"passed","failed")</f>
        <v>passed</v>
      </c>
      <c r="AT544" s="2374"/>
      <c r="AU544" s="2373"/>
      <c r="AV544" s="233"/>
      <c r="AW544" s="233"/>
      <c r="AX544" s="233"/>
      <c r="AY544" s="233"/>
      <c r="AZ544" s="234"/>
      <c r="CG544" s="35"/>
      <c r="CH544" s="1795"/>
      <c r="CI544" s="1796"/>
      <c r="CJ544" s="1796"/>
      <c r="CK544" s="1797"/>
    </row>
    <row r="545" spans="1:89" s="46" customFormat="1" ht="12.75" customHeight="1">
      <c r="A545" s="152" t="s">
        <v>2150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93" t="s">
        <v>406</v>
      </c>
      <c r="AF545" s="2393"/>
      <c r="AG545" s="2393"/>
      <c r="AH545" s="2393"/>
      <c r="AI545" s="2393"/>
      <c r="AJ545" s="2393"/>
      <c r="AK545" s="2393"/>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1795"/>
      <c r="CI545" s="1796"/>
      <c r="CJ545" s="1796"/>
      <c r="CK545" s="1797"/>
    </row>
    <row r="546" spans="1:89" s="46" customFormat="1" ht="12.75" customHeight="1">
      <c r="B546" s="207" t="s">
        <v>2151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82" t="s">
        <v>198</v>
      </c>
      <c r="AH546" s="2382"/>
      <c r="AI546" s="2382"/>
      <c r="AJ546" s="2382"/>
      <c r="AK546" s="26"/>
      <c r="AL546" s="1250"/>
      <c r="AM546" s="65"/>
      <c r="AN546" s="439"/>
      <c r="BE546" s="2369" t="s">
        <v>248</v>
      </c>
      <c r="BF546" s="2370"/>
      <c r="BG546" s="2370"/>
      <c r="BH546" s="2371"/>
      <c r="BI546" s="2369" t="s">
        <v>778</v>
      </c>
      <c r="BJ546" s="2370"/>
      <c r="BK546" s="2370"/>
      <c r="BL546" s="2371"/>
      <c r="BM546" s="2369" t="s">
        <v>779</v>
      </c>
      <c r="BN546" s="2370"/>
      <c r="BO546" s="2370"/>
      <c r="BP546" s="2371"/>
      <c r="BQ546" s="2369" t="s">
        <v>780</v>
      </c>
      <c r="BR546" s="2370"/>
      <c r="BS546" s="2370"/>
      <c r="BT546" s="2371"/>
      <c r="BU546" s="2369" t="s">
        <v>781</v>
      </c>
      <c r="BV546" s="2370"/>
      <c r="BW546" s="2370"/>
      <c r="BX546" s="2371"/>
      <c r="BY546" s="2369" t="s">
        <v>249</v>
      </c>
      <c r="BZ546" s="2370"/>
      <c r="CA546" s="2370"/>
      <c r="CB546" s="2371"/>
      <c r="CC546" s="16"/>
      <c r="CG546" s="16"/>
      <c r="CH546" s="1795"/>
      <c r="CI546" s="1796"/>
      <c r="CJ546" s="1796"/>
      <c r="CK546" s="1797"/>
    </row>
    <row r="547" spans="1:89" s="46" customFormat="1" ht="12.75" customHeight="1">
      <c r="A547" s="152"/>
      <c r="B547" s="2346" t="s">
        <v>1882</v>
      </c>
      <c r="C547" s="2346"/>
      <c r="D547" s="2346"/>
      <c r="E547" s="2346"/>
      <c r="F547" s="2346"/>
      <c r="G547" s="2346"/>
      <c r="H547" s="2346"/>
      <c r="I547" s="2346"/>
      <c r="J547" s="2346"/>
      <c r="K547" s="2346"/>
      <c r="L547" s="2346"/>
      <c r="M547" s="2346"/>
      <c r="N547" s="2346"/>
      <c r="O547" s="2346"/>
      <c r="P547" s="2346"/>
      <c r="Q547" s="2346"/>
      <c r="R547" s="2346"/>
      <c r="S547" s="2346"/>
      <c r="T547" s="2346"/>
      <c r="U547" s="2346"/>
      <c r="V547" s="2346"/>
      <c r="W547" s="2346"/>
      <c r="X547" s="2346"/>
      <c r="Y547" s="2346"/>
      <c r="Z547" s="2346"/>
      <c r="AA547" s="2346"/>
      <c r="AB547" s="2346"/>
      <c r="AC547" s="2346"/>
      <c r="AD547" s="2346"/>
      <c r="AE547" s="2346"/>
      <c r="AF547" s="2346"/>
      <c r="AG547" s="2346"/>
      <c r="AK547" s="65"/>
      <c r="AL547" s="65"/>
      <c r="AM547" s="153"/>
      <c r="AN547" s="439"/>
      <c r="AP547" s="668" t="s">
        <v>675</v>
      </c>
      <c r="AQ547" s="669"/>
      <c r="AR547" s="669"/>
      <c r="AS547" s="669"/>
      <c r="AT547" s="669"/>
      <c r="AU547" s="669"/>
      <c r="AV547" s="670"/>
      <c r="AW547" s="669"/>
      <c r="AX547" s="669"/>
      <c r="AY547" s="670"/>
      <c r="BE547" s="2372">
        <f>IF(CH548=1,0,1)</f>
        <v>0</v>
      </c>
      <c r="BF547" s="2374"/>
      <c r="BG547" s="2374"/>
      <c r="BH547" s="2373"/>
      <c r="BI547" s="2372"/>
      <c r="BJ547" s="2374"/>
      <c r="BK547" s="2374"/>
      <c r="BL547" s="2373"/>
      <c r="BM547" s="2372"/>
      <c r="BN547" s="2374"/>
      <c r="BO547" s="2374"/>
      <c r="BP547" s="2373"/>
      <c r="BQ547" s="2372"/>
      <c r="BR547" s="2374"/>
      <c r="BS547" s="2374"/>
      <c r="BT547" s="2373"/>
      <c r="BU547" s="2510"/>
      <c r="BV547" s="2511"/>
      <c r="BW547" s="2511"/>
      <c r="BX547" s="2512"/>
      <c r="BY547" s="2510"/>
      <c r="BZ547" s="2511"/>
      <c r="CA547" s="2511"/>
      <c r="CB547" s="2512"/>
      <c r="CC547" s="16"/>
      <c r="CG547" s="16"/>
      <c r="CH547" s="1798"/>
      <c r="CI547" s="1799"/>
      <c r="CJ547" s="1799"/>
      <c r="CK547" s="1800"/>
    </row>
    <row r="548" spans="1:89" s="46" customFormat="1" ht="12.75" customHeight="1">
      <c r="A548" s="29"/>
      <c r="B548" s="2346"/>
      <c r="C548" s="2346"/>
      <c r="D548" s="2346"/>
      <c r="E548" s="2346"/>
      <c r="F548" s="2346"/>
      <c r="G548" s="2346"/>
      <c r="H548" s="2346"/>
      <c r="I548" s="2346"/>
      <c r="J548" s="2346"/>
      <c r="K548" s="2346"/>
      <c r="L548" s="2346"/>
      <c r="M548" s="2346"/>
      <c r="N548" s="2346"/>
      <c r="O548" s="2346"/>
      <c r="P548" s="2346"/>
      <c r="Q548" s="2346"/>
      <c r="R548" s="2346"/>
      <c r="S548" s="2346"/>
      <c r="T548" s="2346"/>
      <c r="U548" s="2346"/>
      <c r="V548" s="2346"/>
      <c r="W548" s="2346"/>
      <c r="X548" s="2346"/>
      <c r="Y548" s="2346"/>
      <c r="Z548" s="2346"/>
      <c r="AA548" s="2346"/>
      <c r="AB548" s="2346"/>
      <c r="AC548" s="2346"/>
      <c r="AD548" s="2346"/>
      <c r="AE548" s="2346"/>
      <c r="AF548" s="2346"/>
      <c r="AG548" s="2346"/>
      <c r="AK548" s="246"/>
      <c r="AL548" s="246"/>
      <c r="AM548" s="246"/>
      <c r="AN548" s="439"/>
      <c r="AP548" s="671" t="s">
        <v>673</v>
      </c>
      <c r="AQ548" s="672"/>
      <c r="AR548" s="672"/>
      <c r="AS548" s="672"/>
      <c r="AT548" s="672"/>
      <c r="AU548" s="2375">
        <f>ROUNDUP(BK570*0.1,0)</f>
        <v>10</v>
      </c>
      <c r="AV548" s="2376"/>
      <c r="AW548" s="672"/>
      <c r="AX548" s="672">
        <f>AU548-AP550</f>
        <v>-15</v>
      </c>
      <c r="AY548" s="673"/>
      <c r="BE548" s="2372"/>
      <c r="BF548" s="2374"/>
      <c r="BG548" s="2374"/>
      <c r="BH548" s="2373"/>
      <c r="BI548" s="2372">
        <f>IF(AND(CH549=1,BE547=0),0,1)</f>
        <v>0</v>
      </c>
      <c r="BJ548" s="2374"/>
      <c r="BK548" s="2374"/>
      <c r="BL548" s="2373"/>
      <c r="BM548" s="2372"/>
      <c r="BN548" s="2374"/>
      <c r="BO548" s="2374"/>
      <c r="BP548" s="2373"/>
      <c r="BQ548" s="2372"/>
      <c r="BR548" s="2374"/>
      <c r="BS548" s="2374"/>
      <c r="BT548" s="2373"/>
      <c r="BU548" s="2510"/>
      <c r="BV548" s="2511"/>
      <c r="BW548" s="2511"/>
      <c r="BX548" s="2512"/>
      <c r="BY548" s="2510"/>
      <c r="BZ548" s="2511"/>
      <c r="CA548" s="2511"/>
      <c r="CB548" s="2512"/>
      <c r="CC548" s="16"/>
      <c r="CG548" s="16"/>
      <c r="CH548" s="2369">
        <f>IF(OR(Y608=0,Y608&gt;=0.1),1,0)</f>
        <v>1</v>
      </c>
      <c r="CI548" s="2370"/>
      <c r="CJ548" s="2370"/>
      <c r="CK548" s="2371"/>
    </row>
    <row r="549" spans="1:89" s="46" customFormat="1" ht="12.75" customHeight="1">
      <c r="A549" s="28"/>
      <c r="B549" s="2346"/>
      <c r="C549" s="2346"/>
      <c r="D549" s="2346"/>
      <c r="E549" s="2346"/>
      <c r="F549" s="2346"/>
      <c r="G549" s="2346"/>
      <c r="H549" s="2346"/>
      <c r="I549" s="2346"/>
      <c r="J549" s="2346"/>
      <c r="K549" s="2346"/>
      <c r="L549" s="2346"/>
      <c r="M549" s="2346"/>
      <c r="N549" s="2346"/>
      <c r="O549" s="2346"/>
      <c r="P549" s="2346"/>
      <c r="Q549" s="2346"/>
      <c r="R549" s="2346"/>
      <c r="S549" s="2346"/>
      <c r="T549" s="2346"/>
      <c r="U549" s="2346"/>
      <c r="V549" s="2346"/>
      <c r="W549" s="2346"/>
      <c r="X549" s="2346"/>
      <c r="Y549" s="2346"/>
      <c r="Z549" s="2346"/>
      <c r="AA549" s="2346"/>
      <c r="AB549" s="2346"/>
      <c r="AC549" s="2346"/>
      <c r="AD549" s="2346"/>
      <c r="AE549" s="2346"/>
      <c r="AF549" s="2346"/>
      <c r="AG549" s="2346"/>
      <c r="AH549" s="245"/>
      <c r="AI549" s="245"/>
      <c r="AJ549" s="245"/>
      <c r="AK549" s="246"/>
      <c r="AL549" s="246"/>
      <c r="AM549" s="246"/>
      <c r="AN549" s="439"/>
      <c r="AP549" s="671"/>
      <c r="AQ549" s="672"/>
      <c r="AR549" s="672"/>
      <c r="AS549" s="672"/>
      <c r="AT549" s="672"/>
      <c r="AU549" s="672"/>
      <c r="AV549" s="673"/>
      <c r="AW549" s="672"/>
      <c r="AX549" s="672"/>
      <c r="AY549" s="673"/>
      <c r="BE549" s="2372"/>
      <c r="BF549" s="2374"/>
      <c r="BG549" s="2374"/>
      <c r="BH549" s="2373"/>
      <c r="BI549" s="2372"/>
      <c r="BJ549" s="2374"/>
      <c r="BK549" s="2374"/>
      <c r="BL549" s="2373"/>
      <c r="BM549" s="2372">
        <f>IF(AND(AND(CH550=1,BI548=0,BE547=0)),0,1)</f>
        <v>0</v>
      </c>
      <c r="BN549" s="2374"/>
      <c r="BO549" s="2374"/>
      <c r="BP549" s="2373"/>
      <c r="BQ549" s="2372"/>
      <c r="BR549" s="2374"/>
      <c r="BS549" s="2374"/>
      <c r="BT549" s="2373"/>
      <c r="BU549" s="2510"/>
      <c r="BV549" s="2511"/>
      <c r="BW549" s="2511"/>
      <c r="BX549" s="2512"/>
      <c r="BY549" s="2510"/>
      <c r="BZ549" s="2511"/>
      <c r="CA549" s="2511"/>
      <c r="CB549" s="2512"/>
      <c r="CC549" s="16"/>
      <c r="CG549" s="16"/>
      <c r="CH549" s="2369">
        <f>IF(OR(Y609=0,Y609&gt;=0.1),1,0)</f>
        <v>1</v>
      </c>
      <c r="CI549" s="2370"/>
      <c r="CJ549" s="2370"/>
      <c r="CK549" s="2371"/>
    </row>
    <row r="550" spans="1:89" s="46" customFormat="1" ht="12.75" customHeight="1">
      <c r="A550" s="28"/>
      <c r="B550" s="2346"/>
      <c r="C550" s="2346"/>
      <c r="D550" s="2346"/>
      <c r="E550" s="2346"/>
      <c r="F550" s="2346"/>
      <c r="G550" s="2346"/>
      <c r="H550" s="2346"/>
      <c r="I550" s="2346"/>
      <c r="J550" s="2346"/>
      <c r="K550" s="2346"/>
      <c r="L550" s="2346"/>
      <c r="M550" s="2346"/>
      <c r="N550" s="2346"/>
      <c r="O550" s="2346"/>
      <c r="P550" s="2346"/>
      <c r="Q550" s="2346"/>
      <c r="R550" s="2346"/>
      <c r="S550" s="2346"/>
      <c r="T550" s="2346"/>
      <c r="U550" s="2346"/>
      <c r="V550" s="2346"/>
      <c r="W550" s="2346"/>
      <c r="X550" s="2346"/>
      <c r="Y550" s="2346"/>
      <c r="Z550" s="2346"/>
      <c r="AA550" s="2346"/>
      <c r="AB550" s="2346"/>
      <c r="AC550" s="2346"/>
      <c r="AD550" s="2346"/>
      <c r="AE550" s="2346"/>
      <c r="AF550" s="2346"/>
      <c r="AG550" s="2346"/>
      <c r="AH550" s="245"/>
      <c r="AI550" s="245"/>
      <c r="AJ550" s="245"/>
      <c r="AK550" s="246"/>
      <c r="AL550" s="246"/>
      <c r="AM550" s="246"/>
      <c r="AN550" s="439"/>
      <c r="AP550" s="2401">
        <f>SUM(T608:X612)</f>
        <v>25</v>
      </c>
      <c r="AQ550" s="2402"/>
      <c r="AR550" s="2402"/>
      <c r="AS550" s="2402"/>
      <c r="AT550" s="2403"/>
      <c r="AU550" s="672"/>
      <c r="AV550" s="673"/>
      <c r="AW550" s="672"/>
      <c r="AX550" s="672"/>
      <c r="AY550" s="673"/>
      <c r="BE550" s="2372"/>
      <c r="BF550" s="2374"/>
      <c r="BG550" s="2374"/>
      <c r="BH550" s="2373"/>
      <c r="BI550" s="2372"/>
      <c r="BJ550" s="2374"/>
      <c r="BK550" s="2374"/>
      <c r="BL550" s="2373"/>
      <c r="BM550" s="2372"/>
      <c r="BN550" s="2374"/>
      <c r="BO550" s="2374"/>
      <c r="BP550" s="2373"/>
      <c r="BQ550" s="2372">
        <f>IF(AND(AND(AND(CH551=1,BM549=0,BI548=0,BE547=0))),0,1)</f>
        <v>0</v>
      </c>
      <c r="BR550" s="2374"/>
      <c r="BS550" s="2374"/>
      <c r="BT550" s="2373"/>
      <c r="BU550" s="2510"/>
      <c r="BV550" s="2511"/>
      <c r="BW550" s="2511"/>
      <c r="BX550" s="2512"/>
      <c r="BY550" s="2510"/>
      <c r="BZ550" s="2511"/>
      <c r="CA550" s="2511"/>
      <c r="CB550" s="2512"/>
      <c r="CC550" s="16"/>
      <c r="CG550" s="16"/>
      <c r="CH550" s="2369">
        <f>IF(OR(Y610=0,Y610&gt;=0.1),1,0)</f>
        <v>1</v>
      </c>
      <c r="CI550" s="2370"/>
      <c r="CJ550" s="2370"/>
      <c r="CK550" s="2371"/>
    </row>
    <row r="551" spans="1:89" s="46" customFormat="1" ht="12.75" customHeight="1">
      <c r="A551" s="28"/>
      <c r="B551" s="2346"/>
      <c r="C551" s="2346"/>
      <c r="D551" s="2346"/>
      <c r="E551" s="2346"/>
      <c r="F551" s="2346"/>
      <c r="G551" s="2346"/>
      <c r="H551" s="2346"/>
      <c r="I551" s="2346"/>
      <c r="J551" s="2346"/>
      <c r="K551" s="2346"/>
      <c r="L551" s="2346"/>
      <c r="M551" s="2346"/>
      <c r="N551" s="2346"/>
      <c r="O551" s="2346"/>
      <c r="P551" s="2346"/>
      <c r="Q551" s="2346"/>
      <c r="R551" s="2346"/>
      <c r="S551" s="2346"/>
      <c r="T551" s="2346"/>
      <c r="U551" s="2346"/>
      <c r="V551" s="2346"/>
      <c r="W551" s="2346"/>
      <c r="X551" s="2346"/>
      <c r="Y551" s="2346"/>
      <c r="Z551" s="2346"/>
      <c r="AA551" s="2346"/>
      <c r="AB551" s="2346"/>
      <c r="AC551" s="2346"/>
      <c r="AD551" s="2346"/>
      <c r="AE551" s="2346"/>
      <c r="AF551" s="2346"/>
      <c r="AG551" s="2346"/>
      <c r="AH551" s="245"/>
      <c r="AI551" s="245"/>
      <c r="AJ551" s="245"/>
      <c r="AK551" s="246"/>
      <c r="AL551" s="246"/>
      <c r="AM551" s="246"/>
      <c r="AN551" s="439"/>
      <c r="AP551" s="674"/>
      <c r="AQ551" s="675"/>
      <c r="AR551" s="675"/>
      <c r="AS551" s="675"/>
      <c r="AT551" s="676" t="s">
        <v>668</v>
      </c>
      <c r="AU551" s="2375" t="str">
        <f>IF(AP550&gt;=AU548,"passed","failed")</f>
        <v>passed</v>
      </c>
      <c r="AV551" s="2535"/>
      <c r="AW551" s="2376"/>
      <c r="AX551" s="677"/>
      <c r="AY551" s="678"/>
      <c r="BE551" s="2372"/>
      <c r="BF551" s="2374"/>
      <c r="BG551" s="2374"/>
      <c r="BH551" s="2373"/>
      <c r="BI551" s="2372"/>
      <c r="BJ551" s="2374"/>
      <c r="BK551" s="2374"/>
      <c r="BL551" s="2373"/>
      <c r="BM551" s="2372"/>
      <c r="BN551" s="2374"/>
      <c r="BO551" s="2374"/>
      <c r="BP551" s="2373"/>
      <c r="BQ551" s="2372"/>
      <c r="BR551" s="2374"/>
      <c r="BS551" s="2374"/>
      <c r="BT551" s="2373"/>
      <c r="BU551" s="2372">
        <f>IF(AND(AND(AND(AND(CH552=1,BQ550=0,BM549=0,BI548=0,BE547=0)))),0,1)</f>
        <v>0</v>
      </c>
      <c r="BV551" s="2374"/>
      <c r="BW551" s="2374"/>
      <c r="BX551" s="2373"/>
      <c r="BY551" s="2510"/>
      <c r="BZ551" s="2511"/>
      <c r="CA551" s="2511"/>
      <c r="CB551" s="2512"/>
      <c r="CC551" s="16"/>
      <c r="CD551" s="16"/>
      <c r="CE551" s="16"/>
      <c r="CF551" s="16"/>
      <c r="CG551" s="16"/>
      <c r="CH551" s="2369">
        <f>IF(OR(Y611=0,Y611&gt;=0.1),1,0)</f>
        <v>1</v>
      </c>
      <c r="CI551" s="2370"/>
      <c r="CJ551" s="2370"/>
      <c r="CK551" s="2371"/>
    </row>
    <row r="552" spans="1:89" s="46" customFormat="1" ht="13.65" customHeight="1">
      <c r="A552" s="28"/>
      <c r="B552" s="2346"/>
      <c r="C552" s="2346"/>
      <c r="D552" s="2346"/>
      <c r="E552" s="2346"/>
      <c r="F552" s="2346"/>
      <c r="G552" s="2346"/>
      <c r="H552" s="2346"/>
      <c r="I552" s="2346"/>
      <c r="J552" s="2346"/>
      <c r="K552" s="2346"/>
      <c r="L552" s="2346"/>
      <c r="M552" s="2346"/>
      <c r="N552" s="2346"/>
      <c r="O552" s="2346"/>
      <c r="P552" s="2346"/>
      <c r="Q552" s="2346"/>
      <c r="R552" s="2346"/>
      <c r="S552" s="2346"/>
      <c r="T552" s="2346"/>
      <c r="U552" s="2346"/>
      <c r="V552" s="2346"/>
      <c r="W552" s="2346"/>
      <c r="X552" s="2346"/>
      <c r="Y552" s="2346"/>
      <c r="Z552" s="2346"/>
      <c r="AA552" s="2346"/>
      <c r="AB552" s="2346"/>
      <c r="AC552" s="2346"/>
      <c r="AD552" s="2346"/>
      <c r="AE552" s="2346"/>
      <c r="AF552" s="2346"/>
      <c r="AG552" s="2346"/>
      <c r="AH552" s="245"/>
      <c r="AI552" s="245"/>
      <c r="AJ552" s="245"/>
      <c r="AK552" s="246"/>
      <c r="AL552" s="246"/>
      <c r="AM552" s="246"/>
      <c r="AN552" s="1089"/>
      <c r="BE552" s="2372">
        <f>SUM(BE547:BH551)</f>
        <v>0</v>
      </c>
      <c r="BF552" s="2374"/>
      <c r="BG552" s="2374"/>
      <c r="BH552" s="2373"/>
      <c r="BI552" s="2372">
        <f>SUM(BI547:BL551)</f>
        <v>0</v>
      </c>
      <c r="BJ552" s="2374"/>
      <c r="BK552" s="2374"/>
      <c r="BL552" s="2373"/>
      <c r="BM552" s="2372">
        <f>SUM(BM547:BP551)</f>
        <v>0</v>
      </c>
      <c r="BN552" s="2374"/>
      <c r="BO552" s="2374"/>
      <c r="BP552" s="2373"/>
      <c r="BQ552" s="2372">
        <f>SUM(BQ547:BT551)</f>
        <v>0</v>
      </c>
      <c r="BR552" s="2374"/>
      <c r="BS552" s="2374"/>
      <c r="BT552" s="2373"/>
      <c r="BU552" s="2372">
        <f>SUM(BU547:BX551)</f>
        <v>0</v>
      </c>
      <c r="BV552" s="2374"/>
      <c r="BW552" s="2374"/>
      <c r="BX552" s="2373"/>
      <c r="BY552" s="2372">
        <f>SUM(BY547:CB551)</f>
        <v>0</v>
      </c>
      <c r="BZ552" s="2374"/>
      <c r="CA552" s="2374"/>
      <c r="CB552" s="2373"/>
      <c r="CC552" s="2369">
        <f>IF(AND(CH548=1,T608&gt;0),0,SUM(BE552:CB552))</f>
        <v>0</v>
      </c>
      <c r="CD552" s="2370"/>
      <c r="CE552" s="2370"/>
      <c r="CF552" s="2371"/>
      <c r="CG552" s="16"/>
      <c r="CH552" s="2369">
        <f>IF(OR(Y612=0,Y612&gt;=0.1),1,0)</f>
        <v>1</v>
      </c>
      <c r="CI552" s="2370"/>
      <c r="CJ552" s="2370"/>
      <c r="CK552" s="2371"/>
    </row>
    <row r="553" spans="1:89" s="137" customFormat="1" ht="12.45" customHeight="1">
      <c r="A553" s="28"/>
      <c r="B553" s="2539" t="s">
        <v>1636</v>
      </c>
      <c r="C553" s="2539"/>
      <c r="D553" s="2539"/>
      <c r="E553" s="2539"/>
      <c r="F553" s="2539"/>
      <c r="G553" s="2539"/>
      <c r="H553" s="2539"/>
      <c r="I553" s="2539"/>
      <c r="J553" s="2539"/>
      <c r="K553" s="2539"/>
      <c r="L553" s="2539"/>
      <c r="M553" s="2539"/>
      <c r="N553" s="2539"/>
      <c r="O553" s="2539"/>
      <c r="P553" s="2539"/>
      <c r="Q553" s="2539"/>
      <c r="R553" s="2539"/>
      <c r="S553" s="2539"/>
      <c r="T553" s="2539"/>
      <c r="U553" s="2539"/>
      <c r="V553" s="2539"/>
      <c r="W553" s="2539"/>
      <c r="X553" s="2539"/>
      <c r="Y553" s="2539"/>
      <c r="Z553" s="2539"/>
      <c r="AA553" s="2539"/>
      <c r="AB553" s="2539"/>
      <c r="AC553" s="2539"/>
      <c r="AD553" s="2539"/>
      <c r="AE553" s="2539"/>
      <c r="AF553" s="2539"/>
      <c r="AG553" s="2539"/>
      <c r="AH553" s="245"/>
      <c r="AI553" s="245"/>
      <c r="AJ553" s="245"/>
      <c r="AK553" s="246"/>
      <c r="AL553" s="246"/>
      <c r="AM553" s="246"/>
      <c r="AN553" s="439"/>
    </row>
    <row r="554" spans="1:89" s="46" customFormat="1" ht="21" customHeight="1">
      <c r="A554" s="28"/>
      <c r="B554" s="2539"/>
      <c r="C554" s="2539"/>
      <c r="D554" s="2539"/>
      <c r="E554" s="2539"/>
      <c r="F554" s="2539"/>
      <c r="G554" s="2539"/>
      <c r="H554" s="2539"/>
      <c r="I554" s="2539"/>
      <c r="J554" s="2539"/>
      <c r="K554" s="2539"/>
      <c r="L554" s="2539"/>
      <c r="M554" s="2539"/>
      <c r="N554" s="2539"/>
      <c r="O554" s="2539"/>
      <c r="P554" s="2539"/>
      <c r="Q554" s="2539"/>
      <c r="R554" s="2539"/>
      <c r="S554" s="2539"/>
      <c r="T554" s="2539"/>
      <c r="U554" s="2539"/>
      <c r="V554" s="2539"/>
      <c r="W554" s="2539"/>
      <c r="X554" s="2539"/>
      <c r="Y554" s="2539"/>
      <c r="Z554" s="2539"/>
      <c r="AA554" s="2539"/>
      <c r="AB554" s="2539"/>
      <c r="AC554" s="2539"/>
      <c r="AD554" s="2539"/>
      <c r="AE554" s="2539"/>
      <c r="AF554" s="2539"/>
      <c r="AG554" s="2539"/>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539" t="s">
        <v>1929</v>
      </c>
      <c r="C555" s="2539"/>
      <c r="D555" s="2539"/>
      <c r="E555" s="2539"/>
      <c r="F555" s="2539"/>
      <c r="G555" s="2539"/>
      <c r="H555" s="2539"/>
      <c r="I555" s="2539"/>
      <c r="J555" s="2539"/>
      <c r="K555" s="2539"/>
      <c r="L555" s="2539"/>
      <c r="M555" s="2539"/>
      <c r="N555" s="2539"/>
      <c r="O555" s="2539"/>
      <c r="P555" s="2539"/>
      <c r="Q555" s="2539"/>
      <c r="R555" s="2539"/>
      <c r="S555" s="2539"/>
      <c r="T555" s="2539"/>
      <c r="U555" s="2539"/>
      <c r="V555" s="2539"/>
      <c r="W555" s="2539"/>
      <c r="X555" s="2539"/>
      <c r="Y555" s="2539"/>
      <c r="Z555" s="2539"/>
      <c r="AA555" s="2539"/>
      <c r="AB555" s="2539"/>
      <c r="AC555" s="2539"/>
      <c r="AD555" s="2539"/>
      <c r="AE555" s="2539"/>
      <c r="AF555" s="2539"/>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539"/>
      <c r="C556" s="2539"/>
      <c r="D556" s="2539"/>
      <c r="E556" s="2539"/>
      <c r="F556" s="2539"/>
      <c r="G556" s="2539"/>
      <c r="H556" s="2539"/>
      <c r="I556" s="2539"/>
      <c r="J556" s="2539"/>
      <c r="K556" s="2539"/>
      <c r="L556" s="2539"/>
      <c r="M556" s="2539"/>
      <c r="N556" s="2539"/>
      <c r="O556" s="2539"/>
      <c r="P556" s="2539"/>
      <c r="Q556" s="2539"/>
      <c r="R556" s="2539"/>
      <c r="S556" s="2539"/>
      <c r="T556" s="2539"/>
      <c r="U556" s="2539"/>
      <c r="V556" s="2539"/>
      <c r="W556" s="2539"/>
      <c r="X556" s="2539"/>
      <c r="Y556" s="2539"/>
      <c r="Z556" s="2539"/>
      <c r="AA556" s="2539"/>
      <c r="AB556" s="2539"/>
      <c r="AC556" s="2539"/>
      <c r="AD556" s="2539"/>
      <c r="AE556" s="2539"/>
      <c r="AF556" s="2539"/>
      <c r="AG556" s="245"/>
      <c r="AH556" s="245"/>
      <c r="AI556" s="245"/>
      <c r="AJ556" s="245"/>
      <c r="AK556" s="246"/>
      <c r="AL556" s="246"/>
      <c r="AM556" s="246"/>
      <c r="AN556" s="439"/>
      <c r="AP556" s="232"/>
      <c r="AQ556" s="233"/>
      <c r="AR556" s="233"/>
      <c r="AS556" s="233"/>
      <c r="AT556" s="239" t="s">
        <v>668</v>
      </c>
      <c r="AU556" s="233"/>
      <c r="AV556" s="2372" t="str">
        <f>IF(BJ592&gt;0,"failed","passed")</f>
        <v>failed</v>
      </c>
      <c r="AW556" s="2374"/>
      <c r="AX556" s="2374"/>
      <c r="AY556" s="2373"/>
    </row>
    <row r="557" spans="1:89" s="46" customFormat="1" ht="12.45" customHeight="1">
      <c r="A557" s="28"/>
      <c r="B557" s="1104" t="s">
        <v>1640</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00" t="s">
        <v>1637</v>
      </c>
      <c r="R559" s="2400"/>
      <c r="S559" s="2400"/>
      <c r="T559" s="2400"/>
      <c r="U559" s="2400"/>
      <c r="V559" s="2400"/>
      <c r="W559" s="2400"/>
      <c r="X559" s="2400"/>
      <c r="Y559" s="2400"/>
      <c r="Z559" s="2400"/>
      <c r="AA559" s="2400"/>
      <c r="AB559" s="2400"/>
      <c r="AC559" s="2400"/>
      <c r="AD559" s="2400"/>
      <c r="AE559" s="2400"/>
      <c r="AF559" s="2400"/>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00"/>
      <c r="R560" s="2400"/>
      <c r="S560" s="2400"/>
      <c r="T560" s="2400"/>
      <c r="U560" s="2400"/>
      <c r="V560" s="2400"/>
      <c r="W560" s="2400"/>
      <c r="X560" s="2400"/>
      <c r="Y560" s="2400"/>
      <c r="Z560" s="2400"/>
      <c r="AA560" s="2400"/>
      <c r="AB560" s="2400"/>
      <c r="AC560" s="2400"/>
      <c r="AD560" s="2400"/>
      <c r="AE560" s="2400"/>
      <c r="AF560" s="2400"/>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98" t="s">
        <v>1928</v>
      </c>
      <c r="R561" s="2399"/>
      <c r="S561" s="2421" t="s">
        <v>226</v>
      </c>
      <c r="T561" s="2421"/>
      <c r="U561" s="2398">
        <v>0.5</v>
      </c>
      <c r="V561" s="2399"/>
      <c r="W561" s="2398">
        <v>0.45</v>
      </c>
      <c r="X561" s="2399"/>
      <c r="Y561" s="2398">
        <v>0.4</v>
      </c>
      <c r="Z561" s="2399"/>
      <c r="AA561" s="2398">
        <v>0.35</v>
      </c>
      <c r="AB561" s="2399"/>
      <c r="AC561" s="2533">
        <v>0.3</v>
      </c>
      <c r="AD561" s="2534"/>
      <c r="AE561" s="2398">
        <v>0.2</v>
      </c>
      <c r="AF561" s="239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4"/>
      <c r="P562" s="2335"/>
      <c r="Q562" s="2582"/>
      <c r="R562" s="2540"/>
      <c r="S562" s="2548"/>
      <c r="T562" s="2548"/>
      <c r="U562" s="2540"/>
      <c r="V562" s="2540"/>
      <c r="W562" s="2540"/>
      <c r="X562" s="2540"/>
      <c r="Y562" s="2540"/>
      <c r="Z562" s="2540"/>
      <c r="AA562" s="2543"/>
      <c r="AB562" s="2543"/>
      <c r="AC562" s="2540"/>
      <c r="AD562" s="2540"/>
      <c r="AE562" s="2531"/>
      <c r="AF562" s="2532"/>
      <c r="AN562" s="439"/>
      <c r="AP562" s="226" t="s">
        <v>775</v>
      </c>
      <c r="AQ562" s="91"/>
      <c r="AR562" s="91"/>
      <c r="AS562" s="91"/>
      <c r="AT562" s="2369" t="str">
        <f>IF(OR(AV556="passed",BD560="passed"),"passed","failed")</f>
        <v>passed</v>
      </c>
      <c r="AU562" s="2370"/>
      <c r="AV562" s="2370"/>
      <c r="AW562" s="2370"/>
      <c r="AX562" s="2371"/>
    </row>
    <row r="563" spans="1:96" s="46" customFormat="1" ht="12.75" customHeight="1">
      <c r="A563" s="28"/>
      <c r="B563" s="106"/>
      <c r="C563" s="28"/>
      <c r="I563" s="345"/>
      <c r="J563" s="245"/>
      <c r="K563" s="162"/>
      <c r="L563" s="162"/>
      <c r="M563" s="162"/>
      <c r="N563" s="71"/>
      <c r="O563" s="2334"/>
      <c r="P563" s="2335"/>
      <c r="Q563" s="2547"/>
      <c r="R563" s="2307"/>
      <c r="S563" s="2307"/>
      <c r="T563" s="2307"/>
      <c r="U563" s="2307"/>
      <c r="V563" s="2307"/>
      <c r="W563" s="2307"/>
      <c r="X563" s="2307"/>
      <c r="Y563" s="2306"/>
      <c r="Z563" s="2306"/>
      <c r="AA563" s="2307"/>
      <c r="AB563" s="2307"/>
      <c r="AC563" s="2306"/>
      <c r="AD563" s="2306"/>
      <c r="AE563" s="2308"/>
      <c r="AF563" s="230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4"/>
      <c r="P564" s="2335"/>
      <c r="Q564" s="2547"/>
      <c r="R564" s="2307"/>
      <c r="S564" s="2307"/>
      <c r="T564" s="2307"/>
      <c r="U564" s="2307"/>
      <c r="V564" s="2307"/>
      <c r="W564" s="2307"/>
      <c r="X564" s="2307"/>
      <c r="Y564" s="2307"/>
      <c r="Z564" s="2307"/>
      <c r="AA564" s="2306"/>
      <c r="AB564" s="2306"/>
      <c r="AC564" s="2307"/>
      <c r="AD564" s="2307"/>
      <c r="AE564" s="2342"/>
      <c r="AF564" s="2343"/>
      <c r="AN564" s="439"/>
      <c r="AP564" s="235" t="s">
        <v>669</v>
      </c>
      <c r="AQ564" s="236"/>
      <c r="AR564" s="236"/>
      <c r="AS564" s="236"/>
      <c r="AT564" s="236"/>
      <c r="AU564" s="236"/>
      <c r="AV564" s="237"/>
      <c r="AW564" s="2536" t="str">
        <f>IF(AND(AND(AND(AND(AS544="passed",AU551="passed",BD560="passed",SUM(T608:X612)&gt;1)))),"YES","NO")</f>
        <v>YES</v>
      </c>
      <c r="AX564" s="2537"/>
      <c r="AY564" s="2538"/>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4"/>
      <c r="P565" s="2335"/>
      <c r="Q565" s="2547"/>
      <c r="R565" s="2307"/>
      <c r="S565" s="2307"/>
      <c r="T565" s="2307"/>
      <c r="U565" s="2307"/>
      <c r="V565" s="2307"/>
      <c r="W565" s="2307"/>
      <c r="X565" s="2307"/>
      <c r="Y565" s="2306"/>
      <c r="Z565" s="2306"/>
      <c r="AA565" s="2307"/>
      <c r="AB565" s="2307"/>
      <c r="AC565" s="2306"/>
      <c r="AD565" s="2306"/>
      <c r="AE565" s="2308"/>
      <c r="AF565" s="2309"/>
      <c r="AN565" s="439"/>
    </row>
    <row r="566" spans="1:96" s="46" customFormat="1" ht="12.75" customHeight="1">
      <c r="A566" s="28"/>
      <c r="B566" s="106"/>
      <c r="C566" s="28"/>
      <c r="I566" s="345"/>
      <c r="J566" s="245"/>
      <c r="K566" s="162"/>
      <c r="L566" s="162"/>
      <c r="M566" s="162"/>
      <c r="N566" s="71"/>
      <c r="O566" s="2334"/>
      <c r="P566" s="2335"/>
      <c r="Q566" s="2547"/>
      <c r="R566" s="2307"/>
      <c r="S566" s="2307"/>
      <c r="T566" s="2307"/>
      <c r="U566" s="2307"/>
      <c r="V566" s="2307"/>
      <c r="W566" s="2306"/>
      <c r="X566" s="2306"/>
      <c r="Y566" s="2307"/>
      <c r="Z566" s="2307"/>
      <c r="AA566" s="2306"/>
      <c r="AB566" s="2306"/>
      <c r="AC566" s="2307"/>
      <c r="AD566" s="2307"/>
      <c r="AE566" s="2342"/>
      <c r="AF566" s="2343"/>
      <c r="AN566" s="439"/>
    </row>
    <row r="567" spans="1:96" s="46" customFormat="1" ht="12.75" customHeight="1">
      <c r="A567" s="28"/>
      <c r="B567" s="106"/>
      <c r="C567" s="28"/>
      <c r="I567" s="345"/>
      <c r="J567" s="245"/>
      <c r="K567" s="162"/>
      <c r="L567" s="162"/>
      <c r="M567" s="162"/>
      <c r="N567" s="71"/>
      <c r="O567" s="2334"/>
      <c r="P567" s="2335"/>
      <c r="Q567" s="2547"/>
      <c r="R567" s="2307"/>
      <c r="S567" s="2307"/>
      <c r="T567" s="2307"/>
      <c r="U567" s="2307"/>
      <c r="V567" s="2307"/>
      <c r="W567" s="2307"/>
      <c r="X567" s="2307"/>
      <c r="Y567" s="2306"/>
      <c r="Z567" s="2306"/>
      <c r="AA567" s="2307"/>
      <c r="AB567" s="2307"/>
      <c r="AC567" s="2306"/>
      <c r="AD567" s="2306"/>
      <c r="AE567" s="2308"/>
      <c r="AF567" s="2309"/>
      <c r="AN567" s="439"/>
      <c r="AU567" s="65"/>
      <c r="AV567" s="65"/>
      <c r="AW567" s="90"/>
      <c r="AX567" s="91"/>
      <c r="AY567" s="91"/>
      <c r="AZ567" s="100" t="s">
        <v>1217</v>
      </c>
      <c r="BA567" s="2513" t="s">
        <v>776</v>
      </c>
      <c r="BB567" s="2514"/>
      <c r="BC567" s="2514"/>
      <c r="BD567" s="2514"/>
      <c r="BE567" s="2515"/>
      <c r="BF567" s="2544">
        <f>SUM(O608:S612)</f>
        <v>94</v>
      </c>
      <c r="BG567" s="2545"/>
      <c r="BH567" s="2545"/>
      <c r="BI567" s="2545"/>
      <c r="BJ567" s="2546"/>
      <c r="BK567" s="2316">
        <f>SUM(T608:X612)</f>
        <v>25</v>
      </c>
      <c r="BL567" s="2317"/>
      <c r="BM567" s="2317"/>
      <c r="BN567" s="2317"/>
      <c r="BO567" s="2318"/>
    </row>
    <row r="568" spans="1:96" s="46" customFormat="1" ht="12.75" customHeight="1">
      <c r="A568" s="28"/>
      <c r="B568" s="57"/>
      <c r="C568" s="28"/>
      <c r="I568" s="2328" t="s">
        <v>1635</v>
      </c>
      <c r="J568" s="2329"/>
      <c r="K568" s="2329"/>
      <c r="L568" s="2329"/>
      <c r="M568" s="2329"/>
      <c r="N568" s="2330"/>
      <c r="O568" s="2334">
        <v>0.5</v>
      </c>
      <c r="P568" s="2335"/>
      <c r="Q568" s="2583"/>
      <c r="R568" s="2396"/>
      <c r="S568" s="2307"/>
      <c r="T568" s="2307"/>
      <c r="U568" s="2395" t="s">
        <v>1639</v>
      </c>
      <c r="V568" s="2395"/>
      <c r="W568" s="2584">
        <v>37.5</v>
      </c>
      <c r="X568" s="2584"/>
      <c r="Y568" s="2396"/>
      <c r="Z568" s="2396"/>
      <c r="AA568" s="2584"/>
      <c r="AB568" s="2584"/>
      <c r="AC568" s="2396"/>
      <c r="AD568" s="2396"/>
      <c r="AE568" s="2541"/>
      <c r="AF568" s="2542"/>
      <c r="AN568" s="439"/>
      <c r="CL568" s="16"/>
      <c r="CM568" s="16"/>
    </row>
    <row r="569" spans="1:96" s="46" customFormat="1" ht="12.75" customHeight="1">
      <c r="A569" s="28"/>
      <c r="B569" s="195"/>
      <c r="C569" s="101"/>
      <c r="D569" s="28"/>
      <c r="E569" s="28"/>
      <c r="I569" s="2328"/>
      <c r="J569" s="2329"/>
      <c r="K569" s="2329"/>
      <c r="L569" s="2329"/>
      <c r="M569" s="2329"/>
      <c r="N569" s="2330"/>
      <c r="O569" s="2334">
        <v>0.45</v>
      </c>
      <c r="P569" s="2335"/>
      <c r="Q569" s="2547"/>
      <c r="R569" s="2307"/>
      <c r="S569" s="2307"/>
      <c r="T569" s="2307"/>
      <c r="U569" s="2305" t="s">
        <v>144</v>
      </c>
      <c r="V569" s="2305"/>
      <c r="W569" s="2306">
        <v>33.799999999999997</v>
      </c>
      <c r="X569" s="2306"/>
      <c r="Y569" s="2306"/>
      <c r="Z569" s="2306"/>
      <c r="AA569" s="2307"/>
      <c r="AB569" s="2307"/>
      <c r="AC569" s="2306"/>
      <c r="AD569" s="2306"/>
      <c r="AE569" s="2308"/>
      <c r="AF569" s="2309"/>
      <c r="AN569" s="439"/>
      <c r="CL569" s="16"/>
      <c r="CM569" s="16"/>
    </row>
    <row r="570" spans="1:96" s="46" customFormat="1" ht="12.75" customHeight="1">
      <c r="A570" s="28"/>
      <c r="B570" s="8"/>
      <c r="C570" s="8"/>
      <c r="D570" s="8"/>
      <c r="E570" s="8"/>
      <c r="I570" s="2328"/>
      <c r="J570" s="2329"/>
      <c r="K570" s="2329"/>
      <c r="L570" s="2329"/>
      <c r="M570" s="2329"/>
      <c r="N570" s="2330"/>
      <c r="O570" s="2334">
        <v>0.4</v>
      </c>
      <c r="P570" s="2335"/>
      <c r="Q570" s="2547"/>
      <c r="R570" s="2307"/>
      <c r="S570" s="2305" t="s">
        <v>1638</v>
      </c>
      <c r="T570" s="2305"/>
      <c r="U570" s="2306">
        <v>20</v>
      </c>
      <c r="V570" s="2306"/>
      <c r="W570" s="2306">
        <v>30</v>
      </c>
      <c r="X570" s="2306"/>
      <c r="Y570" s="2306"/>
      <c r="Z570" s="2306"/>
      <c r="AA570" s="2306"/>
      <c r="AB570" s="2306"/>
      <c r="AC570" s="2306"/>
      <c r="AD570" s="2306"/>
      <c r="AE570" s="2308"/>
      <c r="AF570" s="2309"/>
      <c r="AN570" s="439"/>
      <c r="AP570" s="2500" t="s">
        <v>227</v>
      </c>
      <c r="AQ570" s="2501"/>
      <c r="AR570" s="2501"/>
      <c r="AS570" s="2501"/>
      <c r="AT570" s="2501"/>
      <c r="AU570" s="2501"/>
      <c r="AV570" s="2501"/>
      <c r="AW570" s="2501"/>
      <c r="AX570" s="2501"/>
      <c r="AY570" s="2501"/>
      <c r="AZ570" s="2501"/>
      <c r="BA570" s="2501"/>
      <c r="BB570" s="2501"/>
      <c r="BC570" s="2501"/>
      <c r="BD570" s="2501"/>
      <c r="BE570" s="2501"/>
      <c r="BF570" s="2501"/>
      <c r="BG570" s="2501"/>
      <c r="BH570" s="2501"/>
      <c r="BI570" s="2501"/>
      <c r="BJ570" s="2502"/>
      <c r="BK570" s="2525">
        <f>BF567</f>
        <v>94</v>
      </c>
      <c r="BL570" s="2526"/>
      <c r="BM570" s="2526"/>
      <c r="BN570" s="2526"/>
      <c r="BO570" s="252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28"/>
      <c r="J571" s="2329"/>
      <c r="K571" s="2329"/>
      <c r="L571" s="2329"/>
      <c r="M571" s="2329"/>
      <c r="N571" s="2330"/>
      <c r="O571" s="2334">
        <v>0.35</v>
      </c>
      <c r="P571" s="2335"/>
      <c r="Q571" s="2547"/>
      <c r="R571" s="2307"/>
      <c r="S571" s="2305" t="s">
        <v>1930</v>
      </c>
      <c r="T571" s="2305"/>
      <c r="U571" s="2306">
        <v>17.5</v>
      </c>
      <c r="V571" s="2306"/>
      <c r="W571" s="2306">
        <v>26.3</v>
      </c>
      <c r="X571" s="2306"/>
      <c r="Y571" s="2306">
        <v>35</v>
      </c>
      <c r="Z571" s="2306"/>
      <c r="AA571" s="2306"/>
      <c r="AB571" s="2306"/>
      <c r="AC571" s="2306">
        <v>50</v>
      </c>
      <c r="AD571" s="2306"/>
      <c r="AE571" s="2308"/>
      <c r="AF571" s="2309"/>
      <c r="AN571" s="439"/>
      <c r="AP571" s="2503"/>
      <c r="AQ571" s="2504"/>
      <c r="AR571" s="2504"/>
      <c r="AS571" s="2504"/>
      <c r="AT571" s="2504"/>
      <c r="AU571" s="2504"/>
      <c r="AV571" s="2504"/>
      <c r="AW571" s="2504"/>
      <c r="AX571" s="2504"/>
      <c r="AY571" s="2504"/>
      <c r="AZ571" s="2504"/>
      <c r="BA571" s="2504"/>
      <c r="BB571" s="2504"/>
      <c r="BC571" s="2504"/>
      <c r="BD571" s="2504"/>
      <c r="BE571" s="2504"/>
      <c r="BF571" s="2504"/>
      <c r="BG571" s="2504"/>
      <c r="BH571" s="2504"/>
      <c r="BI571" s="2504"/>
      <c r="BJ571" s="2505"/>
      <c r="BK571" s="2528"/>
      <c r="BL571" s="2529"/>
      <c r="BM571" s="2529"/>
      <c r="BN571" s="2529"/>
      <c r="BO571" s="253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28"/>
      <c r="J572" s="2329"/>
      <c r="K572" s="2329"/>
      <c r="L572" s="2329"/>
      <c r="M572" s="2329"/>
      <c r="N572" s="2330"/>
      <c r="O572" s="2334">
        <v>0.3</v>
      </c>
      <c r="P572" s="2335"/>
      <c r="Q572" s="2547"/>
      <c r="R572" s="2307"/>
      <c r="S572" s="2305" t="s">
        <v>1931</v>
      </c>
      <c r="T572" s="2305"/>
      <c r="U572" s="2306">
        <v>15</v>
      </c>
      <c r="V572" s="2306"/>
      <c r="W572" s="2306">
        <v>22.5</v>
      </c>
      <c r="X572" s="2306"/>
      <c r="Y572" s="2306">
        <v>30</v>
      </c>
      <c r="Z572" s="2306"/>
      <c r="AA572" s="2306">
        <v>37.5</v>
      </c>
      <c r="AB572" s="2306"/>
      <c r="AC572" s="2306">
        <v>45</v>
      </c>
      <c r="AD572" s="2306"/>
      <c r="AE572" s="2308"/>
      <c r="AF572" s="230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81">
        <v>5</v>
      </c>
      <c r="BK572" s="2509"/>
      <c r="BL572" s="2509"/>
      <c r="BM572" s="2509"/>
      <c r="BN572" s="2082"/>
      <c r="BO572" s="2081">
        <v>4</v>
      </c>
      <c r="BP572" s="2509"/>
      <c r="BQ572" s="2509"/>
      <c r="BR572" s="2509"/>
      <c r="BS572" s="2082"/>
      <c r="BT572" s="2081">
        <v>3</v>
      </c>
      <c r="BU572" s="2509"/>
      <c r="BV572" s="2509"/>
      <c r="BW572" s="2509"/>
      <c r="BX572" s="2082"/>
      <c r="BY572" s="2081">
        <v>2</v>
      </c>
      <c r="BZ572" s="2509"/>
      <c r="CA572" s="2509"/>
      <c r="CB572" s="2509"/>
      <c r="CC572" s="2082"/>
      <c r="CD572" s="2081">
        <v>1</v>
      </c>
      <c r="CE572" s="2509"/>
      <c r="CF572" s="2509"/>
      <c r="CG572" s="2509"/>
      <c r="CH572" s="2082"/>
      <c r="CI572" s="2081">
        <v>0</v>
      </c>
      <c r="CJ572" s="2509"/>
      <c r="CK572" s="2509"/>
      <c r="CL572" s="2509"/>
      <c r="CM572" s="2082"/>
      <c r="CN572" s="65"/>
      <c r="CO572" s="65"/>
      <c r="CP572" s="65"/>
      <c r="CQ572" s="65"/>
      <c r="CR572" s="65"/>
    </row>
    <row r="573" spans="1:96" s="46" customFormat="1" ht="12.75" customHeight="1">
      <c r="A573" s="28"/>
      <c r="B573" s="8"/>
      <c r="C573" s="8"/>
      <c r="D573" s="8"/>
      <c r="E573" s="8"/>
      <c r="I573" s="2328"/>
      <c r="J573" s="2329"/>
      <c r="K573" s="2329"/>
      <c r="L573" s="2329"/>
      <c r="M573" s="2329"/>
      <c r="N573" s="2330"/>
      <c r="O573" s="2334">
        <v>0.25</v>
      </c>
      <c r="P573" s="2335"/>
      <c r="Q573" s="2547"/>
      <c r="R573" s="2307"/>
      <c r="S573" s="2305" t="s">
        <v>1932</v>
      </c>
      <c r="T573" s="2305"/>
      <c r="U573" s="2306">
        <v>12.5</v>
      </c>
      <c r="V573" s="2306"/>
      <c r="W573" s="2306">
        <v>18.8</v>
      </c>
      <c r="X573" s="2306"/>
      <c r="Y573" s="2306">
        <v>25</v>
      </c>
      <c r="Z573" s="2306"/>
      <c r="AA573" s="2306">
        <v>31.3</v>
      </c>
      <c r="AB573" s="2306"/>
      <c r="AC573" s="2306">
        <v>37.5</v>
      </c>
      <c r="AD573" s="2306"/>
      <c r="AE573" s="2308">
        <v>50</v>
      </c>
      <c r="AF573" s="2309"/>
      <c r="AN573" s="439"/>
      <c r="AP573" s="2522" t="str">
        <f t="shared" ref="AP573:AP579" si="0">J607</f>
        <v>5 BR</v>
      </c>
      <c r="AQ573" s="2523"/>
      <c r="AR573" s="2523"/>
      <c r="AS573" s="2523"/>
      <c r="AT573" s="2524"/>
      <c r="AU573" s="2516">
        <f t="shared" ref="AU573:AU578" si="1">O607</f>
        <v>0</v>
      </c>
      <c r="AV573" s="2517"/>
      <c r="AW573" s="2517"/>
      <c r="AX573" s="2517"/>
      <c r="AY573" s="2518"/>
      <c r="AZ573" s="2516">
        <f t="shared" ref="AZ573:AZ578" si="2">T607</f>
        <v>0</v>
      </c>
      <c r="BA573" s="2517"/>
      <c r="BB573" s="2517"/>
      <c r="BC573" s="2517"/>
      <c r="BD573" s="2518"/>
      <c r="BE573" s="2099">
        <f t="shared" ref="BE573:BE578" si="3">Y607</f>
        <v>0</v>
      </c>
      <c r="BF573" s="2100"/>
      <c r="BG573" s="2100"/>
      <c r="BH573" s="2100"/>
      <c r="BI573" s="2101"/>
      <c r="BJ573" s="2081">
        <f>IF(OR(AP583=0,BE573&gt;=0.1),0,1)</f>
        <v>0</v>
      </c>
      <c r="BK573" s="2509"/>
      <c r="BL573" s="2509"/>
      <c r="BM573" s="2509"/>
      <c r="BN573" s="2082"/>
      <c r="BO573" s="2081"/>
      <c r="BP573" s="2509"/>
      <c r="BQ573" s="2509"/>
      <c r="BR573" s="2509"/>
      <c r="BS573" s="2082"/>
      <c r="BT573" s="2081"/>
      <c r="BU573" s="2509"/>
      <c r="BV573" s="2509"/>
      <c r="BW573" s="2509"/>
      <c r="BX573" s="2082"/>
      <c r="BY573" s="2081"/>
      <c r="BZ573" s="2509"/>
      <c r="CA573" s="2509"/>
      <c r="CB573" s="2509"/>
      <c r="CC573" s="2082"/>
      <c r="CD573" s="2081"/>
      <c r="CE573" s="2509"/>
      <c r="CF573" s="2509"/>
      <c r="CG573" s="2509"/>
      <c r="CH573" s="2082"/>
      <c r="CI573" s="2081"/>
      <c r="CJ573" s="2509"/>
      <c r="CK573" s="2509"/>
      <c r="CL573" s="2509"/>
      <c r="CM573" s="2082"/>
      <c r="CN573" s="65"/>
      <c r="CO573" s="65"/>
      <c r="CP573" s="65"/>
      <c r="CQ573" s="65"/>
      <c r="CR573" s="65"/>
    </row>
    <row r="574" spans="1:96" s="46" customFormat="1" ht="12.75" customHeight="1">
      <c r="A574" s="195"/>
      <c r="B574" s="8"/>
      <c r="C574" s="8"/>
      <c r="D574" s="8"/>
      <c r="E574" s="8"/>
      <c r="I574" s="2328"/>
      <c r="J574" s="2329"/>
      <c r="K574" s="2329"/>
      <c r="L574" s="2329"/>
      <c r="M574" s="2329"/>
      <c r="N574" s="2330"/>
      <c r="O574" s="2334">
        <v>0.2</v>
      </c>
      <c r="P574" s="2335"/>
      <c r="Q574" s="2547"/>
      <c r="R574" s="2307"/>
      <c r="S574" s="2581" t="s">
        <v>1935</v>
      </c>
      <c r="T574" s="2581"/>
      <c r="U574" s="2306">
        <v>10</v>
      </c>
      <c r="V574" s="2306"/>
      <c r="W574" s="2306">
        <v>15</v>
      </c>
      <c r="X574" s="2306"/>
      <c r="Y574" s="2306">
        <v>20</v>
      </c>
      <c r="Z574" s="2306"/>
      <c r="AA574" s="2306">
        <v>25</v>
      </c>
      <c r="AB574" s="2306"/>
      <c r="AC574" s="2306">
        <v>30</v>
      </c>
      <c r="AD574" s="2306"/>
      <c r="AE574" s="2308">
        <v>40</v>
      </c>
      <c r="AF574" s="2309"/>
      <c r="AN574" s="439"/>
      <c r="AP574" s="2522" t="str">
        <f t="shared" si="0"/>
        <v>4 BR</v>
      </c>
      <c r="AQ574" s="2523"/>
      <c r="AR574" s="2523"/>
      <c r="AS574" s="2523"/>
      <c r="AT574" s="2524"/>
      <c r="AU574" s="2516">
        <f t="shared" si="1"/>
        <v>0</v>
      </c>
      <c r="AV574" s="2517"/>
      <c r="AW574" s="2517"/>
      <c r="AX574" s="2517"/>
      <c r="AY574" s="2518"/>
      <c r="AZ574" s="2516">
        <f t="shared" si="2"/>
        <v>0</v>
      </c>
      <c r="BA574" s="2517"/>
      <c r="BB574" s="2517"/>
      <c r="BC574" s="2517"/>
      <c r="BD574" s="2518"/>
      <c r="BE574" s="2099">
        <f t="shared" si="3"/>
        <v>0</v>
      </c>
      <c r="BF574" s="2100"/>
      <c r="BG574" s="2100"/>
      <c r="BH574" s="2100"/>
      <c r="BI574" s="2101"/>
      <c r="BJ574" s="2081"/>
      <c r="BK574" s="2509"/>
      <c r="BL574" s="2509"/>
      <c r="BM574" s="2509"/>
      <c r="BN574" s="2082"/>
      <c r="BO574" s="2081">
        <f>IF(AND(AND(AZ573=0,BJ573=0,AP584=1)),1,0)</f>
        <v>0</v>
      </c>
      <c r="BP574" s="2509"/>
      <c r="BQ574" s="2509"/>
      <c r="BR574" s="2509"/>
      <c r="BS574" s="2082"/>
      <c r="BT574" s="2081"/>
      <c r="BU574" s="2509"/>
      <c r="BV574" s="2509"/>
      <c r="BW574" s="2509"/>
      <c r="BX574" s="2082"/>
      <c r="BY574" s="2081"/>
      <c r="BZ574" s="2509"/>
      <c r="CA574" s="2509"/>
      <c r="CB574" s="2509"/>
      <c r="CC574" s="2082"/>
      <c r="CD574" s="2081"/>
      <c r="CE574" s="2509"/>
      <c r="CF574" s="2509"/>
      <c r="CG574" s="2509"/>
      <c r="CH574" s="2082"/>
      <c r="CI574" s="2081"/>
      <c r="CJ574" s="2509"/>
      <c r="CK574" s="2509"/>
      <c r="CL574" s="2509"/>
      <c r="CM574" s="2082"/>
      <c r="CN574" s="65"/>
      <c r="CO574" s="65"/>
      <c r="CP574" s="65"/>
      <c r="CQ574" s="65"/>
      <c r="CR574" s="65"/>
    </row>
    <row r="575" spans="1:96" s="46" customFormat="1" ht="12.75" customHeight="1">
      <c r="A575" s="195"/>
      <c r="B575" s="8"/>
      <c r="C575" s="8"/>
      <c r="D575" s="8"/>
      <c r="E575" s="8"/>
      <c r="I575" s="2328"/>
      <c r="J575" s="2329"/>
      <c r="K575" s="2329"/>
      <c r="L575" s="2329"/>
      <c r="M575" s="2329"/>
      <c r="N575" s="2330"/>
      <c r="O575" s="2334">
        <v>0.15</v>
      </c>
      <c r="P575" s="2335"/>
      <c r="Q575" s="2547"/>
      <c r="R575" s="2307"/>
      <c r="S575" s="2305" t="s">
        <v>1933</v>
      </c>
      <c r="T575" s="2305"/>
      <c r="U575" s="2306">
        <v>7.5</v>
      </c>
      <c r="V575" s="2306"/>
      <c r="W575" s="2306">
        <v>11.3</v>
      </c>
      <c r="X575" s="2306"/>
      <c r="Y575" s="2306">
        <v>15</v>
      </c>
      <c r="Z575" s="2306"/>
      <c r="AA575" s="2306">
        <v>18.8</v>
      </c>
      <c r="AB575" s="2306"/>
      <c r="AC575" s="2306">
        <v>22.5</v>
      </c>
      <c r="AD575" s="2306"/>
      <c r="AE575" s="2308">
        <v>30</v>
      </c>
      <c r="AF575" s="2309"/>
      <c r="AK575" s="153"/>
      <c r="AL575" s="153"/>
      <c r="AM575" s="153"/>
      <c r="AN575" s="439"/>
      <c r="AP575" s="2522" t="str">
        <f t="shared" si="0"/>
        <v>3 BR</v>
      </c>
      <c r="AQ575" s="2523"/>
      <c r="AR575" s="2523"/>
      <c r="AS575" s="2523"/>
      <c r="AT575" s="2524"/>
      <c r="AU575" s="2516">
        <f t="shared" si="1"/>
        <v>24</v>
      </c>
      <c r="AV575" s="2517"/>
      <c r="AW575" s="2517"/>
      <c r="AX575" s="2517"/>
      <c r="AY575" s="2518"/>
      <c r="AZ575" s="2516">
        <f t="shared" si="2"/>
        <v>8</v>
      </c>
      <c r="BA575" s="2517"/>
      <c r="BB575" s="2517"/>
      <c r="BC575" s="2517"/>
      <c r="BD575" s="2518"/>
      <c r="BE575" s="2099">
        <f t="shared" si="3"/>
        <v>0.33333333333333331</v>
      </c>
      <c r="BF575" s="2100"/>
      <c r="BG575" s="2100"/>
      <c r="BH575" s="2100"/>
      <c r="BI575" s="2101"/>
      <c r="BJ575" s="2081"/>
      <c r="BK575" s="2509"/>
      <c r="BL575" s="2509"/>
      <c r="BM575" s="2509"/>
      <c r="BN575" s="2082"/>
      <c r="BO575" s="2081"/>
      <c r="BP575" s="2509"/>
      <c r="BQ575" s="2509"/>
      <c r="BR575" s="2509"/>
      <c r="BS575" s="2082"/>
      <c r="BT575" s="2081">
        <f>IF(AND(AND(AZ573+AZ574=0,BJ573+BO574=0,AP585=1)),1,0)</f>
        <v>0</v>
      </c>
      <c r="BU575" s="2509"/>
      <c r="BV575" s="2509"/>
      <c r="BW575" s="2509"/>
      <c r="BX575" s="2082"/>
      <c r="BY575" s="2081"/>
      <c r="BZ575" s="2509"/>
      <c r="CA575" s="2509"/>
      <c r="CB575" s="2509"/>
      <c r="CC575" s="2082"/>
      <c r="CD575" s="2081"/>
      <c r="CE575" s="2509"/>
      <c r="CF575" s="2509"/>
      <c r="CG575" s="2509"/>
      <c r="CH575" s="2082"/>
      <c r="CI575" s="2081"/>
      <c r="CJ575" s="2509"/>
      <c r="CK575" s="2509"/>
      <c r="CL575" s="2509"/>
      <c r="CM575" s="2082"/>
      <c r="CN575" s="65"/>
      <c r="CO575" s="65"/>
      <c r="CP575" s="65"/>
      <c r="CQ575" s="65"/>
      <c r="CR575" s="65"/>
    </row>
    <row r="576" spans="1:96" s="46" customFormat="1" ht="12.75" customHeight="1" thickBot="1">
      <c r="B576" s="8"/>
      <c r="C576" s="8"/>
      <c r="D576" s="8"/>
      <c r="E576" s="8"/>
      <c r="I576" s="2379"/>
      <c r="J576" s="2380"/>
      <c r="K576" s="2380"/>
      <c r="L576" s="2380"/>
      <c r="M576" s="2380"/>
      <c r="N576" s="2381"/>
      <c r="O576" s="2334">
        <v>0.1</v>
      </c>
      <c r="P576" s="2335"/>
      <c r="Q576" s="2579"/>
      <c r="R576" s="2580"/>
      <c r="S576" s="2305" t="s">
        <v>1934</v>
      </c>
      <c r="T576" s="2305"/>
      <c r="U576" s="2394">
        <v>5</v>
      </c>
      <c r="V576" s="2394"/>
      <c r="W576" s="2394">
        <v>7.5</v>
      </c>
      <c r="X576" s="2394"/>
      <c r="Y576" s="2394">
        <v>10</v>
      </c>
      <c r="Z576" s="2394"/>
      <c r="AA576" s="2394">
        <v>12.5</v>
      </c>
      <c r="AB576" s="2394"/>
      <c r="AC576" s="2394">
        <v>15</v>
      </c>
      <c r="AD576" s="2394"/>
      <c r="AE576" s="2310">
        <v>20</v>
      </c>
      <c r="AF576" s="2311"/>
      <c r="AK576" s="252"/>
      <c r="AL576" s="252"/>
      <c r="AM576" s="8"/>
      <c r="AN576" s="439"/>
      <c r="AP576" s="2522" t="str">
        <f t="shared" si="0"/>
        <v>2 BR</v>
      </c>
      <c r="AQ576" s="2523"/>
      <c r="AR576" s="2523"/>
      <c r="AS576" s="2523"/>
      <c r="AT576" s="2524"/>
      <c r="AU576" s="2516">
        <f t="shared" si="1"/>
        <v>24</v>
      </c>
      <c r="AV576" s="2517"/>
      <c r="AW576" s="2517"/>
      <c r="AX576" s="2517"/>
      <c r="AY576" s="2518"/>
      <c r="AZ576" s="2516">
        <f t="shared" si="2"/>
        <v>6</v>
      </c>
      <c r="BA576" s="2517"/>
      <c r="BB576" s="2517"/>
      <c r="BC576" s="2517"/>
      <c r="BD576" s="2518"/>
      <c r="BE576" s="2099">
        <f t="shared" si="3"/>
        <v>0.25</v>
      </c>
      <c r="BF576" s="2100"/>
      <c r="BG576" s="2100"/>
      <c r="BH576" s="2100"/>
      <c r="BI576" s="2101"/>
      <c r="BJ576" s="2081"/>
      <c r="BK576" s="2509"/>
      <c r="BL576" s="2509"/>
      <c r="BM576" s="2509"/>
      <c r="BN576" s="2082"/>
      <c r="BO576" s="2081"/>
      <c r="BP576" s="2509"/>
      <c r="BQ576" s="2509"/>
      <c r="BR576" s="2509"/>
      <c r="BS576" s="2082"/>
      <c r="BT576" s="2081"/>
      <c r="BU576" s="2509"/>
      <c r="BV576" s="2509"/>
      <c r="BW576" s="2509"/>
      <c r="BX576" s="2082"/>
      <c r="BY576" s="2081">
        <f>IF(AND(AND(AZ573+AZ574+AZ575=0,BO574+BT575+BJ573=0,AP586=1)),1,0)</f>
        <v>0</v>
      </c>
      <c r="BZ576" s="2509"/>
      <c r="CA576" s="2509"/>
      <c r="CB576" s="2509"/>
      <c r="CC576" s="2082"/>
      <c r="CD576" s="2081"/>
      <c r="CE576" s="2509"/>
      <c r="CF576" s="2509"/>
      <c r="CG576" s="2509"/>
      <c r="CH576" s="2082"/>
      <c r="CI576" s="2081"/>
      <c r="CJ576" s="2509"/>
      <c r="CK576" s="2509"/>
      <c r="CL576" s="2509"/>
      <c r="CM576" s="2082"/>
      <c r="CN576" s="65"/>
      <c r="CO576" s="65"/>
      <c r="CP576" s="65"/>
      <c r="CQ576" s="65"/>
      <c r="CR576" s="65"/>
    </row>
    <row r="577" spans="2:96" s="46" customFormat="1" ht="12.75" customHeight="1">
      <c r="B577" s="8"/>
      <c r="C577" s="8"/>
      <c r="D577" s="8"/>
      <c r="E577" s="2156" t="s">
        <v>1022</v>
      </c>
      <c r="F577" s="1738"/>
      <c r="G577" s="1738"/>
      <c r="H577" s="1738"/>
      <c r="I577" s="1738"/>
      <c r="J577" s="1738"/>
      <c r="K577" s="1738"/>
      <c r="L577" s="1738"/>
      <c r="M577" s="1738"/>
      <c r="N577" s="1738"/>
      <c r="O577" s="1738"/>
      <c r="P577" s="1738"/>
      <c r="Q577" s="1738"/>
      <c r="R577" s="1738"/>
      <c r="S577" s="1738"/>
      <c r="T577" s="1738"/>
      <c r="U577" s="1738"/>
      <c r="V577" s="1738"/>
      <c r="W577" s="1738"/>
      <c r="X577" s="1738"/>
      <c r="Y577" s="1738"/>
      <c r="Z577" s="1738"/>
      <c r="AA577" s="1738"/>
      <c r="AB577" s="1738"/>
      <c r="AC577" s="1738"/>
      <c r="AD577" s="1738"/>
      <c r="AE577" s="1738"/>
      <c r="AF577" s="1738"/>
      <c r="AG577" s="1738"/>
      <c r="AH577" s="1739"/>
      <c r="AK577" s="252"/>
      <c r="AL577" s="252"/>
      <c r="AM577" s="8"/>
      <c r="AN577" s="439"/>
      <c r="AP577" s="2522" t="str">
        <f t="shared" si="0"/>
        <v>1 BR</v>
      </c>
      <c r="AQ577" s="2523"/>
      <c r="AR577" s="2523"/>
      <c r="AS577" s="2523"/>
      <c r="AT577" s="2524"/>
      <c r="AU577" s="2516">
        <f t="shared" si="1"/>
        <v>46</v>
      </c>
      <c r="AV577" s="2517"/>
      <c r="AW577" s="2517"/>
      <c r="AX577" s="2517"/>
      <c r="AY577" s="2518"/>
      <c r="AZ577" s="2516">
        <f t="shared" si="2"/>
        <v>11</v>
      </c>
      <c r="BA577" s="2517"/>
      <c r="BB577" s="2517"/>
      <c r="BC577" s="2517"/>
      <c r="BD577" s="2518"/>
      <c r="BE577" s="2099">
        <f t="shared" si="3"/>
        <v>0.2391304347826087</v>
      </c>
      <c r="BF577" s="2100"/>
      <c r="BG577" s="2100"/>
      <c r="BH577" s="2100"/>
      <c r="BI577" s="2101"/>
      <c r="BJ577" s="2081"/>
      <c r="BK577" s="2509"/>
      <c r="BL577" s="2509"/>
      <c r="BM577" s="2509"/>
      <c r="BN577" s="2082"/>
      <c r="BO577" s="2081"/>
      <c r="BP577" s="2509"/>
      <c r="BQ577" s="2509"/>
      <c r="BR577" s="2509"/>
      <c r="BS577" s="2082"/>
      <c r="BT577" s="2081"/>
      <c r="BU577" s="2509"/>
      <c r="BV577" s="2509"/>
      <c r="BW577" s="2509"/>
      <c r="BX577" s="2082"/>
      <c r="BY577" s="2081"/>
      <c r="BZ577" s="2509"/>
      <c r="CA577" s="2509"/>
      <c r="CB577" s="2509"/>
      <c r="CC577" s="2082"/>
      <c r="CD577" s="2081">
        <f>IF(AND(AND(BE574+BE575+BE576+BE573=0,BT575+BY576+BO574+BJ573=0,AP587=1)),1,0)</f>
        <v>0</v>
      </c>
      <c r="CE577" s="2509"/>
      <c r="CF577" s="2509"/>
      <c r="CG577" s="2509"/>
      <c r="CH577" s="2082"/>
      <c r="CI577" s="2081"/>
      <c r="CJ577" s="2509"/>
      <c r="CK577" s="2509"/>
      <c r="CL577" s="2509"/>
      <c r="CM577" s="2082"/>
      <c r="CN577" s="65"/>
      <c r="CO577" s="65"/>
      <c r="CP577" s="65"/>
      <c r="CQ577" s="65"/>
      <c r="CR577" s="65"/>
    </row>
    <row r="578" spans="2:96" s="46" customFormat="1" ht="12.75" customHeight="1">
      <c r="E578" s="2407"/>
      <c r="F578" s="1754"/>
      <c r="G578" s="1754"/>
      <c r="H578" s="1754"/>
      <c r="I578" s="1754"/>
      <c r="J578" s="1754"/>
      <c r="K578" s="1754"/>
      <c r="L578" s="1754"/>
      <c r="M578" s="1754"/>
      <c r="N578" s="1754"/>
      <c r="O578" s="1754"/>
      <c r="P578" s="1754"/>
      <c r="Q578" s="1754"/>
      <c r="R578" s="1754"/>
      <c r="S578" s="1754"/>
      <c r="T578" s="1754"/>
      <c r="U578" s="1754"/>
      <c r="V578" s="1754"/>
      <c r="W578" s="1754"/>
      <c r="X578" s="1754"/>
      <c r="Y578" s="1754"/>
      <c r="Z578" s="1754"/>
      <c r="AA578" s="1754"/>
      <c r="AB578" s="1754"/>
      <c r="AC578" s="1754"/>
      <c r="AD578" s="1754"/>
      <c r="AE578" s="1754"/>
      <c r="AF578" s="1754"/>
      <c r="AG578" s="1754"/>
      <c r="AH578" s="2408"/>
      <c r="AN578" s="439"/>
      <c r="AP578" s="2522" t="str">
        <f t="shared" si="0"/>
        <v>SRO</v>
      </c>
      <c r="AQ578" s="2523"/>
      <c r="AR578" s="2523"/>
      <c r="AS578" s="2523"/>
      <c r="AT578" s="2524"/>
      <c r="AU578" s="2516">
        <f t="shared" si="1"/>
        <v>0</v>
      </c>
      <c r="AV578" s="2517"/>
      <c r="AW578" s="2517"/>
      <c r="AX578" s="2517"/>
      <c r="AY578" s="2518"/>
      <c r="AZ578" s="2516">
        <f t="shared" si="2"/>
        <v>0</v>
      </c>
      <c r="BA578" s="2517"/>
      <c r="BB578" s="2517"/>
      <c r="BC578" s="2517"/>
      <c r="BD578" s="2518"/>
      <c r="BE578" s="2099">
        <f t="shared" si="3"/>
        <v>0</v>
      </c>
      <c r="BF578" s="2100"/>
      <c r="BG578" s="2100"/>
      <c r="BH578" s="2100"/>
      <c r="BI578" s="2101"/>
      <c r="BJ578" s="2081"/>
      <c r="BK578" s="2509"/>
      <c r="BL578" s="2509"/>
      <c r="BM578" s="2509"/>
      <c r="BN578" s="2082"/>
      <c r="BO578" s="2081"/>
      <c r="BP578" s="2509"/>
      <c r="BQ578" s="2509"/>
      <c r="BR578" s="2509"/>
      <c r="BS578" s="2082"/>
      <c r="BT578" s="2081"/>
      <c r="BU578" s="2509"/>
      <c r="BV578" s="2509"/>
      <c r="BW578" s="2509"/>
      <c r="BX578" s="2082"/>
      <c r="BY578" s="2081"/>
      <c r="BZ578" s="2509"/>
      <c r="CA578" s="2509"/>
      <c r="CB578" s="2509"/>
      <c r="CC578" s="2082"/>
      <c r="CD578" s="2081"/>
      <c r="CE578" s="2509"/>
      <c r="CF578" s="2509"/>
      <c r="CG578" s="2509"/>
      <c r="CH578" s="2082"/>
      <c r="CI578" s="2081">
        <f>IF(AND(AND(AZ575+AZ576+AZ577+AZ574+AZ573=0,BY576+CD577+BT575+BO574+BJ573=0,AP588=1)),1,0)</f>
        <v>0</v>
      </c>
      <c r="CJ578" s="2509"/>
      <c r="CK578" s="2509"/>
      <c r="CL578" s="2509"/>
      <c r="CM578" s="2082"/>
      <c r="CN578" s="65"/>
      <c r="CO578" s="65"/>
      <c r="CP578" s="65"/>
      <c r="CQ578" s="65"/>
      <c r="CR578" s="65"/>
    </row>
    <row r="579" spans="2:96" s="46" customFormat="1" ht="12.75" customHeight="1">
      <c r="E579" s="2319" t="s">
        <v>1645</v>
      </c>
      <c r="F579" s="2320"/>
      <c r="G579" s="2320"/>
      <c r="H579" s="2320"/>
      <c r="I579" s="2320"/>
      <c r="J579" s="2321"/>
      <c r="K579" s="2319" t="s">
        <v>1926</v>
      </c>
      <c r="L579" s="2320"/>
      <c r="M579" s="2320"/>
      <c r="N579" s="2320"/>
      <c r="O579" s="2320"/>
      <c r="P579" s="2321"/>
      <c r="Q579" s="2325" t="s">
        <v>1641</v>
      </c>
      <c r="R579" s="2326"/>
      <c r="S579" s="2326"/>
      <c r="T579" s="2326"/>
      <c r="U579" s="2326"/>
      <c r="V579" s="2327"/>
      <c r="W579" s="2325" t="str">
        <f>I568</f>
        <v>Percent of Low-Income Units (exclusive of manager’s units)</v>
      </c>
      <c r="X579" s="2326"/>
      <c r="Y579" s="2326"/>
      <c r="Z579" s="2326"/>
      <c r="AA579" s="2326"/>
      <c r="AB579" s="2327"/>
      <c r="AC579" s="2325" t="s">
        <v>1644</v>
      </c>
      <c r="AD579" s="2326"/>
      <c r="AE579" s="2326"/>
      <c r="AF579" s="2326"/>
      <c r="AG579" s="2326"/>
      <c r="AH579" s="2327"/>
      <c r="AN579" s="439"/>
      <c r="AP579" s="2522" t="str">
        <f t="shared" si="0"/>
        <v>Total:</v>
      </c>
      <c r="AQ579" s="2523"/>
      <c r="AR579" s="2523"/>
      <c r="AS579" s="2523"/>
      <c r="AT579" s="2524"/>
      <c r="AU579" s="2522"/>
      <c r="AV579" s="2523"/>
      <c r="AW579" s="2523"/>
      <c r="AX579" s="2523"/>
      <c r="AY579" s="2524"/>
      <c r="AZ579" s="2522"/>
      <c r="BA579" s="2523"/>
      <c r="BB579" s="2523"/>
      <c r="BC579" s="2523"/>
      <c r="BD579" s="2524"/>
      <c r="BE579" s="2522"/>
      <c r="BF579" s="2523"/>
      <c r="BG579" s="2523"/>
      <c r="BH579" s="2523"/>
      <c r="BI579" s="2524"/>
      <c r="BJ579" s="2081">
        <f>SUM(BJ573:BN578)</f>
        <v>0</v>
      </c>
      <c r="BK579" s="2509"/>
      <c r="BL579" s="2509"/>
      <c r="BM579" s="2509"/>
      <c r="BN579" s="2082"/>
      <c r="BO579" s="2081">
        <f>SUM(BO573:BS578)</f>
        <v>0</v>
      </c>
      <c r="BP579" s="2509"/>
      <c r="BQ579" s="2509"/>
      <c r="BR579" s="2509"/>
      <c r="BS579" s="2082"/>
      <c r="BT579" s="2081">
        <f>SUM(BT573:BX578)</f>
        <v>0</v>
      </c>
      <c r="BU579" s="2509"/>
      <c r="BV579" s="2509"/>
      <c r="BW579" s="2509"/>
      <c r="BX579" s="2082"/>
      <c r="BY579" s="2081">
        <f>SUM(BY573:CC578)</f>
        <v>0</v>
      </c>
      <c r="BZ579" s="2509"/>
      <c r="CA579" s="2509"/>
      <c r="CB579" s="2509"/>
      <c r="CC579" s="2082"/>
      <c r="CD579" s="2081">
        <f>SUM(CD573:CH578)</f>
        <v>0</v>
      </c>
      <c r="CE579" s="2509"/>
      <c r="CF579" s="2509"/>
      <c r="CG579" s="2509"/>
      <c r="CH579" s="2082"/>
      <c r="CI579" s="2081">
        <f>SUM(CI573:CM578)</f>
        <v>0</v>
      </c>
      <c r="CJ579" s="2509"/>
      <c r="CK579" s="2509"/>
      <c r="CL579" s="2509"/>
      <c r="CM579" s="2082"/>
      <c r="CN579" s="2081">
        <f>SUM(BJ579:CM579)</f>
        <v>0</v>
      </c>
      <c r="CO579" s="2509"/>
      <c r="CP579" s="2509"/>
      <c r="CQ579" s="2509"/>
      <c r="CR579" s="2082"/>
    </row>
    <row r="580" spans="2:96" s="46" customFormat="1" ht="12.75" customHeight="1">
      <c r="E580" s="2322"/>
      <c r="F580" s="2323"/>
      <c r="G580" s="2323"/>
      <c r="H580" s="2323"/>
      <c r="I580" s="2323"/>
      <c r="J580" s="2324"/>
      <c r="K580" s="2322"/>
      <c r="L580" s="2323"/>
      <c r="M580" s="2323"/>
      <c r="N580" s="2323"/>
      <c r="O580" s="2323"/>
      <c r="P580" s="2324"/>
      <c r="Q580" s="2328"/>
      <c r="R580" s="2329"/>
      <c r="S580" s="2329"/>
      <c r="T580" s="2329"/>
      <c r="U580" s="2329"/>
      <c r="V580" s="2330"/>
      <c r="W580" s="2328"/>
      <c r="X580" s="2329"/>
      <c r="Y580" s="2329"/>
      <c r="Z580" s="2329"/>
      <c r="AA580" s="2329"/>
      <c r="AB580" s="2330"/>
      <c r="AC580" s="2328"/>
      <c r="AD580" s="2329"/>
      <c r="AE580" s="2329"/>
      <c r="AF580" s="2329"/>
      <c r="AG580" s="2329"/>
      <c r="AH580" s="2330"/>
      <c r="AN580" s="439"/>
    </row>
    <row r="581" spans="2:96" s="46" customFormat="1" ht="12.75" customHeight="1">
      <c r="E581" s="2322"/>
      <c r="F581" s="2323"/>
      <c r="G581" s="2323"/>
      <c r="H581" s="2323"/>
      <c r="I581" s="2323"/>
      <c r="J581" s="2324"/>
      <c r="K581" s="2322"/>
      <c r="L581" s="2323"/>
      <c r="M581" s="2323"/>
      <c r="N581" s="2323"/>
      <c r="O581" s="2323"/>
      <c r="P581" s="2324"/>
      <c r="Q581" s="2328"/>
      <c r="R581" s="2329"/>
      <c r="S581" s="2329"/>
      <c r="T581" s="2329"/>
      <c r="U581" s="2329"/>
      <c r="V581" s="2330"/>
      <c r="W581" s="2328"/>
      <c r="X581" s="2329"/>
      <c r="Y581" s="2329"/>
      <c r="Z581" s="2329"/>
      <c r="AA581" s="2329"/>
      <c r="AB581" s="2330"/>
      <c r="AC581" s="2328"/>
      <c r="AD581" s="2329"/>
      <c r="AE581" s="2329"/>
      <c r="AF581" s="2329"/>
      <c r="AG581" s="2329"/>
      <c r="AH581" s="2330"/>
      <c r="AN581" s="439"/>
    </row>
    <row r="582" spans="2:96" s="46" customFormat="1" ht="12.75" customHeight="1">
      <c r="E582" s="2322"/>
      <c r="F582" s="2323"/>
      <c r="G582" s="2323"/>
      <c r="H582" s="2323"/>
      <c r="I582" s="2323"/>
      <c r="J582" s="2324"/>
      <c r="K582" s="2322"/>
      <c r="L582" s="2323"/>
      <c r="M582" s="2323"/>
      <c r="N582" s="2323"/>
      <c r="O582" s="2323"/>
      <c r="P582" s="2324"/>
      <c r="Q582" s="2328"/>
      <c r="R582" s="2329"/>
      <c r="S582" s="2329"/>
      <c r="T582" s="2329"/>
      <c r="U582" s="2329"/>
      <c r="V582" s="2330"/>
      <c r="W582" s="2328"/>
      <c r="X582" s="2329"/>
      <c r="Y582" s="2329"/>
      <c r="Z582" s="2329"/>
      <c r="AA582" s="2329"/>
      <c r="AB582" s="2330"/>
      <c r="AC582" s="2328"/>
      <c r="AD582" s="2329"/>
      <c r="AE582" s="2329"/>
      <c r="AF582" s="2329"/>
      <c r="AG582" s="2329"/>
      <c r="AH582" s="2330"/>
      <c r="AN582" s="439"/>
      <c r="AP582" s="63" t="s">
        <v>1218</v>
      </c>
      <c r="BH582" s="63" t="s">
        <v>1219</v>
      </c>
    </row>
    <row r="583" spans="2:96" s="46" customFormat="1" ht="12.75" customHeight="1">
      <c r="E583" s="2313"/>
      <c r="F583" s="2314"/>
      <c r="G583" s="2314"/>
      <c r="H583" s="2314"/>
      <c r="I583" s="2314"/>
      <c r="J583" s="2315"/>
      <c r="K583" s="2316">
        <v>20</v>
      </c>
      <c r="L583" s="2317"/>
      <c r="M583" s="2317"/>
      <c r="N583" s="2317"/>
      <c r="O583" s="2317"/>
      <c r="P583" s="2318"/>
      <c r="Q583" s="2559">
        <f>IF(ISERROR(IF((((E583/$BJ$530)*100)&gt;100),"EXCESSIVE VALUE",(E583/$BJ$530)*100)),0,IF((((E583/$BJ$530)*100)&gt;100),"EXCESSIVE VALUE",(E583/$BJ$530)*100))</f>
        <v>0</v>
      </c>
      <c r="R583" s="2560"/>
      <c r="S583" s="2560"/>
      <c r="T583" s="2560"/>
      <c r="U583" s="2560"/>
      <c r="V583" s="2561"/>
      <c r="W583" s="2331">
        <f>IF(FLOOR(Q583,5)&gt;80,80,FLOOR(Q583,5))</f>
        <v>0</v>
      </c>
      <c r="X583" s="2332"/>
      <c r="Y583" s="2332"/>
      <c r="Z583" s="2332"/>
      <c r="AA583" s="2332"/>
      <c r="AB583" s="2333"/>
      <c r="AC583" s="2331">
        <f t="shared" ref="AC583:AC588" si="4">IFERROR(IF(W583&gt;0,INDEX($BI$509:$BP$523,MATCH(W583,$BH$509:$BH$523,0),MATCH(K583,$BI$508:$BP$508,0)),0),0)</f>
        <v>0</v>
      </c>
      <c r="AD583" s="2332"/>
      <c r="AE583" s="2332"/>
      <c r="AF583" s="2332"/>
      <c r="AG583" s="2332"/>
      <c r="AH583" s="2333"/>
      <c r="AN583" s="439"/>
      <c r="AO583" s="46">
        <v>5</v>
      </c>
      <c r="AP583" s="2418">
        <f t="shared" ref="AP583:AP588" si="5">IF(OR(BE573&gt;=0.1,BE573=0),0,1)</f>
        <v>0</v>
      </c>
      <c r="AQ583" s="2419"/>
      <c r="AR583" s="2419"/>
      <c r="AS583" s="2419"/>
      <c r="AT583" s="2420"/>
      <c r="AX583" s="2372" t="s">
        <v>862</v>
      </c>
      <c r="AY583" s="2374"/>
      <c r="AZ583" s="2374"/>
      <c r="BA583" s="2374"/>
      <c r="BB583" s="2374"/>
      <c r="BC583" s="2374"/>
      <c r="BD583" s="2374"/>
      <c r="BE583" s="2374"/>
      <c r="BF583" s="2374"/>
      <c r="BG583" s="2374"/>
      <c r="BH583" s="2374"/>
      <c r="BI583" s="2374"/>
      <c r="BJ583" s="2374"/>
      <c r="BK583" s="2374"/>
      <c r="BL583" s="2374"/>
      <c r="BM583" s="2374"/>
      <c r="BN583" s="2374"/>
      <c r="BO583" s="2374"/>
      <c r="BP583" s="2374"/>
      <c r="BQ583" s="2373"/>
    </row>
    <row r="584" spans="2:96" s="46" customFormat="1" ht="12.75" customHeight="1">
      <c r="E584" s="2313">
        <v>25</v>
      </c>
      <c r="F584" s="2314"/>
      <c r="G584" s="2314"/>
      <c r="H584" s="2314"/>
      <c r="I584" s="2314"/>
      <c r="J584" s="2315"/>
      <c r="K584" s="2316">
        <v>30</v>
      </c>
      <c r="L584" s="2317"/>
      <c r="M584" s="2317"/>
      <c r="N584" s="2317"/>
      <c r="O584" s="2317"/>
      <c r="P584" s="2318"/>
      <c r="Q584" s="2559">
        <f t="shared" ref="Q584:Q591" si="6">IF(ISERROR(IF((((E584/$BJ$530)*100)&gt;100),"EXCESSIVE VALUE",(E584/$BJ$530)*100)),0,IF((((E584/$BJ$530)*100)&gt;100),"EXCESSIVE VALUE",(E584/$BJ$530)*100))</f>
        <v>26.595744680851062</v>
      </c>
      <c r="R584" s="2560"/>
      <c r="S584" s="2560"/>
      <c r="T584" s="2560"/>
      <c r="U584" s="2560"/>
      <c r="V584" s="2561"/>
      <c r="W584" s="2331">
        <f>IF(FLOOR(Q584,5)&gt;80,80,FLOOR(Q584,5))</f>
        <v>25</v>
      </c>
      <c r="X584" s="2332"/>
      <c r="Y584" s="2332"/>
      <c r="Z584" s="2332"/>
      <c r="AA584" s="2332"/>
      <c r="AB584" s="2333"/>
      <c r="AC584" s="2331">
        <f t="shared" si="4"/>
        <v>37.5</v>
      </c>
      <c r="AD584" s="2332"/>
      <c r="AE584" s="2332"/>
      <c r="AF584" s="2332"/>
      <c r="AG584" s="2332"/>
      <c r="AH584" s="2333"/>
      <c r="AN584" s="439"/>
      <c r="AO584" s="46">
        <v>4</v>
      </c>
      <c r="AP584" s="2418">
        <f t="shared" si="5"/>
        <v>0</v>
      </c>
      <c r="AQ584" s="2419"/>
      <c r="AR584" s="2419"/>
      <c r="AS584" s="2419"/>
      <c r="AT584" s="2420"/>
      <c r="AX584" s="2451" t="s">
        <v>678</v>
      </c>
      <c r="AY584" s="2452"/>
      <c r="AZ584" s="1860" t="s">
        <v>678</v>
      </c>
      <c r="BA584" s="1862"/>
      <c r="BB584" s="2451" t="s">
        <v>292</v>
      </c>
      <c r="BC584" s="2452"/>
      <c r="BD584" s="2369" t="s">
        <v>292</v>
      </c>
      <c r="BE584" s="2371"/>
      <c r="BF584" s="2451" t="s">
        <v>291</v>
      </c>
      <c r="BG584" s="2452"/>
      <c r="BH584" s="2369" t="s">
        <v>291</v>
      </c>
      <c r="BI584" s="2371"/>
      <c r="BJ584" s="2451" t="s">
        <v>290</v>
      </c>
      <c r="BK584" s="2452"/>
      <c r="BL584" s="2369" t="s">
        <v>290</v>
      </c>
      <c r="BM584" s="2371"/>
      <c r="BN584" s="2451" t="s">
        <v>677</v>
      </c>
      <c r="BO584" s="2452"/>
      <c r="BP584" s="2369" t="s">
        <v>677</v>
      </c>
      <c r="BQ584" s="2371"/>
    </row>
    <row r="585" spans="2:96" s="46" customFormat="1" ht="12.75" customHeight="1">
      <c r="E585" s="2313"/>
      <c r="F585" s="2314"/>
      <c r="G585" s="2314"/>
      <c r="H585" s="2314"/>
      <c r="I585" s="2314"/>
      <c r="J585" s="2315"/>
      <c r="K585" s="2316">
        <v>35</v>
      </c>
      <c r="L585" s="2317"/>
      <c r="M585" s="2317"/>
      <c r="N585" s="2317"/>
      <c r="O585" s="2317"/>
      <c r="P585" s="2318"/>
      <c r="Q585" s="2559">
        <f t="shared" si="6"/>
        <v>0</v>
      </c>
      <c r="R585" s="2560"/>
      <c r="S585" s="2560"/>
      <c r="T585" s="2560"/>
      <c r="U585" s="2560"/>
      <c r="V585" s="2561"/>
      <c r="W585" s="2331">
        <f t="shared" ref="W585:W591" si="7">IF(FLOOR(Q585,5)&gt;80,80,FLOOR(Q585,5))</f>
        <v>0</v>
      </c>
      <c r="X585" s="2332"/>
      <c r="Y585" s="2332"/>
      <c r="Z585" s="2332"/>
      <c r="AA585" s="2332"/>
      <c r="AB585" s="2333"/>
      <c r="AC585" s="2331">
        <f t="shared" si="4"/>
        <v>0</v>
      </c>
      <c r="AD585" s="2332"/>
      <c r="AE585" s="2332"/>
      <c r="AF585" s="2332"/>
      <c r="AG585" s="2332"/>
      <c r="AH585" s="2333"/>
      <c r="AN585" s="439"/>
      <c r="AO585" s="137">
        <v>3</v>
      </c>
      <c r="AP585" s="2316">
        <f t="shared" si="5"/>
        <v>0</v>
      </c>
      <c r="AQ585" s="2317"/>
      <c r="AR585" s="2317"/>
      <c r="AS585" s="2317"/>
      <c r="AT585" s="2318"/>
      <c r="AX585" s="2451">
        <f>IF(AP535=1,1,0)</f>
        <v>0</v>
      </c>
      <c r="AY585" s="2452"/>
      <c r="AZ585" s="2372"/>
      <c r="BA585" s="2373"/>
      <c r="BB585" s="2519"/>
      <c r="BC585" s="2520"/>
      <c r="BD585" s="2369">
        <f>IF(AND(T608&gt;0,AP535&gt;0),1,0)</f>
        <v>0</v>
      </c>
      <c r="BE585" s="2371"/>
      <c r="BF585" s="2519"/>
      <c r="BG585" s="2520"/>
      <c r="BH585" s="2369">
        <f>IF(AND(T608&gt;0,AP535&gt;0),1,0)</f>
        <v>0</v>
      </c>
      <c r="BI585" s="2371"/>
      <c r="BJ585" s="2519"/>
      <c r="BK585" s="2520"/>
      <c r="BL585" s="2369">
        <f>IF(AND(T608&gt;0,AP535&gt;0),1,0)</f>
        <v>0</v>
      </c>
      <c r="BM585" s="2371"/>
      <c r="BN585" s="2519"/>
      <c r="BO585" s="2520"/>
      <c r="BP585" s="2369">
        <f>IF(AND(T608&gt;0,AP535&gt;0),1,0)</f>
        <v>0</v>
      </c>
      <c r="BQ585" s="2371"/>
    </row>
    <row r="586" spans="2:96" s="46" customFormat="1" ht="12.75" customHeight="1">
      <c r="E586" s="2313">
        <v>10</v>
      </c>
      <c r="F586" s="2314"/>
      <c r="G586" s="2314"/>
      <c r="H586" s="2314"/>
      <c r="I586" s="2314"/>
      <c r="J586" s="2315"/>
      <c r="K586" s="2316">
        <v>40</v>
      </c>
      <c r="L586" s="2317"/>
      <c r="M586" s="2317"/>
      <c r="N586" s="2317"/>
      <c r="O586" s="2317"/>
      <c r="P586" s="2318"/>
      <c r="Q586" s="2559">
        <f t="shared" si="6"/>
        <v>10.638297872340425</v>
      </c>
      <c r="R586" s="2560"/>
      <c r="S586" s="2560"/>
      <c r="T586" s="2560"/>
      <c r="U586" s="2560"/>
      <c r="V586" s="2561"/>
      <c r="W586" s="2331">
        <f t="shared" si="7"/>
        <v>10</v>
      </c>
      <c r="X586" s="2332"/>
      <c r="Y586" s="2332"/>
      <c r="Z586" s="2332"/>
      <c r="AA586" s="2332"/>
      <c r="AB586" s="2333"/>
      <c r="AC586" s="2331">
        <f t="shared" si="4"/>
        <v>10</v>
      </c>
      <c r="AD586" s="2332"/>
      <c r="AE586" s="2332"/>
      <c r="AF586" s="2332"/>
      <c r="AG586" s="2332"/>
      <c r="AH586" s="2333"/>
      <c r="AN586" s="439"/>
      <c r="AO586" s="46">
        <v>2</v>
      </c>
      <c r="AP586" s="2418">
        <f t="shared" si="5"/>
        <v>0</v>
      </c>
      <c r="AQ586" s="2419"/>
      <c r="AR586" s="2419"/>
      <c r="AS586" s="2419"/>
      <c r="AT586" s="2420"/>
      <c r="AX586" s="2519"/>
      <c r="AY586" s="2520"/>
      <c r="AZ586" s="2372"/>
      <c r="BA586" s="2373"/>
      <c r="BB586" s="2451">
        <f>IF(AP536=1,1,0)</f>
        <v>0</v>
      </c>
      <c r="BC586" s="2452"/>
      <c r="BD586" s="2372"/>
      <c r="BE586" s="2373"/>
      <c r="BF586" s="2519"/>
      <c r="BG586" s="2520"/>
      <c r="BH586" s="2369">
        <f>IF(AND(T609&gt;0,AP536&gt;0),1,0)</f>
        <v>1</v>
      </c>
      <c r="BI586" s="2371"/>
      <c r="BJ586" s="2519"/>
      <c r="BK586" s="2520"/>
      <c r="BL586" s="2369">
        <f>IF(AND(T609&gt;0,AP536&gt;0),1,0)</f>
        <v>1</v>
      </c>
      <c r="BM586" s="2371"/>
      <c r="BN586" s="2519"/>
      <c r="BO586" s="2520"/>
      <c r="BP586" s="2369">
        <f>IF(AND(T609&gt;0,AP536&gt;0),1,0)</f>
        <v>1</v>
      </c>
      <c r="BQ586" s="2371"/>
    </row>
    <row r="587" spans="2:96" s="46" customFormat="1" ht="12.75" customHeight="1">
      <c r="E587" s="2313"/>
      <c r="F587" s="2314"/>
      <c r="G587" s="2314"/>
      <c r="H587" s="2314"/>
      <c r="I587" s="2314"/>
      <c r="J587" s="2315"/>
      <c r="K587" s="2316">
        <v>45</v>
      </c>
      <c r="L587" s="2317"/>
      <c r="M587" s="2317"/>
      <c r="N587" s="2317"/>
      <c r="O587" s="2317"/>
      <c r="P587" s="2318"/>
      <c r="Q587" s="2559">
        <f t="shared" si="6"/>
        <v>0</v>
      </c>
      <c r="R587" s="2560"/>
      <c r="S587" s="2560"/>
      <c r="T587" s="2560"/>
      <c r="U587" s="2560"/>
      <c r="V587" s="2561"/>
      <c r="W587" s="2331">
        <f>IF(FLOOR(Q587,5)&gt;65,65,FLOOR(Q587,5))</f>
        <v>0</v>
      </c>
      <c r="X587" s="2332"/>
      <c r="Y587" s="2332"/>
      <c r="Z587" s="2332"/>
      <c r="AA587" s="2332"/>
      <c r="AB587" s="2333"/>
      <c r="AC587" s="2331">
        <f t="shared" si="4"/>
        <v>0</v>
      </c>
      <c r="AD587" s="2332"/>
      <c r="AE587" s="2332"/>
      <c r="AF587" s="2332"/>
      <c r="AG587" s="2332"/>
      <c r="AH587" s="2333"/>
      <c r="AN587" s="439"/>
      <c r="AO587" s="46">
        <v>1</v>
      </c>
      <c r="AP587" s="2418">
        <f t="shared" si="5"/>
        <v>0</v>
      </c>
      <c r="AQ587" s="2419"/>
      <c r="AR587" s="2419"/>
      <c r="AS587" s="2419"/>
      <c r="AT587" s="2420"/>
      <c r="AX587" s="2519"/>
      <c r="AY587" s="2520"/>
      <c r="AZ587" s="2372"/>
      <c r="BA587" s="2373"/>
      <c r="BB587" s="2519"/>
      <c r="BC587" s="2520"/>
      <c r="BD587" s="2372"/>
      <c r="BE587" s="2373"/>
      <c r="BF587" s="2451">
        <f>IF(AP537=1,1,0)</f>
        <v>0</v>
      </c>
      <c r="BG587" s="2452"/>
      <c r="BH587" s="2372"/>
      <c r="BI587" s="2373"/>
      <c r="BJ587" s="2519"/>
      <c r="BK587" s="2520"/>
      <c r="BL587" s="2369">
        <f>IF(AND(T610&gt;0,AP537&gt;0),1,0)</f>
        <v>1</v>
      </c>
      <c r="BM587" s="2371"/>
      <c r="BN587" s="2519"/>
      <c r="BO587" s="2520"/>
      <c r="BP587" s="2369">
        <f>IF(AND(T610&gt;0,AP537&gt;0),1,0)</f>
        <v>1</v>
      </c>
      <c r="BQ587" s="2371"/>
    </row>
    <row r="588" spans="2:96" s="46" customFormat="1" ht="12.75" customHeight="1">
      <c r="E588" s="2313">
        <v>14</v>
      </c>
      <c r="F588" s="2314"/>
      <c r="G588" s="2314"/>
      <c r="H588" s="2314"/>
      <c r="I588" s="2314"/>
      <c r="J588" s="2315"/>
      <c r="K588" s="2316">
        <v>50</v>
      </c>
      <c r="L588" s="2317"/>
      <c r="M588" s="2317"/>
      <c r="N588" s="2317"/>
      <c r="O588" s="2317"/>
      <c r="P588" s="2318"/>
      <c r="Q588" s="2559">
        <f t="shared" si="6"/>
        <v>14.893617021276595</v>
      </c>
      <c r="R588" s="2560"/>
      <c r="S588" s="2560"/>
      <c r="T588" s="2560"/>
      <c r="U588" s="2560"/>
      <c r="V588" s="2561"/>
      <c r="W588" s="2331">
        <f>IF(FLOOR(Q588,5)&gt;40,40,FLOOR(Q588,5))</f>
        <v>10</v>
      </c>
      <c r="X588" s="2332"/>
      <c r="Y588" s="2332"/>
      <c r="Z588" s="2332"/>
      <c r="AA588" s="2332"/>
      <c r="AB588" s="2333"/>
      <c r="AC588" s="2331">
        <f t="shared" si="4"/>
        <v>5</v>
      </c>
      <c r="AD588" s="2332"/>
      <c r="AE588" s="2332"/>
      <c r="AF588" s="2332"/>
      <c r="AG588" s="2332"/>
      <c r="AH588" s="2333"/>
      <c r="AN588" s="439"/>
      <c r="AO588" s="46">
        <v>0</v>
      </c>
      <c r="AP588" s="2418">
        <f t="shared" si="5"/>
        <v>0</v>
      </c>
      <c r="AQ588" s="2419"/>
      <c r="AR588" s="2419"/>
      <c r="AS588" s="2419"/>
      <c r="AT588" s="2420"/>
      <c r="AX588" s="2519"/>
      <c r="AY588" s="2520"/>
      <c r="AZ588" s="2372"/>
      <c r="BA588" s="2373"/>
      <c r="BB588" s="2519"/>
      <c r="BC588" s="2520"/>
      <c r="BD588" s="2372"/>
      <c r="BE588" s="2373"/>
      <c r="BF588" s="2519"/>
      <c r="BG588" s="2520"/>
      <c r="BH588" s="2372"/>
      <c r="BI588" s="2373"/>
      <c r="BJ588" s="2451">
        <f>IF(AP538=1,1,0)</f>
        <v>1</v>
      </c>
      <c r="BK588" s="2452"/>
      <c r="BL588" s="2519"/>
      <c r="BM588" s="2520"/>
      <c r="BN588" s="2519"/>
      <c r="BO588" s="2520"/>
      <c r="BP588" s="2369">
        <f>IF(AND(T611&gt;0,AP538&gt;0),1,0)</f>
        <v>1</v>
      </c>
      <c r="BQ588" s="2371"/>
    </row>
    <row r="589" spans="2:96" s="46" customFormat="1" ht="12.75" customHeight="1">
      <c r="E589" s="2415"/>
      <c r="F589" s="2416"/>
      <c r="G589" s="2416"/>
      <c r="H589" s="2416"/>
      <c r="I589" s="2416"/>
      <c r="J589" s="2417"/>
      <c r="K589" s="2555">
        <f>IF(OR(Application!D211="Rural",Application!D211="Rural apportionment (Section 514)",Application!D211="Rural apportionment (Section 515)",Application!D211="Rural apportionment (HOME)",Application!D211="Rural (Native American apportionment)"),50,0)</f>
        <v>0</v>
      </c>
      <c r="L589" s="2556"/>
      <c r="M589" s="2557" t="s">
        <v>2026</v>
      </c>
      <c r="N589" s="2557"/>
      <c r="O589" s="2557"/>
      <c r="P589" s="2558"/>
      <c r="Q589" s="2559">
        <f t="shared" si="6"/>
        <v>0</v>
      </c>
      <c r="R589" s="2560"/>
      <c r="S589" s="2560"/>
      <c r="T589" s="2560"/>
      <c r="U589" s="2560"/>
      <c r="V589" s="2561"/>
      <c r="W589" s="2331">
        <f>IF(FLOOR(Q589,5)&gt;50,50,FLOOR(Q589,5))</f>
        <v>0</v>
      </c>
      <c r="X589" s="2332"/>
      <c r="Y589" s="2332"/>
      <c r="Z589" s="2332"/>
      <c r="AA589" s="2332"/>
      <c r="AB589" s="2333"/>
      <c r="AC589" s="2331">
        <f>IFERROR(IF(W589&gt;0,INDEX($AT$509:$BA$523,MATCH(W589,$AS$509:$AS$523,0),MATCH(K589,$AT$508:$BA$508,0)),0),0)</f>
        <v>0</v>
      </c>
      <c r="AD589" s="2332"/>
      <c r="AE589" s="2332"/>
      <c r="AF589" s="2332"/>
      <c r="AG589" s="2332"/>
      <c r="AH589" s="2333"/>
      <c r="AN589" s="439"/>
      <c r="AP589" s="2418"/>
      <c r="AQ589" s="2419"/>
      <c r="AR589" s="2419"/>
      <c r="AS589" s="2419"/>
      <c r="AT589" s="2420"/>
      <c r="AX589" s="2519"/>
      <c r="AY589" s="2520"/>
      <c r="AZ589" s="2372"/>
      <c r="BA589" s="2373"/>
      <c r="BB589" s="2519"/>
      <c r="BC589" s="2520"/>
      <c r="BD589" s="2372"/>
      <c r="BE589" s="2373"/>
      <c r="BF589" s="2519"/>
      <c r="BG589" s="2520"/>
      <c r="BH589" s="2372"/>
      <c r="BI589" s="2373"/>
      <c r="BJ589" s="2519"/>
      <c r="BK589" s="2520"/>
      <c r="BL589" s="2519"/>
      <c r="BM589" s="2520"/>
      <c r="BN589" s="2451">
        <f>IF(AP539=1,1,0)</f>
        <v>0</v>
      </c>
      <c r="BO589" s="2452"/>
      <c r="BP589" s="2372"/>
      <c r="BQ589" s="2373"/>
    </row>
    <row r="590" spans="2:96" s="46" customFormat="1" ht="12.75" customHeight="1">
      <c r="E590" s="2415"/>
      <c r="F590" s="2416"/>
      <c r="G590" s="2416"/>
      <c r="H590" s="2416"/>
      <c r="I590" s="2416"/>
      <c r="J590" s="2417"/>
      <c r="K590" s="2555">
        <f>IF(OR(Application!D211="Rural",Application!D211="Rural apportionment (Section 514)",Application!D211="Rural apportionment (Section 515)",Application!D211="Rural apportionment (HOME)",Application!D211="Rural (Native American apportionment)"),55,0)</f>
        <v>0</v>
      </c>
      <c r="L590" s="2556"/>
      <c r="M590" s="2557" t="s">
        <v>2026</v>
      </c>
      <c r="N590" s="2557"/>
      <c r="O590" s="2557"/>
      <c r="P590" s="2558"/>
      <c r="Q590" s="2559">
        <f t="shared" si="6"/>
        <v>0</v>
      </c>
      <c r="R590" s="2560"/>
      <c r="S590" s="2560"/>
      <c r="T590" s="2560"/>
      <c r="U590" s="2560"/>
      <c r="V590" s="2561"/>
      <c r="W590" s="2331">
        <f>IF(FLOOR(Q590,5)&gt;40,40,FLOOR(Q590,5))</f>
        <v>0</v>
      </c>
      <c r="X590" s="2332"/>
      <c r="Y590" s="2332"/>
      <c r="Z590" s="2332"/>
      <c r="AA590" s="2332"/>
      <c r="AB590" s="2333"/>
      <c r="AC590" s="2331">
        <f>IFERROR(IF(W590&gt;0,INDEX($AT$509:$BA$523,MATCH(W590,$AS$509:$AS$523,0),MATCH(K590,$AT$508:$BA$508,0)),0),0)</f>
        <v>0</v>
      </c>
      <c r="AD590" s="2332"/>
      <c r="AE590" s="2332"/>
      <c r="AF590" s="2332"/>
      <c r="AG590" s="2332"/>
      <c r="AH590" s="2333"/>
      <c r="AN590" s="439"/>
      <c r="AX590" s="2451">
        <f>SUM(AX585:AY589)</f>
        <v>0</v>
      </c>
      <c r="AY590" s="2452"/>
      <c r="AZ590" s="2369">
        <f>SUM(AZ586:BA589)</f>
        <v>0</v>
      </c>
      <c r="BA590" s="2371"/>
      <c r="BB590" s="2451">
        <f>SUM(BB586:BC589)</f>
        <v>0</v>
      </c>
      <c r="BC590" s="2452"/>
      <c r="BD590" s="2369">
        <f>SUM(BD585:BE589)</f>
        <v>0</v>
      </c>
      <c r="BE590" s="2371"/>
      <c r="BF590" s="2451">
        <f>SUM(BF587:BG589)</f>
        <v>0</v>
      </c>
      <c r="BG590" s="2452"/>
      <c r="BH590" s="2369">
        <f>SUM(BH585:BI589)</f>
        <v>1</v>
      </c>
      <c r="BI590" s="2371"/>
      <c r="BJ590" s="2451">
        <f>SUM(BJ585:BK589)</f>
        <v>1</v>
      </c>
      <c r="BK590" s="2452"/>
      <c r="BL590" s="2369">
        <f>SUM(BL585:BM589)</f>
        <v>2</v>
      </c>
      <c r="BM590" s="2371"/>
      <c r="BN590" s="2451">
        <f>SUM(BN585:BO589)</f>
        <v>0</v>
      </c>
      <c r="BO590" s="2452"/>
      <c r="BP590" s="2369">
        <f>SUM(BP585:BQ589)</f>
        <v>3</v>
      </c>
      <c r="BQ590" s="2371"/>
    </row>
    <row r="591" spans="2:96" s="46" customFormat="1" ht="12.75" customHeight="1">
      <c r="E591" s="2313">
        <v>45</v>
      </c>
      <c r="F591" s="2314"/>
      <c r="G591" s="2314"/>
      <c r="H591" s="2314"/>
      <c r="I591" s="2314"/>
      <c r="J591" s="2315"/>
      <c r="K591" s="2316" t="s">
        <v>2027</v>
      </c>
      <c r="L591" s="2317"/>
      <c r="M591" s="2317"/>
      <c r="N591" s="2317"/>
      <c r="O591" s="2317"/>
      <c r="P591" s="2318"/>
      <c r="Q591" s="2559">
        <f t="shared" si="6"/>
        <v>47.872340425531917</v>
      </c>
      <c r="R591" s="2560"/>
      <c r="S591" s="2560"/>
      <c r="T591" s="2560"/>
      <c r="U591" s="2560"/>
      <c r="V591" s="2561"/>
      <c r="W591" s="2331">
        <f t="shared" si="7"/>
        <v>45</v>
      </c>
      <c r="X591" s="2332"/>
      <c r="Y591" s="2332"/>
      <c r="Z591" s="2332"/>
      <c r="AA591" s="2332"/>
      <c r="AB591" s="2333"/>
      <c r="AC591" s="2331">
        <v>0</v>
      </c>
      <c r="AD591" s="2332"/>
      <c r="AE591" s="2332"/>
      <c r="AF591" s="2332"/>
      <c r="AG591" s="2332"/>
      <c r="AH591" s="2333"/>
      <c r="AN591" s="439"/>
      <c r="AX591" s="2468">
        <f>IF(AND(AX590=1,AZ590&gt;1),1,0)</f>
        <v>0</v>
      </c>
      <c r="AY591" s="2469"/>
      <c r="AZ591" s="2469"/>
      <c r="BA591" s="2470"/>
      <c r="BB591" s="2468">
        <f>IF(AND(BB590=1,BD590&gt;=1),1,0)</f>
        <v>0</v>
      </c>
      <c r="BC591" s="2469"/>
      <c r="BD591" s="2469"/>
      <c r="BE591" s="2470"/>
      <c r="BF591" s="2468">
        <f>IF(AND(BF590=1,BH590&gt;=1),1,0)</f>
        <v>0</v>
      </c>
      <c r="BG591" s="2469"/>
      <c r="BH591" s="2469"/>
      <c r="BI591" s="2470"/>
      <c r="BJ591" s="2468">
        <f>IF(AND(BJ590=1,BL590&gt;=1),1,0)</f>
        <v>1</v>
      </c>
      <c r="BK591" s="2469"/>
      <c r="BL591" s="2469"/>
      <c r="BM591" s="2470"/>
      <c r="BN591" s="2468">
        <f>IF(AND(BN590=1,BP590&gt;=1),1,0)</f>
        <v>0</v>
      </c>
      <c r="BO591" s="2469"/>
      <c r="BP591" s="2469"/>
      <c r="BQ591" s="2470"/>
    </row>
    <row r="592" spans="2:96" s="46" customFormat="1" ht="12.75" customHeight="1">
      <c r="E592" s="2412">
        <f>SUM(E583:J591)</f>
        <v>94</v>
      </c>
      <c r="F592" s="2413"/>
      <c r="G592" s="2413"/>
      <c r="H592" s="2413"/>
      <c r="I592" s="2413"/>
      <c r="J592" s="2414"/>
      <c r="K592" s="260"/>
      <c r="L592" s="260"/>
      <c r="M592" s="260"/>
      <c r="N592" s="260"/>
      <c r="O592" s="260"/>
      <c r="P592" s="260"/>
      <c r="Q592" s="260"/>
      <c r="R592" s="260"/>
      <c r="S592" s="260"/>
      <c r="T592" s="260"/>
      <c r="U592" s="254"/>
      <c r="V592" s="254"/>
      <c r="W592" s="254"/>
      <c r="X592" s="254"/>
      <c r="Y592" s="254"/>
      <c r="Z592" s="260"/>
      <c r="AA592" s="254"/>
      <c r="AB592" s="100" t="s">
        <v>667</v>
      </c>
      <c r="AC592" s="2409">
        <f>IF(SUM(AC583:AH591)&gt;0,SUM(AC583:AH591),0)</f>
        <v>52.5</v>
      </c>
      <c r="AD592" s="2410"/>
      <c r="AE592" s="2410"/>
      <c r="AF592" s="2410"/>
      <c r="AG592" s="2410"/>
      <c r="AH592" s="2411"/>
      <c r="AK592" s="8"/>
      <c r="AL592" s="8"/>
      <c r="AM592" s="261"/>
      <c r="AN592" s="439"/>
      <c r="AX592" s="16"/>
      <c r="AY592" s="16"/>
      <c r="AZ592" s="16"/>
      <c r="BA592" s="16"/>
      <c r="BB592" s="16"/>
      <c r="BC592" s="16"/>
      <c r="BD592" s="16"/>
      <c r="BE592" s="16"/>
      <c r="BF592" s="16"/>
      <c r="BG592" s="16"/>
      <c r="BH592" s="16"/>
      <c r="BI592" s="240" t="s">
        <v>672</v>
      </c>
      <c r="BJ592" s="2468">
        <f>AX591+BB591+BF591+BJ591+BN591</f>
        <v>1</v>
      </c>
      <c r="BK592" s="2469"/>
      <c r="BL592" s="2469"/>
      <c r="BM592" s="2470"/>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2152</v>
      </c>
      <c r="AG595" s="2382" t="s">
        <v>114</v>
      </c>
      <c r="AH595" s="2382"/>
      <c r="AI595" s="2382"/>
      <c r="AJ595" s="2382"/>
      <c r="AK595" s="8"/>
      <c r="AL595" s="8"/>
      <c r="AM595" s="8"/>
      <c r="AN595" s="439"/>
    </row>
    <row r="596" spans="1:69" s="46" customFormat="1" ht="12.75" customHeight="1">
      <c r="B596" s="2346" t="s">
        <v>2003</v>
      </c>
      <c r="C596" s="2346"/>
      <c r="D596" s="2346"/>
      <c r="E596" s="2346"/>
      <c r="F596" s="2346"/>
      <c r="G596" s="2346"/>
      <c r="H596" s="2346"/>
      <c r="I596" s="2346"/>
      <c r="J596" s="2346"/>
      <c r="K596" s="2346"/>
      <c r="L596" s="2346"/>
      <c r="M596" s="2346"/>
      <c r="N596" s="2346"/>
      <c r="O596" s="2346"/>
      <c r="P596" s="2346"/>
      <c r="Q596" s="2346"/>
      <c r="R596" s="2346"/>
      <c r="S596" s="2346"/>
      <c r="T596" s="2346"/>
      <c r="U596" s="2346"/>
      <c r="V596" s="2346"/>
      <c r="W596" s="2346"/>
      <c r="X596" s="2346"/>
      <c r="Y596" s="2346"/>
      <c r="Z596" s="2346"/>
      <c r="AA596" s="2346"/>
      <c r="AB596" s="2346"/>
      <c r="AC596" s="2346"/>
      <c r="AD596" s="2346"/>
      <c r="AE596" s="2346"/>
      <c r="AF596" s="2346"/>
      <c r="AG596" s="2346"/>
      <c r="AH596" s="2346"/>
      <c r="AI596" s="65"/>
      <c r="AJ596" s="65"/>
      <c r="AK596" s="16"/>
      <c r="AL596" s="16"/>
      <c r="AM596" s="16"/>
      <c r="AN596" s="439"/>
    </row>
    <row r="597" spans="1:69" s="46" customFormat="1" ht="12.75" customHeight="1">
      <c r="A597" s="65"/>
      <c r="B597" s="2346"/>
      <c r="C597" s="2346"/>
      <c r="D597" s="2346"/>
      <c r="E597" s="2346"/>
      <c r="F597" s="2346"/>
      <c r="G597" s="2346"/>
      <c r="H597" s="2346"/>
      <c r="I597" s="2346"/>
      <c r="J597" s="2346"/>
      <c r="K597" s="2346"/>
      <c r="L597" s="2346"/>
      <c r="M597" s="2346"/>
      <c r="N597" s="2346"/>
      <c r="O597" s="2346"/>
      <c r="P597" s="2346"/>
      <c r="Q597" s="2346"/>
      <c r="R597" s="2346"/>
      <c r="S597" s="2346"/>
      <c r="T597" s="2346"/>
      <c r="U597" s="2346"/>
      <c r="V597" s="2346"/>
      <c r="W597" s="2346"/>
      <c r="X597" s="2346"/>
      <c r="Y597" s="2346"/>
      <c r="Z597" s="2346"/>
      <c r="AA597" s="2346"/>
      <c r="AB597" s="2346"/>
      <c r="AC597" s="2346"/>
      <c r="AD597" s="2346"/>
      <c r="AE597" s="2346"/>
      <c r="AF597" s="2346"/>
      <c r="AG597" s="2346"/>
      <c r="AH597" s="2346"/>
      <c r="AI597" s="65"/>
      <c r="AJ597" s="65"/>
      <c r="AK597" s="16"/>
      <c r="AL597" s="16"/>
      <c r="AM597" s="16"/>
      <c r="AN597" s="439"/>
    </row>
    <row r="598" spans="1:69" s="46" customFormat="1" ht="12.75" customHeight="1">
      <c r="A598" s="65"/>
      <c r="B598" s="2346"/>
      <c r="C598" s="2346"/>
      <c r="D598" s="2346"/>
      <c r="E598" s="2346"/>
      <c r="F598" s="2346"/>
      <c r="G598" s="2346"/>
      <c r="H598" s="2346"/>
      <c r="I598" s="2346"/>
      <c r="J598" s="2346"/>
      <c r="K598" s="2346"/>
      <c r="L598" s="2346"/>
      <c r="M598" s="2346"/>
      <c r="N598" s="2346"/>
      <c r="O598" s="2346"/>
      <c r="P598" s="2346"/>
      <c r="Q598" s="2346"/>
      <c r="R598" s="2346"/>
      <c r="S598" s="2346"/>
      <c r="T598" s="2346"/>
      <c r="U598" s="2346"/>
      <c r="V598" s="2346"/>
      <c r="W598" s="2346"/>
      <c r="X598" s="2346"/>
      <c r="Y598" s="2346"/>
      <c r="Z598" s="2346"/>
      <c r="AA598" s="2346"/>
      <c r="AB598" s="2346"/>
      <c r="AC598" s="2346"/>
      <c r="AD598" s="2346"/>
      <c r="AE598" s="2346"/>
      <c r="AF598" s="2346"/>
      <c r="AG598" s="2346"/>
      <c r="AH598" s="2346"/>
      <c r="AI598" s="65"/>
      <c r="AJ598" s="65"/>
      <c r="AK598" s="16"/>
      <c r="AL598" s="16"/>
      <c r="AM598" s="16"/>
      <c r="AN598" s="439"/>
    </row>
    <row r="599" spans="1:69" s="46" customFormat="1" ht="12.75" customHeight="1">
      <c r="A599" s="65"/>
      <c r="B599" s="2346"/>
      <c r="C599" s="2346"/>
      <c r="D599" s="2346"/>
      <c r="E599" s="2346"/>
      <c r="F599" s="2346"/>
      <c r="G599" s="2346"/>
      <c r="H599" s="2346"/>
      <c r="I599" s="2346"/>
      <c r="J599" s="2346"/>
      <c r="K599" s="2346"/>
      <c r="L599" s="2346"/>
      <c r="M599" s="2346"/>
      <c r="N599" s="2346"/>
      <c r="O599" s="2346"/>
      <c r="P599" s="2346"/>
      <c r="Q599" s="2346"/>
      <c r="R599" s="2346"/>
      <c r="S599" s="2346"/>
      <c r="T599" s="2346"/>
      <c r="U599" s="2346"/>
      <c r="V599" s="2346"/>
      <c r="W599" s="2346"/>
      <c r="X599" s="2346"/>
      <c r="Y599" s="2346"/>
      <c r="Z599" s="2346"/>
      <c r="AA599" s="2346"/>
      <c r="AB599" s="2346"/>
      <c r="AC599" s="2346"/>
      <c r="AD599" s="2346"/>
      <c r="AE599" s="2346"/>
      <c r="AF599" s="2346"/>
      <c r="AG599" s="2346"/>
      <c r="AH599" s="2346"/>
      <c r="AI599" s="65"/>
      <c r="AJ599" s="65"/>
      <c r="AK599" s="16"/>
      <c r="AL599" s="16"/>
      <c r="AM599" s="16"/>
      <c r="AN599" s="439"/>
    </row>
    <row r="600" spans="1:69" s="46" customFormat="1" ht="12.75" customHeight="1">
      <c r="A600" s="65"/>
      <c r="B600" s="2346"/>
      <c r="C600" s="2346"/>
      <c r="D600" s="2346"/>
      <c r="E600" s="2346"/>
      <c r="F600" s="2346"/>
      <c r="G600" s="2346"/>
      <c r="H600" s="2346"/>
      <c r="I600" s="2346"/>
      <c r="J600" s="2346"/>
      <c r="K600" s="2346"/>
      <c r="L600" s="2346"/>
      <c r="M600" s="2346"/>
      <c r="N600" s="2346"/>
      <c r="O600" s="2346"/>
      <c r="P600" s="2346"/>
      <c r="Q600" s="2346"/>
      <c r="R600" s="2346"/>
      <c r="S600" s="2346"/>
      <c r="T600" s="2346"/>
      <c r="U600" s="2346"/>
      <c r="V600" s="2346"/>
      <c r="W600" s="2346"/>
      <c r="X600" s="2346"/>
      <c r="Y600" s="2346"/>
      <c r="Z600" s="2346"/>
      <c r="AA600" s="2346"/>
      <c r="AB600" s="2346"/>
      <c r="AC600" s="2346"/>
      <c r="AD600" s="2346"/>
      <c r="AE600" s="2346"/>
      <c r="AF600" s="2346"/>
      <c r="AG600" s="2346"/>
      <c r="AH600" s="2346"/>
      <c r="AI600" s="65"/>
      <c r="AJ600" s="65"/>
      <c r="AK600" s="16"/>
      <c r="AL600" s="16"/>
      <c r="AM600" s="16"/>
      <c r="AN600" s="439"/>
    </row>
    <row r="601" spans="1:69" s="46" customFormat="1" ht="12.75" customHeight="1">
      <c r="A601" s="65"/>
      <c r="B601" s="2346"/>
      <c r="C601" s="2346"/>
      <c r="D601" s="2346"/>
      <c r="E601" s="2346"/>
      <c r="F601" s="2346"/>
      <c r="G601" s="2346"/>
      <c r="H601" s="2346"/>
      <c r="I601" s="2346"/>
      <c r="J601" s="2346"/>
      <c r="K601" s="2346"/>
      <c r="L601" s="2346"/>
      <c r="M601" s="2346"/>
      <c r="N601" s="2346"/>
      <c r="O601" s="2346"/>
      <c r="P601" s="2346"/>
      <c r="Q601" s="2346"/>
      <c r="R601" s="2346"/>
      <c r="S601" s="2346"/>
      <c r="T601" s="2346"/>
      <c r="U601" s="2346"/>
      <c r="V601" s="2346"/>
      <c r="W601" s="2346"/>
      <c r="X601" s="2346"/>
      <c r="Y601" s="2346"/>
      <c r="Z601" s="2346"/>
      <c r="AA601" s="2346"/>
      <c r="AB601" s="2346"/>
      <c r="AC601" s="2346"/>
      <c r="AD601" s="2346"/>
      <c r="AE601" s="2346"/>
      <c r="AF601" s="2346"/>
      <c r="AG601" s="2346"/>
      <c r="AH601" s="2346"/>
      <c r="AI601" s="65"/>
      <c r="AJ601" s="65"/>
      <c r="AK601" s="65"/>
      <c r="AL601" s="65"/>
      <c r="AM601" s="65"/>
      <c r="AN601" s="1084"/>
    </row>
    <row r="602" spans="1:69">
      <c r="E602" s="245"/>
      <c r="BD602" s="65"/>
      <c r="BE602" s="65"/>
      <c r="BF602" s="65"/>
      <c r="BG602" s="65"/>
      <c r="BH602" s="65"/>
    </row>
    <row r="603" spans="1:69" ht="12.75" customHeight="1">
      <c r="J603" s="2480" t="s">
        <v>863</v>
      </c>
      <c r="K603" s="2481"/>
      <c r="L603" s="2481"/>
      <c r="M603" s="2481"/>
      <c r="N603" s="2482"/>
      <c r="O603" s="2325" t="s">
        <v>1642</v>
      </c>
      <c r="P603" s="2326"/>
      <c r="Q603" s="2326"/>
      <c r="R603" s="2326"/>
      <c r="S603" s="2327"/>
      <c r="T603" s="2325" t="s">
        <v>1936</v>
      </c>
      <c r="U603" s="2326"/>
      <c r="V603" s="2326"/>
      <c r="W603" s="2326"/>
      <c r="X603" s="2327"/>
      <c r="Y603" s="2325" t="s">
        <v>1643</v>
      </c>
      <c r="Z603" s="2326"/>
      <c r="AA603" s="2326"/>
      <c r="AB603" s="2326"/>
      <c r="AC603" s="2327"/>
      <c r="AF603" s="16"/>
      <c r="AG603" s="16"/>
      <c r="AH603" s="16"/>
      <c r="AI603" s="16"/>
      <c r="AJ603" s="16"/>
    </row>
    <row r="604" spans="1:69" ht="12.75" customHeight="1">
      <c r="D604" s="16"/>
      <c r="E604" s="16"/>
      <c r="F604" s="16"/>
      <c r="G604" s="16"/>
      <c r="H604" s="16"/>
      <c r="I604" s="16"/>
      <c r="J604" s="2362"/>
      <c r="K604" s="2363"/>
      <c r="L604" s="2363"/>
      <c r="M604" s="2363"/>
      <c r="N604" s="2483"/>
      <c r="O604" s="2328"/>
      <c r="P604" s="2329"/>
      <c r="Q604" s="2329"/>
      <c r="R604" s="2329"/>
      <c r="S604" s="2330"/>
      <c r="T604" s="2328"/>
      <c r="U604" s="2329"/>
      <c r="V604" s="2329"/>
      <c r="W604" s="2329"/>
      <c r="X604" s="2330"/>
      <c r="Y604" s="2328"/>
      <c r="Z604" s="2329"/>
      <c r="AA604" s="2329"/>
      <c r="AB604" s="2329"/>
      <c r="AC604" s="2330"/>
      <c r="AF604" s="16"/>
      <c r="AG604" s="16"/>
      <c r="AH604" s="16"/>
      <c r="AI604" s="16"/>
      <c r="AJ604" s="16"/>
    </row>
    <row r="605" spans="1:69">
      <c r="I605" s="16"/>
      <c r="J605" s="2362"/>
      <c r="K605" s="2363"/>
      <c r="L605" s="2363"/>
      <c r="M605" s="2363"/>
      <c r="N605" s="2483"/>
      <c r="O605" s="2328"/>
      <c r="P605" s="2329"/>
      <c r="Q605" s="2329"/>
      <c r="R605" s="2329"/>
      <c r="S605" s="2330"/>
      <c r="T605" s="2328"/>
      <c r="U605" s="2329"/>
      <c r="V605" s="2329"/>
      <c r="W605" s="2329"/>
      <c r="X605" s="2330"/>
      <c r="Y605" s="2328"/>
      <c r="Z605" s="2329"/>
      <c r="AA605" s="2329"/>
      <c r="AB605" s="2329"/>
      <c r="AC605" s="2330"/>
      <c r="AD605" s="42"/>
      <c r="AF605" s="16"/>
      <c r="AG605" s="16"/>
      <c r="AH605" s="16"/>
      <c r="AI605" s="16"/>
      <c r="AJ605" s="16"/>
    </row>
    <row r="606" spans="1:69">
      <c r="D606" s="16"/>
      <c r="E606" s="16"/>
      <c r="F606" s="16"/>
      <c r="G606" s="16"/>
      <c r="H606" s="16"/>
      <c r="I606" s="16"/>
      <c r="J606" s="2362"/>
      <c r="K606" s="2363"/>
      <c r="L606" s="2363"/>
      <c r="M606" s="2363"/>
      <c r="N606" s="2483"/>
      <c r="O606" s="2328"/>
      <c r="P606" s="2329"/>
      <c r="Q606" s="2329"/>
      <c r="R606" s="2329"/>
      <c r="S606" s="2330"/>
      <c r="T606" s="2328"/>
      <c r="U606" s="2329"/>
      <c r="V606" s="2329"/>
      <c r="W606" s="2329"/>
      <c r="X606" s="2330"/>
      <c r="Y606" s="2328"/>
      <c r="Z606" s="2329"/>
      <c r="AA606" s="2329"/>
      <c r="AB606" s="2329"/>
      <c r="AC606" s="2330"/>
      <c r="AD606" s="42"/>
      <c r="AF606" s="16"/>
      <c r="AG606" s="16"/>
      <c r="AH606" s="16"/>
      <c r="AI606" s="16"/>
      <c r="AJ606" s="16"/>
    </row>
    <row r="607" spans="1:69">
      <c r="D607" s="16"/>
      <c r="E607" s="16"/>
      <c r="F607" s="16"/>
      <c r="G607" s="16"/>
      <c r="H607" s="16"/>
      <c r="I607" s="16"/>
      <c r="J607" s="2430" t="s">
        <v>250</v>
      </c>
      <c r="K607" s="2431"/>
      <c r="L607" s="2431"/>
      <c r="M607" s="2431"/>
      <c r="N607" s="2432"/>
      <c r="O607" s="2316">
        <f>Application!CM627</f>
        <v>0</v>
      </c>
      <c r="P607" s="2317"/>
      <c r="Q607" s="2317"/>
      <c r="R607" s="2317"/>
      <c r="S607" s="2318"/>
      <c r="T607" s="2316">
        <f>Application!DR628</f>
        <v>0</v>
      </c>
      <c r="U607" s="2317"/>
      <c r="V607" s="2317"/>
      <c r="W607" s="2317"/>
      <c r="X607" s="2318"/>
      <c r="Y607" s="2404">
        <f t="shared" ref="Y607:Y612" si="8">IF(T607&gt;0,T607/O607,0)</f>
        <v>0</v>
      </c>
      <c r="Z607" s="2405"/>
      <c r="AA607" s="2405"/>
      <c r="AB607" s="2405"/>
      <c r="AC607" s="2406"/>
      <c r="AD607" s="42"/>
      <c r="AF607" s="16"/>
      <c r="AG607" s="16"/>
      <c r="AH607" s="16"/>
      <c r="AI607" s="16"/>
      <c r="AJ607" s="16"/>
    </row>
    <row r="608" spans="1:69">
      <c r="D608" s="16"/>
      <c r="E608" s="16"/>
      <c r="F608" s="16"/>
      <c r="G608" s="16"/>
      <c r="H608" s="16"/>
      <c r="I608" s="16"/>
      <c r="J608" s="2430" t="s">
        <v>36</v>
      </c>
      <c r="K608" s="2431"/>
      <c r="L608" s="2431"/>
      <c r="M608" s="2431"/>
      <c r="N608" s="2432"/>
      <c r="O608" s="2316">
        <f>Application!CH627</f>
        <v>0</v>
      </c>
      <c r="P608" s="2317"/>
      <c r="Q608" s="2317"/>
      <c r="R608" s="2317"/>
      <c r="S608" s="2318"/>
      <c r="T608" s="2316">
        <f>Application!DM628</f>
        <v>0</v>
      </c>
      <c r="U608" s="2317"/>
      <c r="V608" s="2317"/>
      <c r="W608" s="2317"/>
      <c r="X608" s="2318"/>
      <c r="Y608" s="2404">
        <f t="shared" si="8"/>
        <v>0</v>
      </c>
      <c r="Z608" s="2405"/>
      <c r="AA608" s="2405"/>
      <c r="AB608" s="2405"/>
      <c r="AC608" s="2406"/>
      <c r="AD608" s="42"/>
      <c r="AF608" s="16"/>
      <c r="AG608" s="16"/>
      <c r="AH608" s="16"/>
      <c r="AI608" s="16"/>
      <c r="AJ608" s="16"/>
    </row>
    <row r="609" spans="1:60">
      <c r="D609" s="16"/>
      <c r="E609" s="16"/>
      <c r="F609" s="16"/>
      <c r="G609" s="16"/>
      <c r="H609" s="16"/>
      <c r="I609" s="16"/>
      <c r="J609" s="2430" t="s">
        <v>292</v>
      </c>
      <c r="K609" s="2431"/>
      <c r="L609" s="2431"/>
      <c r="M609" s="2431"/>
      <c r="N609" s="2432"/>
      <c r="O609" s="2316">
        <f>Application!CC627</f>
        <v>24</v>
      </c>
      <c r="P609" s="2317"/>
      <c r="Q609" s="2317"/>
      <c r="R609" s="2317"/>
      <c r="S609" s="2318"/>
      <c r="T609" s="2316">
        <f>Application!DH628</f>
        <v>8</v>
      </c>
      <c r="U609" s="2317"/>
      <c r="V609" s="2317"/>
      <c r="W609" s="2317"/>
      <c r="X609" s="2318"/>
      <c r="Y609" s="2404">
        <f t="shared" si="8"/>
        <v>0.33333333333333331</v>
      </c>
      <c r="Z609" s="2405"/>
      <c r="AA609" s="2405"/>
      <c r="AB609" s="2405"/>
      <c r="AC609" s="2406"/>
      <c r="AD609" s="16"/>
      <c r="AF609" s="16"/>
      <c r="AG609" s="16"/>
      <c r="AH609" s="16"/>
      <c r="AI609" s="16"/>
      <c r="AJ609" s="16"/>
      <c r="AN609" s="1100"/>
    </row>
    <row r="610" spans="1:60">
      <c r="D610" s="16"/>
      <c r="E610" s="16"/>
      <c r="F610" s="16"/>
      <c r="G610" s="16"/>
      <c r="H610" s="16"/>
      <c r="I610" s="16"/>
      <c r="J610" s="2430" t="s">
        <v>291</v>
      </c>
      <c r="K610" s="2431"/>
      <c r="L610" s="2431"/>
      <c r="M610" s="2431"/>
      <c r="N610" s="2432"/>
      <c r="O610" s="2316">
        <f>Application!BX627</f>
        <v>24</v>
      </c>
      <c r="P610" s="2317"/>
      <c r="Q610" s="2317"/>
      <c r="R610" s="2317"/>
      <c r="S610" s="2318"/>
      <c r="T610" s="2316">
        <f>Application!DC628</f>
        <v>6</v>
      </c>
      <c r="U610" s="2317"/>
      <c r="V610" s="2317"/>
      <c r="W610" s="2317"/>
      <c r="X610" s="2318"/>
      <c r="Y610" s="2404">
        <f t="shared" si="8"/>
        <v>0.25</v>
      </c>
      <c r="Z610" s="2405"/>
      <c r="AA610" s="2405"/>
      <c r="AB610" s="2405"/>
      <c r="AC610" s="2406"/>
      <c r="AD610" s="16"/>
      <c r="AF610" s="16"/>
      <c r="AG610" s="16"/>
      <c r="AH610" s="16"/>
      <c r="AI610" s="16"/>
      <c r="AJ610" s="16"/>
      <c r="AN610" s="1100"/>
      <c r="AO610" s="46"/>
      <c r="AP610" s="30"/>
      <c r="AQ610" s="30"/>
      <c r="AR610" s="30"/>
      <c r="AS610" s="30"/>
      <c r="AT610" s="30"/>
    </row>
    <row r="611" spans="1:60">
      <c r="D611" s="16"/>
      <c r="E611" s="16"/>
      <c r="F611" s="16"/>
      <c r="G611" s="16"/>
      <c r="H611" s="16"/>
      <c r="I611" s="16"/>
      <c r="J611" s="2430" t="s">
        <v>290</v>
      </c>
      <c r="K611" s="2431"/>
      <c r="L611" s="2431"/>
      <c r="M611" s="2431"/>
      <c r="N611" s="2432"/>
      <c r="O611" s="2316">
        <f>Application!BS627</f>
        <v>46</v>
      </c>
      <c r="P611" s="2317"/>
      <c r="Q611" s="2317"/>
      <c r="R611" s="2317"/>
      <c r="S611" s="2318"/>
      <c r="T611" s="2316">
        <f>Application!CX628</f>
        <v>11</v>
      </c>
      <c r="U611" s="2317"/>
      <c r="V611" s="2317"/>
      <c r="W611" s="2317"/>
      <c r="X611" s="2318"/>
      <c r="Y611" s="2404">
        <f t="shared" si="8"/>
        <v>0.2391304347826087</v>
      </c>
      <c r="Z611" s="2405"/>
      <c r="AA611" s="2405"/>
      <c r="AB611" s="2405"/>
      <c r="AC611" s="2406"/>
      <c r="AD611" s="16"/>
      <c r="AF611" s="16"/>
      <c r="AG611" s="16"/>
      <c r="AH611" s="16"/>
      <c r="AI611" s="16"/>
      <c r="AJ611" s="16"/>
      <c r="AN611" s="1100"/>
      <c r="AQ611" s="30"/>
      <c r="AR611" s="30"/>
      <c r="AS611" s="30"/>
      <c r="AT611" s="30"/>
    </row>
    <row r="612" spans="1:60">
      <c r="D612" s="16"/>
      <c r="E612" s="16"/>
      <c r="F612" s="16"/>
      <c r="G612" s="16"/>
      <c r="H612" s="16"/>
      <c r="I612" s="16"/>
      <c r="J612" s="2430" t="s">
        <v>677</v>
      </c>
      <c r="K612" s="2431"/>
      <c r="L612" s="2431"/>
      <c r="M612" s="2431"/>
      <c r="N612" s="2432"/>
      <c r="O612" s="2316">
        <f>Application!BN627</f>
        <v>0</v>
      </c>
      <c r="P612" s="2317"/>
      <c r="Q612" s="2317"/>
      <c r="R612" s="2317"/>
      <c r="S612" s="2318"/>
      <c r="T612" s="2316">
        <f>Application!CS628</f>
        <v>0</v>
      </c>
      <c r="U612" s="2317"/>
      <c r="V612" s="2317"/>
      <c r="W612" s="2317"/>
      <c r="X612" s="2318"/>
      <c r="Y612" s="2404">
        <f t="shared" si="8"/>
        <v>0</v>
      </c>
      <c r="Z612" s="2405"/>
      <c r="AA612" s="2405"/>
      <c r="AB612" s="2405"/>
      <c r="AC612" s="2406"/>
      <c r="AD612" s="16"/>
      <c r="AF612" s="16"/>
      <c r="AG612" s="16"/>
      <c r="AH612" s="16"/>
      <c r="AI612" s="16"/>
      <c r="AJ612" s="16"/>
      <c r="AN612" s="1100"/>
      <c r="AQ612" s="30"/>
      <c r="AR612" s="30"/>
      <c r="AS612" s="30"/>
      <c r="AT612" s="30"/>
    </row>
    <row r="613" spans="1:60">
      <c r="D613" s="16"/>
      <c r="E613" s="16"/>
      <c r="F613" s="16"/>
      <c r="G613" s="16"/>
      <c r="H613" s="16"/>
      <c r="I613" s="16"/>
      <c r="J613" s="2426" t="s">
        <v>954</v>
      </c>
      <c r="K613" s="2427"/>
      <c r="L613" s="2427"/>
      <c r="M613" s="2427"/>
      <c r="N613" s="2428"/>
      <c r="O613" s="2423">
        <f>SUM(O607:S612)</f>
        <v>94</v>
      </c>
      <c r="P613" s="2424"/>
      <c r="Q613" s="2424"/>
      <c r="R613" s="2424"/>
      <c r="S613" s="2425"/>
      <c r="T613" s="2423">
        <f>SUM(T607:X612)</f>
        <v>25</v>
      </c>
      <c r="U613" s="2424"/>
      <c r="V613" s="2424"/>
      <c r="W613" s="2424"/>
      <c r="X613" s="2425"/>
      <c r="Y613" s="2476" t="s">
        <v>258</v>
      </c>
      <c r="Z613" s="2477"/>
      <c r="AA613" s="2477"/>
      <c r="AB613" s="2477"/>
      <c r="AC613" s="2478"/>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40" t="s">
        <v>1646</v>
      </c>
      <c r="B616" s="1741"/>
      <c r="C616" s="1741"/>
      <c r="D616" s="1741"/>
      <c r="E616" s="1741"/>
      <c r="F616" s="1741"/>
      <c r="G616" s="1741"/>
      <c r="H616" s="1741"/>
      <c r="I616" s="1741"/>
      <c r="J616" s="1741"/>
      <c r="K616" s="1741"/>
      <c r="L616" s="1741"/>
      <c r="M616" s="1741"/>
      <c r="N616" s="1741"/>
      <c r="O616" s="1741"/>
      <c r="P616" s="1741"/>
      <c r="Q616" s="1741"/>
      <c r="R616" s="1741"/>
      <c r="S616" s="1741"/>
      <c r="T616" s="1741"/>
      <c r="U616" s="1741"/>
      <c r="V616" s="1741"/>
      <c r="W616" s="1741"/>
      <c r="X616" s="1741"/>
      <c r="Y616" s="1741"/>
      <c r="Z616" s="1741"/>
      <c r="AA616" s="1741"/>
      <c r="AB616" s="1741"/>
      <c r="AC616" s="1741"/>
      <c r="AD616" s="1741"/>
      <c r="AE616" s="1741"/>
      <c r="AF616" s="1741"/>
      <c r="AG616" s="1741"/>
      <c r="AH616" s="1741"/>
      <c r="AI616" s="1742"/>
      <c r="AJ616" s="2453">
        <v>2</v>
      </c>
      <c r="AK616" s="2454"/>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574" t="s">
        <v>196</v>
      </c>
      <c r="B618" s="2574"/>
      <c r="C618" s="2574"/>
      <c r="D618" s="2574"/>
      <c r="E618" s="2574"/>
      <c r="F618" s="2574"/>
      <c r="G618" s="2574"/>
      <c r="H618" s="2574"/>
      <c r="I618" s="2574"/>
      <c r="J618" s="2574"/>
      <c r="K618" s="2574"/>
      <c r="L618" s="2574"/>
      <c r="M618" s="2574"/>
      <c r="N618" s="2574"/>
      <c r="O618" s="2574"/>
      <c r="P618" s="2574"/>
      <c r="Q618" s="2574"/>
      <c r="R618" s="2574"/>
      <c r="S618" s="2574"/>
      <c r="T618" s="2574"/>
      <c r="U618" s="2574"/>
      <c r="V618" s="2574"/>
      <c r="W618" s="2574"/>
      <c r="X618" s="2574"/>
      <c r="Y618" s="2574"/>
      <c r="Z618" s="2574"/>
      <c r="AA618" s="2574"/>
      <c r="AB618" s="2574"/>
      <c r="AC618" s="2574"/>
      <c r="AD618" s="2574"/>
      <c r="AE618" s="2574"/>
      <c r="AF618" s="2574"/>
      <c r="AG618" s="2574"/>
      <c r="AH618" s="2574"/>
      <c r="AI618" s="2574"/>
      <c r="AJ618" s="2574"/>
      <c r="AK618" s="2377">
        <f>IF($AC$592=0,0,$AC$592+$AJ$616)</f>
        <v>54.5</v>
      </c>
      <c r="AL618" s="2397"/>
      <c r="AM618" s="2378"/>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65" customHeight="1">
      <c r="A621" s="26"/>
      <c r="AI621" s="27"/>
      <c r="AJ621" s="46"/>
      <c r="AK621" s="153"/>
      <c r="AL621" s="153"/>
      <c r="AM621" s="153"/>
      <c r="AN621" s="1100"/>
      <c r="AO621" s="46"/>
      <c r="AR621" s="30"/>
      <c r="AS621" s="30"/>
      <c r="AT621" s="30"/>
    </row>
    <row r="622" spans="1:60" ht="13.65" customHeight="1">
      <c r="A622" s="29"/>
      <c r="B622" s="2429" t="s">
        <v>1647</v>
      </c>
      <c r="C622" s="2429"/>
      <c r="D622" s="2429"/>
      <c r="E622" s="2429"/>
      <c r="F622" s="2429"/>
      <c r="G622" s="2429"/>
      <c r="H622" s="2429"/>
      <c r="I622" s="2429"/>
      <c r="J622" s="2429"/>
      <c r="K622" s="2429"/>
      <c r="L622" s="2429"/>
      <c r="M622" s="2429"/>
      <c r="N622" s="2429"/>
      <c r="O622" s="2429"/>
      <c r="P622" s="2429"/>
      <c r="Q622" s="2429"/>
      <c r="R622" s="2429"/>
      <c r="S622" s="2429"/>
      <c r="T622" s="2429"/>
      <c r="U622" s="2429"/>
      <c r="V622" s="2429"/>
      <c r="W622" s="2429"/>
      <c r="X622" s="2429"/>
      <c r="Y622" s="2429"/>
      <c r="Z622" s="2429"/>
      <c r="AA622" s="2429"/>
      <c r="AB622" s="2429"/>
      <c r="AC622" s="2429"/>
      <c r="AD622" s="2429"/>
      <c r="AE622" s="2429"/>
      <c r="AF622" s="2429"/>
      <c r="AG622" s="2429"/>
      <c r="AH622" s="2429"/>
      <c r="AI622" s="27"/>
      <c r="AJ622" s="46"/>
      <c r="AK622" s="153"/>
      <c r="AL622" s="153"/>
      <c r="AM622" s="153"/>
      <c r="AN622" s="1100"/>
      <c r="AO622" s="66"/>
      <c r="AP622" s="30"/>
      <c r="AQ622" s="30"/>
      <c r="AR622" s="30"/>
      <c r="AS622" s="30"/>
      <c r="AT622" s="30"/>
    </row>
    <row r="623" spans="1:60" ht="22.65" customHeight="1">
      <c r="A623" s="28"/>
      <c r="B623" s="2429"/>
      <c r="C623" s="2429"/>
      <c r="D623" s="2429"/>
      <c r="E623" s="2429"/>
      <c r="F623" s="2429"/>
      <c r="G623" s="2429"/>
      <c r="H623" s="2429"/>
      <c r="I623" s="2429"/>
      <c r="J623" s="2429"/>
      <c r="K623" s="2429"/>
      <c r="L623" s="2429"/>
      <c r="M623" s="2429"/>
      <c r="N623" s="2429"/>
      <c r="O623" s="2429"/>
      <c r="P623" s="2429"/>
      <c r="Q623" s="2429"/>
      <c r="R623" s="2429"/>
      <c r="S623" s="2429"/>
      <c r="T623" s="2429"/>
      <c r="U623" s="2429"/>
      <c r="V623" s="2429"/>
      <c r="W623" s="2429"/>
      <c r="X623" s="2429"/>
      <c r="Y623" s="2429"/>
      <c r="Z623" s="2429"/>
      <c r="AA623" s="2429"/>
      <c r="AB623" s="2429"/>
      <c r="AC623" s="2429"/>
      <c r="AD623" s="2429"/>
      <c r="AE623" s="2429"/>
      <c r="AF623" s="2429"/>
      <c r="AG623" s="2429"/>
      <c r="AH623" s="2429"/>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65" customHeight="1">
      <c r="A626" s="28"/>
      <c r="B626" s="203"/>
      <c r="C626" s="1826" t="s">
        <v>119</v>
      </c>
      <c r="D626" s="1826"/>
      <c r="E626" s="293"/>
      <c r="F626" s="2484" t="s">
        <v>2238</v>
      </c>
      <c r="G626" s="2485"/>
      <c r="H626" s="2485"/>
      <c r="I626" s="2485"/>
      <c r="J626" s="2485"/>
      <c r="K626" s="2485"/>
      <c r="L626" s="2485"/>
      <c r="M626" s="2485"/>
      <c r="N626" s="2485"/>
      <c r="O626" s="2485"/>
      <c r="P626" s="2485"/>
      <c r="Q626" s="2485"/>
      <c r="R626" s="2485"/>
      <c r="S626" s="2485"/>
      <c r="T626" s="2485"/>
      <c r="U626" s="2485"/>
      <c r="V626" s="2485"/>
      <c r="W626" s="2485"/>
      <c r="X626" s="2485"/>
      <c r="Y626" s="2485"/>
      <c r="Z626" s="2485"/>
      <c r="AA626" s="2485"/>
      <c r="AB626" s="2485"/>
      <c r="AC626" s="2485"/>
      <c r="AD626" s="2486"/>
      <c r="AE626" s="46"/>
      <c r="AF626" s="265"/>
      <c r="AG626" s="2479" t="s">
        <v>1021</v>
      </c>
      <c r="AH626" s="2479"/>
      <c r="AI626" s="2479"/>
      <c r="AJ626" s="2479"/>
      <c r="AK626" s="153"/>
      <c r="AL626" s="153"/>
      <c r="AM626" s="153"/>
      <c r="AN626" s="1100"/>
      <c r="AO626" s="46"/>
      <c r="AS626" s="30"/>
      <c r="AT626" s="30"/>
    </row>
    <row r="627" spans="1:46" ht="13.65" customHeight="1">
      <c r="A627" s="28"/>
      <c r="B627" s="203"/>
      <c r="C627" s="77"/>
      <c r="D627" s="46"/>
      <c r="E627" s="293"/>
      <c r="F627" s="2487"/>
      <c r="G627" s="2488"/>
      <c r="H627" s="2488"/>
      <c r="I627" s="2488"/>
      <c r="J627" s="2488"/>
      <c r="K627" s="2488"/>
      <c r="L627" s="2488"/>
      <c r="M627" s="2488"/>
      <c r="N627" s="2488"/>
      <c r="O627" s="2488"/>
      <c r="P627" s="2488"/>
      <c r="Q627" s="2488"/>
      <c r="R627" s="2488"/>
      <c r="S627" s="2488"/>
      <c r="T627" s="2488"/>
      <c r="U627" s="2488"/>
      <c r="V627" s="2488"/>
      <c r="W627" s="2488"/>
      <c r="X627" s="2488"/>
      <c r="Y627" s="2488"/>
      <c r="Z627" s="2488"/>
      <c r="AA627" s="2488"/>
      <c r="AB627" s="2488"/>
      <c r="AC627" s="2488"/>
      <c r="AD627" s="2489"/>
      <c r="AE627" s="46"/>
      <c r="AF627" s="265"/>
      <c r="AG627" s="265"/>
      <c r="AH627" s="265"/>
      <c r="AI627" s="265"/>
      <c r="AJ627" s="46"/>
      <c r="AK627" s="153"/>
      <c r="AL627" s="153"/>
      <c r="AM627" s="153"/>
      <c r="AN627" s="1100"/>
      <c r="AO627" s="46"/>
      <c r="AS627" s="30"/>
      <c r="AT627" s="30"/>
    </row>
    <row r="628" spans="1:46">
      <c r="A628" s="28"/>
      <c r="B628" s="203"/>
      <c r="C628" s="77"/>
      <c r="D628" s="46"/>
      <c r="E628" s="293"/>
      <c r="F628" s="2490"/>
      <c r="G628" s="2491"/>
      <c r="H628" s="2491"/>
      <c r="I628" s="2491"/>
      <c r="J628" s="2491"/>
      <c r="K628" s="2491"/>
      <c r="L628" s="2491"/>
      <c r="M628" s="2491"/>
      <c r="N628" s="2491"/>
      <c r="O628" s="2491"/>
      <c r="P628" s="2491"/>
      <c r="Q628" s="2491"/>
      <c r="R628" s="2491"/>
      <c r="S628" s="2491"/>
      <c r="T628" s="2491"/>
      <c r="U628" s="2491"/>
      <c r="V628" s="2491"/>
      <c r="W628" s="2491"/>
      <c r="X628" s="2491"/>
      <c r="Y628" s="2491"/>
      <c r="Z628" s="2491"/>
      <c r="AA628" s="2491"/>
      <c r="AB628" s="2491"/>
      <c r="AC628" s="2491"/>
      <c r="AD628" s="2492"/>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65" customHeight="1">
      <c r="A630" s="28"/>
      <c r="B630" s="2429" t="s">
        <v>2006</v>
      </c>
      <c r="C630" s="2429"/>
      <c r="D630" s="2429"/>
      <c r="E630" s="2429"/>
      <c r="F630" s="2429"/>
      <c r="G630" s="2429"/>
      <c r="H630" s="2429"/>
      <c r="I630" s="2429"/>
      <c r="J630" s="2429"/>
      <c r="K630" s="2429"/>
      <c r="L630" s="2429"/>
      <c r="M630" s="2429"/>
      <c r="N630" s="2429"/>
      <c r="O630" s="2429"/>
      <c r="P630" s="2429"/>
      <c r="Q630" s="2429"/>
      <c r="R630" s="2429"/>
      <c r="S630" s="2429"/>
      <c r="T630" s="2429"/>
      <c r="U630" s="2429"/>
      <c r="V630" s="2429"/>
      <c r="W630" s="2429"/>
      <c r="X630" s="2429"/>
      <c r="Y630" s="2429"/>
      <c r="Z630" s="2429"/>
      <c r="AA630" s="2429"/>
      <c r="AB630" s="2429"/>
      <c r="AC630" s="2429"/>
      <c r="AD630" s="2429"/>
      <c r="AE630" s="2429"/>
      <c r="AF630" s="2429"/>
      <c r="AG630" s="2429"/>
      <c r="AH630" s="2429"/>
      <c r="AI630" s="265"/>
      <c r="AJ630" s="46"/>
      <c r="AK630" s="153"/>
      <c r="AL630" s="153"/>
      <c r="AM630" s="153"/>
    </row>
    <row r="631" spans="1:46" ht="13.65" customHeight="1">
      <c r="B631" s="2429"/>
      <c r="C631" s="2429"/>
      <c r="D631" s="2429"/>
      <c r="E631" s="2429"/>
      <c r="F631" s="2429"/>
      <c r="G631" s="2429"/>
      <c r="H631" s="2429"/>
      <c r="I631" s="2429"/>
      <c r="J631" s="2429"/>
      <c r="K631" s="2429"/>
      <c r="L631" s="2429"/>
      <c r="M631" s="2429"/>
      <c r="N631" s="2429"/>
      <c r="O631" s="2429"/>
      <c r="P631" s="2429"/>
      <c r="Q631" s="2429"/>
      <c r="R631" s="2429"/>
      <c r="S631" s="2429"/>
      <c r="T631" s="2429"/>
      <c r="U631" s="2429"/>
      <c r="V631" s="2429"/>
      <c r="W631" s="2429"/>
      <c r="X631" s="2429"/>
      <c r="Y631" s="2429"/>
      <c r="Z631" s="2429"/>
      <c r="AA631" s="2429"/>
      <c r="AB631" s="2429"/>
      <c r="AC631" s="2429"/>
      <c r="AD631" s="2429"/>
      <c r="AE631" s="2429"/>
      <c r="AF631" s="2429"/>
      <c r="AG631" s="2429"/>
      <c r="AH631" s="2429"/>
      <c r="AI631" s="245"/>
      <c r="AJ631" s="46"/>
      <c r="AK631" s="153"/>
      <c r="AL631" s="153"/>
      <c r="AM631" s="153"/>
    </row>
    <row r="632" spans="1:46" ht="13.65" customHeight="1">
      <c r="A632" s="263"/>
      <c r="B632" s="2429"/>
      <c r="C632" s="2429"/>
      <c r="D632" s="2429"/>
      <c r="E632" s="2429"/>
      <c r="F632" s="2429"/>
      <c r="G632" s="2429"/>
      <c r="H632" s="2429"/>
      <c r="I632" s="2429"/>
      <c r="J632" s="2429"/>
      <c r="K632" s="2429"/>
      <c r="L632" s="2429"/>
      <c r="M632" s="2429"/>
      <c r="N632" s="2429"/>
      <c r="O632" s="2429"/>
      <c r="P632" s="2429"/>
      <c r="Q632" s="2429"/>
      <c r="R632" s="2429"/>
      <c r="S632" s="2429"/>
      <c r="T632" s="2429"/>
      <c r="U632" s="2429"/>
      <c r="V632" s="2429"/>
      <c r="W632" s="2429"/>
      <c r="X632" s="2429"/>
      <c r="Y632" s="2429"/>
      <c r="Z632" s="2429"/>
      <c r="AA632" s="2429"/>
      <c r="AB632" s="2429"/>
      <c r="AC632" s="2429"/>
      <c r="AD632" s="2429"/>
      <c r="AE632" s="2429"/>
      <c r="AF632" s="2429"/>
      <c r="AG632" s="2429"/>
      <c r="AH632" s="2429"/>
      <c r="AI632" s="245"/>
      <c r="AJ632" s="46"/>
      <c r="AK632" s="153"/>
      <c r="AL632" s="153"/>
      <c r="AM632" s="153"/>
      <c r="AN632" s="124"/>
    </row>
    <row r="633" spans="1:46" ht="13.65" customHeight="1">
      <c r="A633" s="46"/>
      <c r="B633" s="2429"/>
      <c r="C633" s="2429"/>
      <c r="D633" s="2429"/>
      <c r="E633" s="2429"/>
      <c r="F633" s="2429"/>
      <c r="G633" s="2429"/>
      <c r="H633" s="2429"/>
      <c r="I633" s="2429"/>
      <c r="J633" s="2429"/>
      <c r="K633" s="2429"/>
      <c r="L633" s="2429"/>
      <c r="M633" s="2429"/>
      <c r="N633" s="2429"/>
      <c r="O633" s="2429"/>
      <c r="P633" s="2429"/>
      <c r="Q633" s="2429"/>
      <c r="R633" s="2429"/>
      <c r="S633" s="2429"/>
      <c r="T633" s="2429"/>
      <c r="U633" s="2429"/>
      <c r="V633" s="2429"/>
      <c r="W633" s="2429"/>
      <c r="X633" s="2429"/>
      <c r="Y633" s="2429"/>
      <c r="Z633" s="2429"/>
      <c r="AA633" s="2429"/>
      <c r="AB633" s="2429"/>
      <c r="AC633" s="2429"/>
      <c r="AD633" s="2429"/>
      <c r="AE633" s="2429"/>
      <c r="AF633" s="2429"/>
      <c r="AG633" s="2429"/>
      <c r="AH633" s="2429"/>
      <c r="AI633" s="245"/>
      <c r="AJ633" s="46"/>
      <c r="AK633" s="153"/>
      <c r="AL633" s="153"/>
      <c r="AM633" s="153"/>
      <c r="AN633" s="124"/>
    </row>
    <row r="634" spans="1:46" ht="13.65" customHeight="1">
      <c r="A634" s="46"/>
      <c r="B634" s="2429"/>
      <c r="C634" s="2429"/>
      <c r="D634" s="2429"/>
      <c r="E634" s="2429"/>
      <c r="F634" s="2429"/>
      <c r="G634" s="2429"/>
      <c r="H634" s="2429"/>
      <c r="I634" s="2429"/>
      <c r="J634" s="2429"/>
      <c r="K634" s="2429"/>
      <c r="L634" s="2429"/>
      <c r="M634" s="2429"/>
      <c r="N634" s="2429"/>
      <c r="O634" s="2429"/>
      <c r="P634" s="2429"/>
      <c r="Q634" s="2429"/>
      <c r="R634" s="2429"/>
      <c r="S634" s="2429"/>
      <c r="T634" s="2429"/>
      <c r="U634" s="2429"/>
      <c r="V634" s="2429"/>
      <c r="W634" s="2429"/>
      <c r="X634" s="2429"/>
      <c r="Y634" s="2429"/>
      <c r="Z634" s="2429"/>
      <c r="AA634" s="2429"/>
      <c r="AB634" s="2429"/>
      <c r="AC634" s="2429"/>
      <c r="AD634" s="2429"/>
      <c r="AE634" s="2429"/>
      <c r="AF634" s="2429"/>
      <c r="AG634" s="2429"/>
      <c r="AH634" s="2429"/>
      <c r="AI634" s="245"/>
      <c r="AJ634" s="46"/>
      <c r="AK634" s="153"/>
      <c r="AL634" s="153"/>
      <c r="AM634" s="153"/>
      <c r="AN634" s="124"/>
    </row>
    <row r="635" spans="1:46" ht="13.65" customHeight="1">
      <c r="A635" s="263"/>
      <c r="B635" s="2429"/>
      <c r="C635" s="2429"/>
      <c r="D635" s="2429"/>
      <c r="E635" s="2429"/>
      <c r="F635" s="2429"/>
      <c r="G635" s="2429"/>
      <c r="H635" s="2429"/>
      <c r="I635" s="2429"/>
      <c r="J635" s="2429"/>
      <c r="K635" s="2429"/>
      <c r="L635" s="2429"/>
      <c r="M635" s="2429"/>
      <c r="N635" s="2429"/>
      <c r="O635" s="2429"/>
      <c r="P635" s="2429"/>
      <c r="Q635" s="2429"/>
      <c r="R635" s="2429"/>
      <c r="S635" s="2429"/>
      <c r="T635" s="2429"/>
      <c r="U635" s="2429"/>
      <c r="V635" s="2429"/>
      <c r="W635" s="2429"/>
      <c r="X635" s="2429"/>
      <c r="Y635" s="2429"/>
      <c r="Z635" s="2429"/>
      <c r="AA635" s="2429"/>
      <c r="AB635" s="2429"/>
      <c r="AC635" s="2429"/>
      <c r="AD635" s="2429"/>
      <c r="AE635" s="2429"/>
      <c r="AF635" s="2429"/>
      <c r="AG635" s="2429"/>
      <c r="AH635" s="2429"/>
      <c r="AI635" s="245"/>
      <c r="AJ635" s="46"/>
      <c r="AK635" s="153"/>
      <c r="AL635" s="153"/>
      <c r="AM635" s="153"/>
      <c r="AN635" s="124"/>
    </row>
    <row r="636" spans="1:46" ht="13.65" customHeight="1">
      <c r="A636" s="263"/>
      <c r="B636" s="2429"/>
      <c r="C636" s="2429"/>
      <c r="D636" s="2429"/>
      <c r="E636" s="2429"/>
      <c r="F636" s="2429"/>
      <c r="G636" s="2429"/>
      <c r="H636" s="2429"/>
      <c r="I636" s="2429"/>
      <c r="J636" s="2429"/>
      <c r="K636" s="2429"/>
      <c r="L636" s="2429"/>
      <c r="M636" s="2429"/>
      <c r="N636" s="2429"/>
      <c r="O636" s="2429"/>
      <c r="P636" s="2429"/>
      <c r="Q636" s="2429"/>
      <c r="R636" s="2429"/>
      <c r="S636" s="2429"/>
      <c r="T636" s="2429"/>
      <c r="U636" s="2429"/>
      <c r="V636" s="2429"/>
      <c r="W636" s="2429"/>
      <c r="X636" s="2429"/>
      <c r="Y636" s="2429"/>
      <c r="Z636" s="2429"/>
      <c r="AA636" s="2429"/>
      <c r="AB636" s="2429"/>
      <c r="AC636" s="2429"/>
      <c r="AD636" s="2429"/>
      <c r="AE636" s="2429"/>
      <c r="AF636" s="2429"/>
      <c r="AG636" s="2429"/>
      <c r="AH636" s="2429"/>
      <c r="AI636" s="245"/>
      <c r="AJ636" s="46"/>
      <c r="AK636" s="153"/>
      <c r="AL636" s="153"/>
      <c r="AM636" s="153"/>
      <c r="AN636" s="124"/>
    </row>
    <row r="637" spans="1:46" ht="13.65" customHeight="1">
      <c r="A637" s="263"/>
      <c r="B637" s="2429"/>
      <c r="C637" s="2429"/>
      <c r="D637" s="2429"/>
      <c r="E637" s="2429"/>
      <c r="F637" s="2429"/>
      <c r="G637" s="2429"/>
      <c r="H637" s="2429"/>
      <c r="I637" s="2429"/>
      <c r="J637" s="2429"/>
      <c r="K637" s="2429"/>
      <c r="L637" s="2429"/>
      <c r="M637" s="2429"/>
      <c r="N637" s="2429"/>
      <c r="O637" s="2429"/>
      <c r="P637" s="2429"/>
      <c r="Q637" s="2429"/>
      <c r="R637" s="2429"/>
      <c r="S637" s="2429"/>
      <c r="T637" s="2429"/>
      <c r="U637" s="2429"/>
      <c r="V637" s="2429"/>
      <c r="W637" s="2429"/>
      <c r="X637" s="2429"/>
      <c r="Y637" s="2429"/>
      <c r="Z637" s="2429"/>
      <c r="AA637" s="2429"/>
      <c r="AB637" s="2429"/>
      <c r="AC637" s="2429"/>
      <c r="AD637" s="2429"/>
      <c r="AE637" s="2429"/>
      <c r="AF637" s="2429"/>
      <c r="AG637" s="2429"/>
      <c r="AH637" s="2429"/>
      <c r="AI637" s="245"/>
      <c r="AJ637" s="46"/>
      <c r="AK637" s="153"/>
      <c r="AL637" s="153"/>
      <c r="AM637" s="153"/>
      <c r="AN637" s="124"/>
    </row>
    <row r="638" spans="1:46" ht="13.65" customHeight="1">
      <c r="A638" s="263"/>
      <c r="B638" s="2429"/>
      <c r="C638" s="2429"/>
      <c r="D638" s="2429"/>
      <c r="E638" s="2429"/>
      <c r="F638" s="2429"/>
      <c r="G638" s="2429"/>
      <c r="H638" s="2429"/>
      <c r="I638" s="2429"/>
      <c r="J638" s="2429"/>
      <c r="K638" s="2429"/>
      <c r="L638" s="2429"/>
      <c r="M638" s="2429"/>
      <c r="N638" s="2429"/>
      <c r="O638" s="2429"/>
      <c r="P638" s="2429"/>
      <c r="Q638" s="2429"/>
      <c r="R638" s="2429"/>
      <c r="S638" s="2429"/>
      <c r="T638" s="2429"/>
      <c r="U638" s="2429"/>
      <c r="V638" s="2429"/>
      <c r="W638" s="2429"/>
      <c r="X638" s="2429"/>
      <c r="Y638" s="2429"/>
      <c r="Z638" s="2429"/>
      <c r="AA638" s="2429"/>
      <c r="AB638" s="2429"/>
      <c r="AC638" s="2429"/>
      <c r="AD638" s="2429"/>
      <c r="AE638" s="2429"/>
      <c r="AF638" s="2429"/>
      <c r="AG638" s="2429"/>
      <c r="AH638" s="2429"/>
      <c r="AI638" s="245"/>
      <c r="AJ638" s="46"/>
      <c r="AK638" s="153"/>
      <c r="AL638" s="153"/>
      <c r="AM638" s="153"/>
      <c r="AN638" s="124"/>
    </row>
    <row r="639" spans="1:46">
      <c r="A639" s="263"/>
      <c r="B639" s="2429"/>
      <c r="C639" s="2429"/>
      <c r="D639" s="2429"/>
      <c r="E639" s="2429"/>
      <c r="F639" s="2429"/>
      <c r="G639" s="2429"/>
      <c r="H639" s="2429"/>
      <c r="I639" s="2429"/>
      <c r="J639" s="2429"/>
      <c r="K639" s="2429"/>
      <c r="L639" s="2429"/>
      <c r="M639" s="2429"/>
      <c r="N639" s="2429"/>
      <c r="O639" s="2429"/>
      <c r="P639" s="2429"/>
      <c r="Q639" s="2429"/>
      <c r="R639" s="2429"/>
      <c r="S639" s="2429"/>
      <c r="T639" s="2429"/>
      <c r="U639" s="2429"/>
      <c r="V639" s="2429"/>
      <c r="W639" s="2429"/>
      <c r="X639" s="2429"/>
      <c r="Y639" s="2429"/>
      <c r="Z639" s="2429"/>
      <c r="AA639" s="2429"/>
      <c r="AB639" s="2429"/>
      <c r="AC639" s="2429"/>
      <c r="AD639" s="2429"/>
      <c r="AE639" s="2429"/>
      <c r="AF639" s="2429"/>
      <c r="AG639" s="2429"/>
      <c r="AH639" s="2429"/>
      <c r="AI639" s="245"/>
      <c r="AJ639" s="46"/>
      <c r="AK639" s="153"/>
      <c r="AL639" s="153"/>
      <c r="AM639" s="153"/>
      <c r="AN639" s="124"/>
    </row>
    <row r="640" spans="1:46">
      <c r="A640" s="263"/>
      <c r="B640" s="2429"/>
      <c r="C640" s="2429"/>
      <c r="D640" s="2429"/>
      <c r="E640" s="2429"/>
      <c r="F640" s="2429"/>
      <c r="G640" s="2429"/>
      <c r="H640" s="2429"/>
      <c r="I640" s="2429"/>
      <c r="J640" s="2429"/>
      <c r="K640" s="2429"/>
      <c r="L640" s="2429"/>
      <c r="M640" s="2429"/>
      <c r="N640" s="2429"/>
      <c r="O640" s="2429"/>
      <c r="P640" s="2429"/>
      <c r="Q640" s="2429"/>
      <c r="R640" s="2429"/>
      <c r="S640" s="2429"/>
      <c r="T640" s="2429"/>
      <c r="U640" s="2429"/>
      <c r="V640" s="2429"/>
      <c r="W640" s="2429"/>
      <c r="X640" s="2429"/>
      <c r="Y640" s="2429"/>
      <c r="Z640" s="2429"/>
      <c r="AA640" s="2429"/>
      <c r="AB640" s="2429"/>
      <c r="AC640" s="2429"/>
      <c r="AD640" s="2429"/>
      <c r="AE640" s="2429"/>
      <c r="AF640" s="2429"/>
      <c r="AG640" s="2429"/>
      <c r="AH640" s="2429"/>
      <c r="AI640" s="245"/>
      <c r="AJ640" s="46"/>
      <c r="AK640" s="153"/>
      <c r="AL640" s="153"/>
      <c r="AM640" s="153"/>
      <c r="AN640" s="124"/>
    </row>
    <row r="641" spans="1:60">
      <c r="A641" s="263"/>
      <c r="B641" s="2429"/>
      <c r="C641" s="2429"/>
      <c r="D641" s="2429"/>
      <c r="E641" s="2429"/>
      <c r="F641" s="2429"/>
      <c r="G641" s="2429"/>
      <c r="H641" s="2429"/>
      <c r="I641" s="2429"/>
      <c r="J641" s="2429"/>
      <c r="K641" s="2429"/>
      <c r="L641" s="2429"/>
      <c r="M641" s="2429"/>
      <c r="N641" s="2429"/>
      <c r="O641" s="2429"/>
      <c r="P641" s="2429"/>
      <c r="Q641" s="2429"/>
      <c r="R641" s="2429"/>
      <c r="S641" s="2429"/>
      <c r="T641" s="2429"/>
      <c r="U641" s="2429"/>
      <c r="V641" s="2429"/>
      <c r="W641" s="2429"/>
      <c r="X641" s="2429"/>
      <c r="Y641" s="2429"/>
      <c r="Z641" s="2429"/>
      <c r="AA641" s="2429"/>
      <c r="AB641" s="2429"/>
      <c r="AC641" s="2429"/>
      <c r="AD641" s="2429"/>
      <c r="AE641" s="2429"/>
      <c r="AF641" s="2429"/>
      <c r="AG641" s="2429"/>
      <c r="AH641" s="2429"/>
      <c r="AI641" s="266"/>
      <c r="AJ641" s="46"/>
      <c r="AK641" s="153"/>
      <c r="AL641" s="153"/>
      <c r="AM641" s="153"/>
      <c r="AN641" s="124"/>
    </row>
    <row r="642" spans="1:60" s="1012" customFormat="1" ht="12.4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77">
        <f>IF($C$626="yes",10,0)</f>
        <v>10</v>
      </c>
      <c r="AL643" s="2397"/>
      <c r="AM643" s="2378"/>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2154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826" t="s">
        <v>119</v>
      </c>
      <c r="D648" s="1826"/>
      <c r="E648" s="293" t="s">
        <v>638</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26" t="s">
        <v>135</v>
      </c>
      <c r="D653" s="1826"/>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26" t="s">
        <v>135</v>
      </c>
      <c r="D657" s="1826"/>
      <c r="E657" s="293" t="s">
        <v>971</v>
      </c>
      <c r="F657" s="786"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26" t="s">
        <v>135</v>
      </c>
      <c r="D661" s="1826"/>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26" t="s">
        <v>135</v>
      </c>
      <c r="D663" s="1826"/>
      <c r="E663" s="293" t="s">
        <v>794</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6" t="s">
        <v>135</v>
      </c>
      <c r="D668" s="1826"/>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77">
        <f>$AO$654</f>
        <v>2</v>
      </c>
      <c r="AL671" s="2397"/>
      <c r="AM671" s="2378"/>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74" t="s">
        <v>784</v>
      </c>
      <c r="B674" s="2474"/>
      <c r="C674" s="2474"/>
      <c r="D674" s="2474"/>
      <c r="E674" s="2474"/>
      <c r="F674" s="2474"/>
      <c r="G674" s="2474"/>
      <c r="H674" s="2474"/>
      <c r="I674" s="2474"/>
      <c r="J674" s="2474"/>
      <c r="K674" s="2474"/>
      <c r="L674" s="2474"/>
      <c r="M674" s="2474"/>
      <c r="N674" s="2474"/>
      <c r="O674" s="2474"/>
      <c r="P674" s="2474"/>
      <c r="Q674" s="2474"/>
      <c r="R674" s="2474"/>
      <c r="S674" s="2474"/>
      <c r="T674" s="2474"/>
      <c r="U674" s="2474"/>
      <c r="V674" s="2474"/>
      <c r="W674" s="2474"/>
      <c r="X674" s="2474"/>
      <c r="Y674" s="2474"/>
      <c r="Z674" s="2474"/>
      <c r="AA674" s="2474"/>
      <c r="AB674" s="2474"/>
      <c r="AC674" s="2474"/>
      <c r="AD674" s="2474"/>
      <c r="AE674" s="2474"/>
      <c r="AF674" s="2474"/>
      <c r="AG674" s="2474"/>
      <c r="AH674" s="2474"/>
      <c r="AI674" s="2474"/>
      <c r="AJ674" s="2474"/>
      <c r="AK674" s="2474"/>
      <c r="AL674" s="2474"/>
      <c r="AM674" s="2474"/>
    </row>
    <row r="675" spans="1:43">
      <c r="A675" s="2475"/>
      <c r="B675" s="2475"/>
      <c r="C675" s="2475"/>
      <c r="D675" s="2475"/>
      <c r="E675" s="2475"/>
      <c r="F675" s="2475"/>
      <c r="G675" s="2475"/>
      <c r="H675" s="2475"/>
      <c r="I675" s="2475"/>
      <c r="J675" s="2475"/>
      <c r="K675" s="2475"/>
      <c r="L675" s="2475"/>
      <c r="M675" s="2475"/>
      <c r="N675" s="2475"/>
      <c r="O675" s="2475"/>
      <c r="P675" s="2475"/>
      <c r="Q675" s="2475"/>
      <c r="R675" s="2475"/>
      <c r="S675" s="2475"/>
      <c r="T675" s="2475"/>
      <c r="U675" s="2475"/>
      <c r="V675" s="2475"/>
      <c r="W675" s="2475"/>
      <c r="X675" s="2475"/>
      <c r="Y675" s="2475"/>
      <c r="Z675" s="2475"/>
      <c r="AA675" s="2475"/>
      <c r="AB675" s="2475"/>
      <c r="AC675" s="2475"/>
      <c r="AD675" s="2475"/>
      <c r="AE675" s="2475"/>
      <c r="AF675" s="2475"/>
      <c r="AG675" s="2475"/>
      <c r="AH675" s="2475"/>
      <c r="AI675" s="2475"/>
      <c r="AJ675" s="2475"/>
      <c r="AK675" s="2475"/>
      <c r="AL675" s="2475"/>
      <c r="AM675" s="2475"/>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12" t="s">
        <v>2148</v>
      </c>
      <c r="B677" s="2312"/>
      <c r="C677" s="2312"/>
      <c r="D677" s="2312"/>
      <c r="E677" s="2312"/>
      <c r="F677" s="2312"/>
      <c r="G677" s="2312"/>
      <c r="H677" s="2312"/>
      <c r="I677" s="2312"/>
      <c r="J677" s="2312"/>
      <c r="K677" s="2312"/>
      <c r="L677" s="2312"/>
      <c r="M677" s="2312"/>
      <c r="N677" s="2312"/>
      <c r="O677" s="2312"/>
      <c r="P677" s="2312"/>
      <c r="Q677" s="2312"/>
      <c r="R677" s="2312"/>
      <c r="S677" s="2312"/>
      <c r="T677" s="2312"/>
      <c r="U677" s="2312"/>
      <c r="V677" s="2312"/>
      <c r="W677" s="2312"/>
      <c r="X677" s="2312"/>
      <c r="Y677" s="2312"/>
      <c r="Z677" s="2312"/>
      <c r="AA677" s="2312"/>
      <c r="AB677" s="2312"/>
      <c r="AC677" s="2312"/>
      <c r="AD677" s="2312"/>
      <c r="AE677" s="2312"/>
      <c r="AF677" s="2312"/>
      <c r="AG677" s="2312"/>
      <c r="AH677" s="2312"/>
      <c r="AI677" s="2312"/>
      <c r="AJ677" s="2312"/>
      <c r="AK677" s="2312"/>
      <c r="AL677" s="2312"/>
      <c r="AM677" s="2312"/>
      <c r="AP677" s="732"/>
      <c r="AQ677" s="728"/>
    </row>
    <row r="678" spans="1:43">
      <c r="A678" s="2312" t="s">
        <v>2149</v>
      </c>
      <c r="B678" s="2312"/>
      <c r="C678" s="2312"/>
      <c r="D678" s="2312"/>
      <c r="E678" s="2312"/>
      <c r="F678" s="2312"/>
      <c r="G678" s="2312"/>
      <c r="H678" s="2312"/>
      <c r="I678" s="2312"/>
      <c r="J678" s="2312"/>
      <c r="K678" s="2312"/>
      <c r="L678" s="2312"/>
      <c r="M678" s="2312"/>
      <c r="N678" s="2312"/>
      <c r="O678" s="2312"/>
      <c r="P678" s="2312"/>
      <c r="Q678" s="2312"/>
      <c r="R678" s="2312"/>
      <c r="S678" s="2312"/>
      <c r="T678" s="2312"/>
      <c r="U678" s="2312"/>
      <c r="V678" s="2312"/>
      <c r="W678" s="2312"/>
      <c r="X678" s="2312"/>
      <c r="Y678" s="2312"/>
      <c r="Z678" s="2312"/>
      <c r="AA678" s="2312"/>
      <c r="AB678" s="2312"/>
      <c r="AC678" s="2312"/>
      <c r="AD678" s="2312"/>
      <c r="AE678" s="2312"/>
      <c r="AF678" s="2312"/>
      <c r="AG678" s="2312"/>
      <c r="AH678" s="2312"/>
      <c r="AI678" s="2312"/>
      <c r="AJ678" s="2312"/>
      <c r="AK678" s="2312"/>
      <c r="AL678" s="2312"/>
      <c r="AM678" s="2312"/>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437" t="s">
        <v>260</v>
      </c>
      <c r="U679" s="1984"/>
      <c r="V679" s="1984"/>
      <c r="W679" s="1984"/>
      <c r="X679" s="1984"/>
      <c r="Y679" s="1985"/>
      <c r="Z679" s="2437" t="s">
        <v>259</v>
      </c>
      <c r="AA679" s="1984"/>
      <c r="AB679" s="1984"/>
      <c r="AC679" s="1984"/>
      <c r="AD679" s="1984"/>
      <c r="AE679" s="1985"/>
      <c r="AF679" s="2437" t="s">
        <v>261</v>
      </c>
      <c r="AG679" s="1984"/>
      <c r="AH679" s="1984"/>
      <c r="AI679" s="1984"/>
      <c r="AJ679" s="1984"/>
      <c r="AK679" s="1985"/>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38"/>
      <c r="U680" s="1986"/>
      <c r="V680" s="1986"/>
      <c r="W680" s="1986"/>
      <c r="X680" s="1986"/>
      <c r="Y680" s="1987"/>
      <c r="Z680" s="2438"/>
      <c r="AA680" s="1986"/>
      <c r="AB680" s="1986"/>
      <c r="AC680" s="1986"/>
      <c r="AD680" s="1986"/>
      <c r="AE680" s="1987"/>
      <c r="AF680" s="2438"/>
      <c r="AG680" s="1986"/>
      <c r="AH680" s="1986"/>
      <c r="AI680" s="1986"/>
      <c r="AJ680" s="1986"/>
      <c r="AK680" s="1987"/>
      <c r="AL680" s="1259"/>
      <c r="AM680" s="458"/>
      <c r="AO680" s="728">
        <f>IF(T687&gt;10,10,T687)</f>
        <v>10</v>
      </c>
      <c r="AP680" s="728"/>
      <c r="AQ680" s="728"/>
    </row>
    <row r="681" spans="1:43">
      <c r="A681" s="935" t="s">
        <v>715</v>
      </c>
      <c r="B681" s="2440" t="s">
        <v>297</v>
      </c>
      <c r="C681" s="2440"/>
      <c r="D681" s="2440"/>
      <c r="E681" s="2440"/>
      <c r="F681" s="2440"/>
      <c r="G681" s="2440"/>
      <c r="H681" s="2440"/>
      <c r="I681" s="2440"/>
      <c r="J681" s="2440"/>
      <c r="K681" s="2440"/>
      <c r="L681" s="2440"/>
      <c r="M681" s="2440"/>
      <c r="N681" s="2440"/>
      <c r="O681" s="2440"/>
      <c r="P681" s="2440"/>
      <c r="Q681" s="2440"/>
      <c r="R681" s="2440"/>
      <c r="S681" s="2441"/>
      <c r="T681" s="2439">
        <f>SUM(T682:Y683)</f>
        <v>10</v>
      </c>
      <c r="U681" s="2439"/>
      <c r="V681" s="2439"/>
      <c r="W681" s="2439"/>
      <c r="X681" s="2439"/>
      <c r="Y681" s="2439"/>
      <c r="Z681" s="1988">
        <v>10</v>
      </c>
      <c r="AA681" s="1988"/>
      <c r="AB681" s="1988"/>
      <c r="AC681" s="1988"/>
      <c r="AD681" s="1988"/>
      <c r="AE681" s="1988"/>
      <c r="AF681" s="1988">
        <f>IF(T681&gt;Z681,Z681,T681)</f>
        <v>10</v>
      </c>
      <c r="AG681" s="1988"/>
      <c r="AH681" s="1988"/>
      <c r="AI681" s="1988"/>
      <c r="AJ681" s="1988"/>
      <c r="AK681" s="1988"/>
      <c r="AL681" s="1259"/>
      <c r="AM681" s="458"/>
    </row>
    <row r="682" spans="1:43">
      <c r="A682" s="937"/>
      <c r="B682" s="938"/>
      <c r="C682" s="946"/>
      <c r="D682" s="936" t="s">
        <v>232</v>
      </c>
      <c r="E682" s="2443" t="s">
        <v>262</v>
      </c>
      <c r="F682" s="2443"/>
      <c r="G682" s="2443"/>
      <c r="H682" s="2443"/>
      <c r="I682" s="2443"/>
      <c r="J682" s="2443"/>
      <c r="K682" s="2443"/>
      <c r="L682" s="2443"/>
      <c r="M682" s="2443"/>
      <c r="N682" s="2443"/>
      <c r="O682" s="2443"/>
      <c r="P682" s="2443"/>
      <c r="Q682" s="2443"/>
      <c r="R682" s="2443"/>
      <c r="S682" s="2444"/>
      <c r="T682" s="2442">
        <f>AJ31</f>
        <v>7</v>
      </c>
      <c r="U682" s="2442"/>
      <c r="V682" s="2442"/>
      <c r="W682" s="2442"/>
      <c r="X682" s="2442"/>
      <c r="Y682" s="2442"/>
      <c r="Z682" s="2422">
        <v>7</v>
      </c>
      <c r="AA682" s="2422"/>
      <c r="AB682" s="2422"/>
      <c r="AC682" s="2422"/>
      <c r="AD682" s="2422"/>
      <c r="AE682" s="2422"/>
      <c r="AF682" s="2455"/>
      <c r="AG682" s="2455"/>
      <c r="AH682" s="2455"/>
      <c r="AI682" s="2455"/>
      <c r="AJ682" s="2455"/>
      <c r="AK682" s="2455"/>
      <c r="AL682" s="1259"/>
      <c r="AM682" s="458"/>
    </row>
    <row r="683" spans="1:43">
      <c r="A683" s="940"/>
      <c r="B683" s="938"/>
      <c r="C683" s="939"/>
      <c r="D683" s="936" t="s">
        <v>474</v>
      </c>
      <c r="E683" s="2443" t="s">
        <v>263</v>
      </c>
      <c r="F683" s="2443"/>
      <c r="G683" s="2443"/>
      <c r="H683" s="2443"/>
      <c r="I683" s="2443"/>
      <c r="J683" s="2443"/>
      <c r="K683" s="2443"/>
      <c r="L683" s="2443"/>
      <c r="M683" s="2443"/>
      <c r="N683" s="2443"/>
      <c r="O683" s="2443"/>
      <c r="P683" s="2443"/>
      <c r="Q683" s="2443"/>
      <c r="R683" s="2443"/>
      <c r="S683" s="2444"/>
      <c r="T683" s="2442">
        <f>AJ47</f>
        <v>3</v>
      </c>
      <c r="U683" s="2442"/>
      <c r="V683" s="2442"/>
      <c r="W683" s="2442"/>
      <c r="X683" s="2442"/>
      <c r="Y683" s="2442"/>
      <c r="Z683" s="2422">
        <v>3</v>
      </c>
      <c r="AA683" s="2422"/>
      <c r="AB683" s="2422"/>
      <c r="AC683" s="2422"/>
      <c r="AD683" s="2422"/>
      <c r="AE683" s="2422"/>
      <c r="AF683" s="2455"/>
      <c r="AG683" s="2455"/>
      <c r="AH683" s="2455"/>
      <c r="AI683" s="2455"/>
      <c r="AJ683" s="2455"/>
      <c r="AK683" s="2455"/>
      <c r="AL683" s="1259"/>
      <c r="AM683" s="458"/>
      <c r="AO683" s="46">
        <f>IF(T690&gt;50,50,T690)</f>
        <v>50</v>
      </c>
    </row>
    <row r="684" spans="1:43">
      <c r="A684" s="935" t="s">
        <v>8</v>
      </c>
      <c r="B684" s="2440" t="s">
        <v>298</v>
      </c>
      <c r="C684" s="2440"/>
      <c r="D684" s="2440"/>
      <c r="E684" s="2440"/>
      <c r="F684" s="2440"/>
      <c r="G684" s="2440"/>
      <c r="H684" s="2440"/>
      <c r="I684" s="2440"/>
      <c r="J684" s="2440"/>
      <c r="K684" s="2440"/>
      <c r="L684" s="2440"/>
      <c r="M684" s="2440"/>
      <c r="N684" s="2440"/>
      <c r="O684" s="2440"/>
      <c r="P684" s="2440"/>
      <c r="Q684" s="2440"/>
      <c r="R684" s="2440"/>
      <c r="S684" s="2441"/>
      <c r="T684" s="2439">
        <f>AK73</f>
        <v>10</v>
      </c>
      <c r="U684" s="2439"/>
      <c r="V684" s="2439"/>
      <c r="W684" s="2439"/>
      <c r="X684" s="2439"/>
      <c r="Y684" s="2439"/>
      <c r="Z684" s="1988">
        <v>10</v>
      </c>
      <c r="AA684" s="1988"/>
      <c r="AB684" s="1988"/>
      <c r="AC684" s="1988"/>
      <c r="AD684" s="1988"/>
      <c r="AE684" s="1988"/>
      <c r="AF684" s="1988">
        <f>IF(T684&gt;Z684,Z684,T684)</f>
        <v>10</v>
      </c>
      <c r="AG684" s="1988"/>
      <c r="AH684" s="1988"/>
      <c r="AI684" s="1988"/>
      <c r="AJ684" s="1988"/>
      <c r="AK684" s="1988"/>
      <c r="AL684" s="1259"/>
      <c r="AM684" s="458"/>
    </row>
    <row r="685" spans="1:43">
      <c r="A685" s="935" t="s">
        <v>130</v>
      </c>
      <c r="B685" s="2440" t="s">
        <v>299</v>
      </c>
      <c r="C685" s="2440"/>
      <c r="D685" s="2440"/>
      <c r="E685" s="2440"/>
      <c r="F685" s="2440"/>
      <c r="G685" s="2440"/>
      <c r="H685" s="2440"/>
      <c r="I685" s="2440"/>
      <c r="J685" s="2440"/>
      <c r="K685" s="2440"/>
      <c r="L685" s="2440"/>
      <c r="M685" s="2440"/>
      <c r="N685" s="2440"/>
      <c r="O685" s="2440"/>
      <c r="P685" s="2440"/>
      <c r="Q685" s="2440"/>
      <c r="R685" s="2440"/>
      <c r="S685" s="2441"/>
      <c r="T685" s="2439">
        <f>AO678</f>
        <v>25</v>
      </c>
      <c r="U685" s="2439">
        <f>IF(AND(AND(A686&gt;15,15+A687),A687&gt;10,A686+10),A685,0)</f>
        <v>0</v>
      </c>
      <c r="V685" s="2439">
        <f>IF(AND(AND(B686&gt;15,15+B687),B687&gt;10,B686+10),#REF!,0)</f>
        <v>0</v>
      </c>
      <c r="W685" s="2439">
        <f>IF(AND(AND(C686&gt;15,15+C687),C687&gt;10,C686+10),B685,0)</f>
        <v>0</v>
      </c>
      <c r="X685" s="2439" t="e">
        <f>IF(AND(AND(D686&gt;15,15+D687),D687&gt;10,D686+10),D685,0)</f>
        <v>#VALUE!</v>
      </c>
      <c r="Y685" s="2439" t="e">
        <f>IF(AND(AND(E686&gt;15,15+E687),E687&gt;10,E686+10),E685,0)</f>
        <v>#VALUE!</v>
      </c>
      <c r="Z685" s="1988">
        <v>25</v>
      </c>
      <c r="AA685" s="1988"/>
      <c r="AB685" s="1988"/>
      <c r="AC685" s="1988"/>
      <c r="AD685" s="1988"/>
      <c r="AE685" s="1988"/>
      <c r="AF685" s="1988">
        <f>IF(T685&gt;Z685,Z685,T685)</f>
        <v>25</v>
      </c>
      <c r="AG685" s="1988"/>
      <c r="AH685" s="1988"/>
      <c r="AI685" s="1988"/>
      <c r="AJ685" s="1988"/>
      <c r="AK685" s="1988"/>
      <c r="AL685" s="1259"/>
      <c r="AM685" s="458"/>
    </row>
    <row r="686" spans="1:43">
      <c r="A686" s="935"/>
      <c r="B686" s="938"/>
      <c r="C686" s="939"/>
      <c r="D686" s="936" t="s">
        <v>1599</v>
      </c>
      <c r="E686" s="2443" t="s">
        <v>323</v>
      </c>
      <c r="F686" s="2443"/>
      <c r="G686" s="2443"/>
      <c r="H686" s="2443"/>
      <c r="I686" s="2443"/>
      <c r="J686" s="2443"/>
      <c r="K686" s="2443"/>
      <c r="L686" s="2443"/>
      <c r="M686" s="2443"/>
      <c r="N686" s="2443"/>
      <c r="O686" s="2443"/>
      <c r="P686" s="2443"/>
      <c r="Q686" s="2443"/>
      <c r="R686" s="2443"/>
      <c r="S686" s="2444"/>
      <c r="T686" s="2442">
        <f>AK285</f>
        <v>30</v>
      </c>
      <c r="U686" s="2442"/>
      <c r="V686" s="2442"/>
      <c r="W686" s="2442"/>
      <c r="X686" s="2442"/>
      <c r="Y686" s="2442"/>
      <c r="Z686" s="2422">
        <v>15</v>
      </c>
      <c r="AA686" s="2422"/>
      <c r="AB686" s="2422"/>
      <c r="AC686" s="2422"/>
      <c r="AD686" s="2422"/>
      <c r="AE686" s="2422"/>
      <c r="AF686" s="2455"/>
      <c r="AG686" s="2455"/>
      <c r="AH686" s="2455"/>
      <c r="AI686" s="2455"/>
      <c r="AJ686" s="2455"/>
      <c r="AK686" s="2455"/>
      <c r="AL686" s="1259"/>
      <c r="AM686" s="458"/>
    </row>
    <row r="687" spans="1:43">
      <c r="A687" s="941"/>
      <c r="B687" s="942"/>
      <c r="C687" s="943"/>
      <c r="D687" s="944" t="s">
        <v>1600</v>
      </c>
      <c r="E687" s="2443" t="s">
        <v>324</v>
      </c>
      <c r="F687" s="2443"/>
      <c r="G687" s="2443"/>
      <c r="H687" s="2443"/>
      <c r="I687" s="2443"/>
      <c r="J687" s="2443"/>
      <c r="K687" s="2443"/>
      <c r="L687" s="2443"/>
      <c r="M687" s="2443"/>
      <c r="N687" s="2443"/>
      <c r="O687" s="2443"/>
      <c r="P687" s="2443"/>
      <c r="Q687" s="2443"/>
      <c r="R687" s="2443"/>
      <c r="S687" s="2444"/>
      <c r="T687" s="2442">
        <f>AK476</f>
        <v>10</v>
      </c>
      <c r="U687" s="2442"/>
      <c r="V687" s="2442"/>
      <c r="W687" s="2442"/>
      <c r="X687" s="2442"/>
      <c r="Y687" s="2442"/>
      <c r="Z687" s="2422">
        <v>10</v>
      </c>
      <c r="AA687" s="2422"/>
      <c r="AB687" s="2422"/>
      <c r="AC687" s="2422"/>
      <c r="AD687" s="2422"/>
      <c r="AE687" s="2422"/>
      <c r="AF687" s="2455"/>
      <c r="AG687" s="2455"/>
      <c r="AH687" s="2455"/>
      <c r="AI687" s="2455"/>
      <c r="AJ687" s="2455"/>
      <c r="AK687" s="2455"/>
      <c r="AL687" s="1259"/>
      <c r="AM687" s="458"/>
    </row>
    <row r="688" spans="1:43" hidden="1">
      <c r="A688" s="935" t="s">
        <v>133</v>
      </c>
      <c r="B688" s="2440" t="s">
        <v>596</v>
      </c>
      <c r="C688" s="2440"/>
      <c r="D688" s="2440"/>
      <c r="E688" s="2440"/>
      <c r="F688" s="2440"/>
      <c r="G688" s="2440"/>
      <c r="H688" s="2440"/>
      <c r="I688" s="2440"/>
      <c r="J688" s="2440"/>
      <c r="K688" s="2440"/>
      <c r="L688" s="2440"/>
      <c r="M688" s="2440"/>
      <c r="N688" s="2440"/>
      <c r="O688" s="2440"/>
      <c r="P688" s="2440"/>
      <c r="Q688" s="2440"/>
      <c r="R688" s="2440"/>
      <c r="S688" s="2441"/>
      <c r="T688" s="2439"/>
      <c r="U688" s="2439"/>
      <c r="V688" s="2439"/>
      <c r="W688" s="2439"/>
      <c r="X688" s="2439"/>
      <c r="Y688" s="2439"/>
      <c r="Z688" s="1988"/>
      <c r="AA688" s="1988"/>
      <c r="AB688" s="1988"/>
      <c r="AC688" s="1988"/>
      <c r="AD688" s="1988"/>
      <c r="AE688" s="1988"/>
      <c r="AF688" s="1988"/>
      <c r="AG688" s="1988"/>
      <c r="AH688" s="1988"/>
      <c r="AI688" s="1988"/>
      <c r="AJ688" s="1988"/>
      <c r="AK688" s="1988"/>
      <c r="AL688" s="1259"/>
      <c r="AM688" s="458"/>
    </row>
    <row r="689" spans="1:39">
      <c r="A689" s="1342" t="s">
        <v>133</v>
      </c>
      <c r="B689" s="2440" t="s">
        <v>597</v>
      </c>
      <c r="C689" s="2440"/>
      <c r="D689" s="2440"/>
      <c r="E689" s="2440"/>
      <c r="F689" s="2440"/>
      <c r="G689" s="2440"/>
      <c r="H689" s="2440"/>
      <c r="I689" s="2440"/>
      <c r="J689" s="2440"/>
      <c r="K689" s="2440"/>
      <c r="L689" s="2440"/>
      <c r="M689" s="2440"/>
      <c r="N689" s="2440"/>
      <c r="O689" s="2440"/>
      <c r="P689" s="2440"/>
      <c r="Q689" s="2440"/>
      <c r="R689" s="2440"/>
      <c r="S689" s="2441"/>
      <c r="T689" s="2464">
        <f>IF(SUM(T690:Y691)&gt;52,52,SUM(T690:Y691))</f>
        <v>52</v>
      </c>
      <c r="U689" s="2433"/>
      <c r="V689" s="2433"/>
      <c r="W689" s="2433"/>
      <c r="X689" s="2433"/>
      <c r="Y689" s="2433"/>
      <c r="Z689" s="2433">
        <v>52</v>
      </c>
      <c r="AA689" s="2433"/>
      <c r="AB689" s="2433"/>
      <c r="AC689" s="2433"/>
      <c r="AD689" s="2433"/>
      <c r="AE689" s="2433"/>
      <c r="AF689" s="2433">
        <f>$AO$683+$T$691</f>
        <v>52</v>
      </c>
      <c r="AG689" s="2433"/>
      <c r="AH689" s="2433"/>
      <c r="AI689" s="2433"/>
      <c r="AJ689" s="2433"/>
      <c r="AK689" s="2433"/>
      <c r="AL689" s="1259"/>
      <c r="AM689" s="458"/>
    </row>
    <row r="690" spans="1:39">
      <c r="A690" s="945"/>
      <c r="B690" s="947"/>
      <c r="C690" s="948"/>
      <c r="D690" s="949" t="s">
        <v>1601</v>
      </c>
      <c r="E690" s="2443" t="s">
        <v>199</v>
      </c>
      <c r="F690" s="2443"/>
      <c r="G690" s="2443"/>
      <c r="H690" s="2443"/>
      <c r="I690" s="2443"/>
      <c r="J690" s="2443"/>
      <c r="K690" s="2443"/>
      <c r="L690" s="2443"/>
      <c r="M690" s="2443"/>
      <c r="N690" s="2443"/>
      <c r="O690" s="2443"/>
      <c r="P690" s="2443"/>
      <c r="Q690" s="2443"/>
      <c r="R690" s="2443"/>
      <c r="S690" s="2444"/>
      <c r="T690" s="2434">
        <f>AC592</f>
        <v>52.5</v>
      </c>
      <c r="U690" s="2435"/>
      <c r="V690" s="2435"/>
      <c r="W690" s="2435"/>
      <c r="X690" s="2435"/>
      <c r="Y690" s="2436"/>
      <c r="Z690" s="2434">
        <v>50</v>
      </c>
      <c r="AA690" s="2435"/>
      <c r="AB690" s="2435"/>
      <c r="AC690" s="2435"/>
      <c r="AD690" s="2435"/>
      <c r="AE690" s="2436"/>
      <c r="AF690" s="2471"/>
      <c r="AG690" s="2472"/>
      <c r="AH690" s="2472"/>
      <c r="AI690" s="2472"/>
      <c r="AJ690" s="2472"/>
      <c r="AK690" s="2473"/>
      <c r="AL690" s="1259"/>
      <c r="AM690" s="46"/>
    </row>
    <row r="691" spans="1:39">
      <c r="A691" s="950"/>
      <c r="B691" s="938"/>
      <c r="C691" s="939"/>
      <c r="D691" s="936" t="s">
        <v>1602</v>
      </c>
      <c r="E691" s="2443" t="s">
        <v>296</v>
      </c>
      <c r="F691" s="2443"/>
      <c r="G691" s="2443"/>
      <c r="H691" s="2443"/>
      <c r="I691" s="2443"/>
      <c r="J691" s="2443"/>
      <c r="K691" s="2443"/>
      <c r="L691" s="2443"/>
      <c r="M691" s="2443"/>
      <c r="N691" s="2443"/>
      <c r="O691" s="2443"/>
      <c r="P691" s="2443"/>
      <c r="Q691" s="2443"/>
      <c r="R691" s="2443"/>
      <c r="S691" s="2444"/>
      <c r="T691" s="2461">
        <f>IF(AJ616&gt;0,2,0)</f>
        <v>2</v>
      </c>
      <c r="U691" s="2462"/>
      <c r="V691" s="2462"/>
      <c r="W691" s="2462"/>
      <c r="X691" s="2462"/>
      <c r="Y691" s="2463"/>
      <c r="Z691" s="2377">
        <v>2</v>
      </c>
      <c r="AA691" s="2397"/>
      <c r="AB691" s="2397"/>
      <c r="AC691" s="2397"/>
      <c r="AD691" s="2397"/>
      <c r="AE691" s="2378"/>
      <c r="AF691" s="2458"/>
      <c r="AG691" s="2459"/>
      <c r="AH691" s="2459"/>
      <c r="AI691" s="2459"/>
      <c r="AJ691" s="2459"/>
      <c r="AK691" s="2460"/>
      <c r="AL691" s="1259"/>
      <c r="AM691" s="46"/>
    </row>
    <row r="692" spans="1:39">
      <c r="A692" s="945" t="s">
        <v>134</v>
      </c>
      <c r="B692" s="2440" t="s">
        <v>598</v>
      </c>
      <c r="C692" s="2440"/>
      <c r="D692" s="2440"/>
      <c r="E692" s="2440"/>
      <c r="F692" s="2440"/>
      <c r="G692" s="2440"/>
      <c r="H692" s="2440"/>
      <c r="I692" s="2440"/>
      <c r="J692" s="2440"/>
      <c r="K692" s="2440"/>
      <c r="L692" s="2440"/>
      <c r="M692" s="2440"/>
      <c r="N692" s="2440"/>
      <c r="O692" s="2440"/>
      <c r="P692" s="2440"/>
      <c r="Q692" s="2440"/>
      <c r="R692" s="2440"/>
      <c r="S692" s="2441"/>
      <c r="T692" s="2439">
        <f>AK643</f>
        <v>10</v>
      </c>
      <c r="U692" s="2439"/>
      <c r="V692" s="2439"/>
      <c r="W692" s="2439"/>
      <c r="X692" s="2439"/>
      <c r="Y692" s="2439"/>
      <c r="Z692" s="1988">
        <v>10</v>
      </c>
      <c r="AA692" s="1988"/>
      <c r="AB692" s="1988"/>
      <c r="AC692" s="1988"/>
      <c r="AD692" s="1988"/>
      <c r="AE692" s="1988"/>
      <c r="AF692" s="1967">
        <f>IF(T692&gt;Z692,Z692,T692)</f>
        <v>10</v>
      </c>
      <c r="AG692" s="1968"/>
      <c r="AH692" s="1968"/>
      <c r="AI692" s="1968"/>
      <c r="AJ692" s="1968"/>
      <c r="AK692" s="2024"/>
      <c r="AL692" s="1259"/>
      <c r="AM692" s="205"/>
    </row>
    <row r="693" spans="1:39">
      <c r="A693" s="945" t="s">
        <v>136</v>
      </c>
      <c r="B693" s="2440" t="s">
        <v>1068</v>
      </c>
      <c r="C693" s="2440"/>
      <c r="D693" s="2440"/>
      <c r="E693" s="2440"/>
      <c r="F693" s="2440"/>
      <c r="G693" s="2440"/>
      <c r="H693" s="2440"/>
      <c r="I693" s="2440"/>
      <c r="J693" s="2440"/>
      <c r="K693" s="2440"/>
      <c r="L693" s="2440"/>
      <c r="M693" s="2440"/>
      <c r="N693" s="2440"/>
      <c r="O693" s="2440"/>
      <c r="P693" s="2440"/>
      <c r="Q693" s="2440"/>
      <c r="R693" s="2440"/>
      <c r="S693" s="2441"/>
      <c r="T693" s="2465">
        <f>IF(AK671&gt;2,2,AK671)</f>
        <v>2</v>
      </c>
      <c r="U693" s="2466"/>
      <c r="V693" s="2466"/>
      <c r="W693" s="2466"/>
      <c r="X693" s="2466"/>
      <c r="Y693" s="2467"/>
      <c r="Z693" s="1967">
        <v>2</v>
      </c>
      <c r="AA693" s="1968"/>
      <c r="AB693" s="1968"/>
      <c r="AC693" s="1968"/>
      <c r="AD693" s="1968"/>
      <c r="AE693" s="2024"/>
      <c r="AF693" s="1967">
        <f>IF(T693&gt;Z693,Z693,T693)</f>
        <v>2</v>
      </c>
      <c r="AG693" s="2456"/>
      <c r="AH693" s="2456"/>
      <c r="AI693" s="2456"/>
      <c r="AJ693" s="2456"/>
      <c r="AK693" s="2457"/>
      <c r="AL693" s="358"/>
      <c r="AM693" s="205"/>
    </row>
    <row r="694" spans="1:39">
      <c r="A694" s="2562" t="s">
        <v>326</v>
      </c>
      <c r="B694" s="2440"/>
      <c r="C694" s="2440"/>
      <c r="D694" s="2440"/>
      <c r="E694" s="2440"/>
      <c r="F694" s="2440"/>
      <c r="G694" s="2440"/>
      <c r="H694" s="2440"/>
      <c r="I694" s="2440"/>
      <c r="J694" s="2440"/>
      <c r="K694" s="2440"/>
      <c r="L694" s="2440"/>
      <c r="M694" s="2440"/>
      <c r="N694" s="2440"/>
      <c r="O694" s="2440"/>
      <c r="P694" s="2440"/>
      <c r="Q694" s="2440"/>
      <c r="R694" s="2440"/>
      <c r="S694" s="2441"/>
      <c r="T694" s="1909"/>
      <c r="U694" s="1909"/>
      <c r="V694" s="1909"/>
      <c r="W694" s="1909"/>
      <c r="X694" s="1909"/>
      <c r="Y694" s="1909"/>
      <c r="Z694" s="2422" t="s">
        <v>325</v>
      </c>
      <c r="AA694" s="2422"/>
      <c r="AB694" s="2422"/>
      <c r="AC694" s="2422"/>
      <c r="AD694" s="2422"/>
      <c r="AE694" s="2422"/>
      <c r="AF694" s="1967">
        <f>IF(T694&gt;0,T694,0)</f>
        <v>0</v>
      </c>
      <c r="AG694" s="1968"/>
      <c r="AH694" s="1968"/>
      <c r="AI694" s="1968"/>
      <c r="AJ694" s="1968"/>
      <c r="AK694" s="2024"/>
      <c r="AL694" s="1250"/>
      <c r="AM694" s="205"/>
    </row>
    <row r="695" spans="1:39" ht="15.6">
      <c r="A695" s="2549" t="s">
        <v>783</v>
      </c>
      <c r="B695" s="2550"/>
      <c r="C695" s="2550"/>
      <c r="D695" s="2550"/>
      <c r="E695" s="2550"/>
      <c r="F695" s="2550"/>
      <c r="G695" s="2550"/>
      <c r="H695" s="2550"/>
      <c r="I695" s="2550"/>
      <c r="J695" s="2550"/>
      <c r="K695" s="2550"/>
      <c r="L695" s="2550"/>
      <c r="M695" s="2550"/>
      <c r="N695" s="2550"/>
      <c r="O695" s="2550"/>
      <c r="P695" s="2550"/>
      <c r="Q695" s="2550"/>
      <c r="R695" s="2550"/>
      <c r="S695" s="2550"/>
      <c r="T695" s="2550"/>
      <c r="U695" s="2550"/>
      <c r="V695" s="2550"/>
      <c r="W695" s="2550"/>
      <c r="X695" s="2550"/>
      <c r="Y695" s="2550"/>
      <c r="Z695" s="2550"/>
      <c r="AA695" s="2550"/>
      <c r="AB695" s="2550"/>
      <c r="AC695" s="2550"/>
      <c r="AD695" s="2550"/>
      <c r="AE695" s="2551"/>
      <c r="AF695" s="2445">
        <f>SUM(AF681:AK693)-AF694</f>
        <v>109</v>
      </c>
      <c r="AG695" s="2446"/>
      <c r="AH695" s="2446"/>
      <c r="AI695" s="2446"/>
      <c r="AJ695" s="2446"/>
      <c r="AK695" s="2447"/>
      <c r="AL695" s="1260"/>
      <c r="AM695" s="46"/>
    </row>
    <row r="696" spans="1:39" ht="15.6">
      <c r="A696" s="2552"/>
      <c r="B696" s="2553"/>
      <c r="C696" s="2553"/>
      <c r="D696" s="2553"/>
      <c r="E696" s="2553"/>
      <c r="F696" s="2553"/>
      <c r="G696" s="2553"/>
      <c r="H696" s="2553"/>
      <c r="I696" s="2553"/>
      <c r="J696" s="2553"/>
      <c r="K696" s="2553"/>
      <c r="L696" s="2553"/>
      <c r="M696" s="2553"/>
      <c r="N696" s="2553"/>
      <c r="O696" s="2553"/>
      <c r="P696" s="2553"/>
      <c r="Q696" s="2553"/>
      <c r="R696" s="2553"/>
      <c r="S696" s="2553"/>
      <c r="T696" s="2553"/>
      <c r="U696" s="2553"/>
      <c r="V696" s="2553"/>
      <c r="W696" s="2553"/>
      <c r="X696" s="2553"/>
      <c r="Y696" s="2553"/>
      <c r="Z696" s="2553"/>
      <c r="AA696" s="2553"/>
      <c r="AB696" s="2553"/>
      <c r="AC696" s="2553"/>
      <c r="AD696" s="2553"/>
      <c r="AE696" s="2554"/>
      <c r="AF696" s="2448"/>
      <c r="AG696" s="2449"/>
      <c r="AH696" s="2449"/>
      <c r="AI696" s="2449"/>
      <c r="AJ696" s="2449"/>
      <c r="AK696" s="2450"/>
      <c r="AL696" s="1260"/>
      <c r="AM696" s="46"/>
    </row>
    <row r="697" spans="1:39">
      <c r="A697" s="1556" t="s">
        <v>7</v>
      </c>
      <c r="B697" s="1556"/>
      <c r="C697" s="1556"/>
      <c r="D697" s="1556"/>
      <c r="E697" s="1556"/>
      <c r="F697" s="1556"/>
      <c r="G697" s="1556"/>
      <c r="H697" s="1556"/>
      <c r="I697" s="1556"/>
      <c r="J697" s="1556"/>
      <c r="K697" s="1556"/>
      <c r="L697" s="1556"/>
      <c r="M697" s="1556"/>
      <c r="N697" s="1556"/>
      <c r="O697" s="1556"/>
      <c r="P697" s="1556"/>
      <c r="Q697" s="1556"/>
      <c r="R697" s="1556"/>
      <c r="S697" s="1556"/>
      <c r="T697" s="1556"/>
      <c r="U697" s="1556"/>
      <c r="V697" s="1556"/>
      <c r="W697" s="1556"/>
      <c r="X697" s="1556"/>
      <c r="Y697" s="1556"/>
      <c r="Z697" s="1556"/>
      <c r="AA697" s="1556"/>
      <c r="AB697" s="1556"/>
      <c r="AC697" s="1556"/>
      <c r="AD697" s="1556"/>
      <c r="AE697" s="1556"/>
      <c r="AF697" s="1556"/>
      <c r="AG697" s="1556"/>
      <c r="AH697" s="1556"/>
      <c r="AI697" s="1556"/>
      <c r="AJ697" s="1556"/>
      <c r="AK697" s="1556"/>
      <c r="AL697" s="1556"/>
      <c r="AM697" s="2304"/>
    </row>
    <row r="698" spans="1:39" ht="12.45" customHeight="1">
      <c r="A698" s="1556"/>
      <c r="B698" s="1556"/>
      <c r="C698" s="1556"/>
      <c r="D698" s="1556"/>
      <c r="E698" s="1556"/>
      <c r="F698" s="1556"/>
      <c r="G698" s="1556"/>
      <c r="H698" s="1556"/>
      <c r="I698" s="1556"/>
      <c r="J698" s="1556"/>
      <c r="K698" s="1556"/>
      <c r="L698" s="1556"/>
      <c r="M698" s="1556"/>
      <c r="N698" s="1556"/>
      <c r="O698" s="1556"/>
      <c r="P698" s="1556"/>
      <c r="Q698" s="1556"/>
      <c r="R698" s="1556"/>
      <c r="S698" s="1556"/>
      <c r="T698" s="1556"/>
      <c r="U698" s="1556"/>
      <c r="V698" s="1556"/>
      <c r="W698" s="1556"/>
      <c r="X698" s="1556"/>
      <c r="Y698" s="1556"/>
      <c r="Z698" s="1556"/>
      <c r="AA698" s="1556"/>
      <c r="AB698" s="1556"/>
      <c r="AC698" s="1556"/>
      <c r="AD698" s="1556"/>
      <c r="AE698" s="1556"/>
      <c r="AF698" s="1556"/>
      <c r="AG698" s="1556"/>
      <c r="AH698" s="1556"/>
      <c r="AI698" s="1556"/>
      <c r="AJ698" s="1556"/>
      <c r="AK698" s="1556"/>
      <c r="AL698" s="1556"/>
      <c r="AM698" s="2304"/>
    </row>
    <row r="699" spans="1:39" ht="56.25" customHeight="1">
      <c r="A699" s="1556"/>
      <c r="B699" s="1556"/>
      <c r="C699" s="1556"/>
      <c r="D699" s="1556"/>
      <c r="E699" s="1556"/>
      <c r="F699" s="1556"/>
      <c r="G699" s="1556"/>
      <c r="H699" s="1556"/>
      <c r="I699" s="1556"/>
      <c r="J699" s="1556"/>
      <c r="K699" s="1556"/>
      <c r="L699" s="1556"/>
      <c r="M699" s="1556"/>
      <c r="N699" s="1556"/>
      <c r="O699" s="1556"/>
      <c r="P699" s="1556"/>
      <c r="Q699" s="1556"/>
      <c r="R699" s="1556"/>
      <c r="S699" s="1556"/>
      <c r="T699" s="1556"/>
      <c r="U699" s="1556"/>
      <c r="V699" s="1556"/>
      <c r="W699" s="1556"/>
      <c r="X699" s="1556"/>
      <c r="Y699" s="1556"/>
      <c r="Z699" s="1556"/>
      <c r="AA699" s="1556"/>
      <c r="AB699" s="1556"/>
      <c r="AC699" s="1556"/>
      <c r="AD699" s="1556"/>
      <c r="AE699" s="1556"/>
      <c r="AF699" s="1556"/>
      <c r="AG699" s="1556"/>
      <c r="AH699" s="1556"/>
      <c r="AI699" s="1556"/>
      <c r="AJ699" s="1556"/>
      <c r="AK699" s="1556"/>
      <c r="AL699" s="1556"/>
      <c r="AM699" s="2304"/>
    </row>
    <row r="700" spans="1:39" ht="12.45" hidden="1" customHeight="1">
      <c r="A700" s="1556"/>
      <c r="B700" s="1556"/>
      <c r="C700" s="1556"/>
      <c r="D700" s="1556"/>
      <c r="E700" s="1556"/>
      <c r="F700" s="1556"/>
      <c r="G700" s="1556"/>
      <c r="H700" s="1556"/>
      <c r="I700" s="1556"/>
      <c r="J700" s="1556"/>
      <c r="K700" s="1556"/>
      <c r="L700" s="1556"/>
      <c r="M700" s="1556"/>
      <c r="N700" s="1556"/>
      <c r="O700" s="1556"/>
      <c r="P700" s="1556"/>
      <c r="Q700" s="1556"/>
      <c r="R700" s="1556"/>
      <c r="S700" s="1556"/>
      <c r="T700" s="1556"/>
      <c r="U700" s="1556"/>
      <c r="V700" s="1556"/>
      <c r="W700" s="1556"/>
      <c r="X700" s="1556"/>
      <c r="Y700" s="1556"/>
      <c r="Z700" s="1556"/>
      <c r="AA700" s="1556"/>
      <c r="AB700" s="1556"/>
      <c r="AC700" s="1556"/>
      <c r="AD700" s="1556"/>
      <c r="AE700" s="1556"/>
      <c r="AF700" s="1556"/>
      <c r="AG700" s="1556"/>
      <c r="AH700" s="1556"/>
      <c r="AI700" s="1556"/>
      <c r="AJ700" s="1556"/>
      <c r="AK700" s="1556"/>
      <c r="AL700" s="1556"/>
      <c r="AM700" s="2304"/>
    </row>
    <row r="701" spans="1:39" ht="12.45" hidden="1" customHeight="1">
      <c r="A701" s="1556"/>
      <c r="B701" s="1556"/>
      <c r="C701" s="1556"/>
      <c r="D701" s="1556"/>
      <c r="E701" s="1556"/>
      <c r="F701" s="1556"/>
      <c r="G701" s="1556"/>
      <c r="H701" s="1556"/>
      <c r="I701" s="1556"/>
      <c r="J701" s="1556"/>
      <c r="K701" s="1556"/>
      <c r="L701" s="1556"/>
      <c r="M701" s="1556"/>
      <c r="N701" s="1556"/>
      <c r="O701" s="1556"/>
      <c r="P701" s="1556"/>
      <c r="Q701" s="1556"/>
      <c r="R701" s="1556"/>
      <c r="S701" s="1556"/>
      <c r="T701" s="1556"/>
      <c r="U701" s="1556"/>
      <c r="V701" s="1556"/>
      <c r="W701" s="1556"/>
      <c r="X701" s="1556"/>
      <c r="Y701" s="1556"/>
      <c r="Z701" s="1556"/>
      <c r="AA701" s="1556"/>
      <c r="AB701" s="1556"/>
      <c r="AC701" s="1556"/>
      <c r="AD701" s="1556"/>
      <c r="AE701" s="1556"/>
      <c r="AF701" s="1556"/>
      <c r="AG701" s="1556"/>
      <c r="AH701" s="1556"/>
      <c r="AI701" s="1556"/>
      <c r="AJ701" s="1556"/>
      <c r="AK701" s="1556"/>
      <c r="AL701" s="1556"/>
      <c r="AM701" s="2304"/>
    </row>
    <row r="702" spans="1:39" ht="12.45" hidden="1" customHeight="1">
      <c r="A702" s="1556"/>
      <c r="B702" s="1556"/>
      <c r="C702" s="1556"/>
      <c r="D702" s="1556"/>
      <c r="E702" s="1556"/>
      <c r="F702" s="1556"/>
      <c r="G702" s="1556"/>
      <c r="H702" s="1556"/>
      <c r="I702" s="1556"/>
      <c r="J702" s="1556"/>
      <c r="K702" s="1556"/>
      <c r="L702" s="1556"/>
      <c r="M702" s="1556"/>
      <c r="N702" s="1556"/>
      <c r="O702" s="1556"/>
      <c r="P702" s="1556"/>
      <c r="Q702" s="1556"/>
      <c r="R702" s="1556"/>
      <c r="S702" s="1556"/>
      <c r="T702" s="1556"/>
      <c r="U702" s="1556"/>
      <c r="V702" s="1556"/>
      <c r="W702" s="1556"/>
      <c r="X702" s="1556"/>
      <c r="Y702" s="1556"/>
      <c r="Z702" s="1556"/>
      <c r="AA702" s="1556"/>
      <c r="AB702" s="1556"/>
      <c r="AC702" s="1556"/>
      <c r="AD702" s="1556"/>
      <c r="AE702" s="1556"/>
      <c r="AF702" s="1556"/>
      <c r="AG702" s="1556"/>
      <c r="AH702" s="1556"/>
      <c r="AI702" s="1556"/>
      <c r="AJ702" s="1556"/>
      <c r="AK702" s="1556"/>
      <c r="AL702" s="1556"/>
      <c r="AM702" s="2304"/>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3.2"/>
  <cols>
    <col min="1" max="5" width="2.5546875" style="1459" customWidth="1"/>
    <col min="6" max="6" width="2.5546875" style="1463" customWidth="1"/>
    <col min="7" max="7" width="2.5546875" style="1459" customWidth="1"/>
    <col min="8" max="8" width="2.5546875" style="1463" customWidth="1"/>
    <col min="9" max="10" width="2.5546875" style="1459" customWidth="1"/>
    <col min="11" max="11" width="2.5546875" style="1460" customWidth="1"/>
    <col min="12" max="43" width="2.5546875" style="1459" customWidth="1"/>
    <col min="44" max="47" width="2.5546875" style="1459" hidden="1" customWidth="1"/>
    <col min="48" max="16384" width="9.109375" style="1459" hidden="1"/>
  </cols>
  <sheetData>
    <row r="1" spans="1:57" ht="15" customHeight="1">
      <c r="A1" s="2605" t="s">
        <v>2259</v>
      </c>
      <c r="B1" s="2605"/>
      <c r="C1" s="2605"/>
      <c r="D1" s="2605"/>
      <c r="E1" s="2605"/>
      <c r="F1" s="2605"/>
      <c r="G1" s="2605"/>
      <c r="H1" s="2605"/>
      <c r="I1" s="2605"/>
      <c r="J1" s="2605"/>
      <c r="K1" s="2605"/>
      <c r="L1" s="2605"/>
      <c r="M1" s="2605"/>
      <c r="N1" s="2605"/>
      <c r="O1" s="2605"/>
      <c r="P1" s="2605"/>
      <c r="Q1" s="2605"/>
      <c r="R1" s="2605"/>
      <c r="S1" s="2605"/>
      <c r="T1" s="2605"/>
      <c r="U1" s="2605"/>
      <c r="V1" s="2605"/>
      <c r="W1" s="2605"/>
      <c r="X1" s="2605"/>
      <c r="Y1" s="2605"/>
      <c r="Z1" s="2605"/>
      <c r="AA1" s="2605"/>
      <c r="AB1" s="2605"/>
      <c r="AC1" s="2605"/>
      <c r="AD1" s="2605"/>
      <c r="AE1" s="2605"/>
      <c r="AF1" s="2605"/>
      <c r="AG1" s="2605"/>
      <c r="AH1" s="2605"/>
      <c r="AI1" s="2605"/>
      <c r="AJ1" s="2605"/>
      <c r="AK1" s="2605"/>
      <c r="AL1" s="2605"/>
      <c r="AM1" s="2605"/>
      <c r="AN1" s="2605"/>
      <c r="AO1" s="2605"/>
      <c r="AP1" s="2605"/>
      <c r="AQ1" s="2605"/>
    </row>
    <row r="2" spans="1:57" ht="15" customHeight="1">
      <c r="A2" s="2605"/>
      <c r="B2" s="2605"/>
      <c r="C2" s="2605"/>
      <c r="D2" s="2605"/>
      <c r="E2" s="2605"/>
      <c r="F2" s="2605"/>
      <c r="G2" s="2605"/>
      <c r="H2" s="2605"/>
      <c r="I2" s="2605"/>
      <c r="J2" s="2605"/>
      <c r="K2" s="2605"/>
      <c r="L2" s="2605"/>
      <c r="M2" s="2605"/>
      <c r="N2" s="2605"/>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605"/>
      <c r="AO2" s="2605"/>
      <c r="AP2" s="2605"/>
      <c r="AQ2" s="2605"/>
    </row>
    <row r="3" spans="1:57">
      <c r="A3" s="1461"/>
      <c r="B3" s="1461"/>
      <c r="E3" s="1462"/>
      <c r="I3" s="1464"/>
      <c r="K3" s="1465"/>
    </row>
    <row r="4" spans="1:57" ht="14.25" customHeight="1">
      <c r="A4" s="2593" t="s">
        <v>2260</v>
      </c>
      <c r="B4" s="2593"/>
      <c r="C4" s="2593"/>
      <c r="D4" s="2593"/>
      <c r="E4" s="2593"/>
      <c r="F4" s="2593"/>
      <c r="G4" s="2593"/>
      <c r="H4" s="2593"/>
      <c r="I4" s="2593"/>
      <c r="J4" s="2593"/>
      <c r="K4" s="2593"/>
      <c r="L4" s="2593"/>
      <c r="M4" s="2593"/>
      <c r="N4" s="2593"/>
      <c r="O4" s="2593"/>
      <c r="P4" s="2593"/>
      <c r="Q4" s="2593"/>
      <c r="R4" s="2593"/>
      <c r="S4" s="2593"/>
      <c r="T4" s="2593"/>
      <c r="U4" s="2593"/>
      <c r="V4" s="2593"/>
      <c r="W4" s="2593"/>
      <c r="X4" s="2593"/>
      <c r="Y4" s="2593"/>
      <c r="Z4" s="2593"/>
      <c r="AA4" s="2593"/>
      <c r="AB4" s="2593"/>
      <c r="AC4" s="2593"/>
      <c r="AD4" s="2593"/>
      <c r="AE4" s="2593"/>
      <c r="AF4" s="2593"/>
      <c r="AG4" s="2593"/>
      <c r="AH4" s="2593"/>
      <c r="AI4" s="2593"/>
      <c r="AJ4" s="2593"/>
      <c r="AK4" s="2593"/>
      <c r="AL4" s="2593"/>
      <c r="AM4" s="2593"/>
      <c r="AN4" s="2593"/>
      <c r="AO4" s="2593"/>
      <c r="AP4" s="2593"/>
      <c r="AQ4" s="2593"/>
    </row>
    <row r="5" spans="1:57">
      <c r="A5" s="1461"/>
      <c r="B5" s="1461"/>
      <c r="E5" s="1462"/>
      <c r="I5" s="1464"/>
      <c r="K5" s="1465"/>
    </row>
    <row r="6" spans="1:57">
      <c r="A6" s="1461"/>
      <c r="B6" s="1461"/>
      <c r="D6" s="1459" t="s">
        <v>2263</v>
      </c>
      <c r="I6" s="1464"/>
      <c r="K6" s="1465"/>
      <c r="U6" s="2604"/>
      <c r="V6" s="2604"/>
      <c r="W6" s="2604"/>
      <c r="BC6" s="1459" t="s">
        <v>2261</v>
      </c>
    </row>
    <row r="7" spans="1:57">
      <c r="A7" s="1461"/>
      <c r="B7" s="1461"/>
      <c r="D7" s="1466" t="s">
        <v>2264</v>
      </c>
      <c r="E7" s="1462"/>
      <c r="I7" s="1464"/>
      <c r="K7" s="1465"/>
      <c r="BC7" s="1459" t="s">
        <v>2262</v>
      </c>
    </row>
    <row r="8" spans="1:57">
      <c r="A8" s="1461"/>
      <c r="B8" s="1461"/>
      <c r="D8" s="1466"/>
      <c r="E8" s="1459" t="s">
        <v>2277</v>
      </c>
      <c r="BC8" s="1459" t="s">
        <v>2265</v>
      </c>
    </row>
    <row r="9" spans="1:57">
      <c r="A9" s="1461"/>
      <c r="B9" s="1461"/>
      <c r="E9" s="1462" t="s">
        <v>2276</v>
      </c>
      <c r="I9" s="1464"/>
      <c r="K9" s="1465"/>
      <c r="P9" s="2594"/>
      <c r="Q9" s="2594"/>
      <c r="R9" s="2594"/>
      <c r="S9" s="2594"/>
      <c r="T9" s="2594"/>
    </row>
    <row r="10" spans="1:57">
      <c r="A10" s="1461"/>
      <c r="B10" s="1461"/>
      <c r="E10" s="1462"/>
      <c r="I10" s="1464"/>
      <c r="K10" s="1465"/>
    </row>
    <row r="11" spans="1:57">
      <c r="A11" s="2593" t="s">
        <v>2266</v>
      </c>
      <c r="B11" s="2593"/>
      <c r="C11" s="2593"/>
      <c r="D11" s="2593"/>
      <c r="E11" s="2593"/>
      <c r="F11" s="2593"/>
      <c r="G11" s="2593"/>
      <c r="H11" s="2593"/>
      <c r="I11" s="2593"/>
      <c r="J11" s="2593"/>
      <c r="K11" s="2593"/>
      <c r="L11" s="2593"/>
      <c r="M11" s="2593"/>
      <c r="N11" s="2593"/>
      <c r="O11" s="2593"/>
      <c r="P11" s="2593"/>
      <c r="Q11" s="2593"/>
      <c r="R11" s="2593"/>
      <c r="S11" s="2593"/>
      <c r="T11" s="2593"/>
      <c r="U11" s="2593"/>
      <c r="V11" s="2593"/>
      <c r="W11" s="2593"/>
      <c r="X11" s="2593"/>
      <c r="Y11" s="2593"/>
      <c r="Z11" s="2593"/>
      <c r="AA11" s="2593"/>
      <c r="AB11" s="2593"/>
      <c r="AC11" s="2593"/>
      <c r="AD11" s="2593"/>
      <c r="AE11" s="2593"/>
      <c r="AF11" s="2593"/>
      <c r="AG11" s="2593"/>
      <c r="AH11" s="2593"/>
      <c r="AI11" s="2593"/>
      <c r="AJ11" s="2593"/>
      <c r="AK11" s="2593"/>
      <c r="AL11" s="2593"/>
      <c r="AM11" s="2593"/>
      <c r="AN11" s="2593"/>
      <c r="AO11" s="2593"/>
      <c r="AP11" s="2593"/>
      <c r="AQ11" s="2593"/>
      <c r="BC11" s="1459" t="s">
        <v>119</v>
      </c>
    </row>
    <row r="12" spans="1:57">
      <c r="A12" s="1461"/>
      <c r="B12" s="1461"/>
      <c r="E12" s="1462"/>
      <c r="I12" s="1464"/>
      <c r="K12" s="1465"/>
      <c r="BC12" s="1459" t="s">
        <v>528</v>
      </c>
    </row>
    <row r="13" spans="1:57">
      <c r="A13" s="1461"/>
      <c r="B13" s="1461"/>
      <c r="D13" s="1459" t="s">
        <v>2267</v>
      </c>
      <c r="E13" s="1462"/>
      <c r="I13" s="1464"/>
      <c r="K13" s="1465"/>
      <c r="T13" s="2604"/>
      <c r="U13" s="2604"/>
      <c r="V13" s="2604"/>
    </row>
    <row r="14" spans="1:57">
      <c r="A14" s="1461"/>
      <c r="B14" s="1461"/>
      <c r="E14" s="1462" t="s">
        <v>2274</v>
      </c>
      <c r="I14" s="1464"/>
      <c r="K14" s="1465"/>
      <c r="N14" s="2591"/>
      <c r="O14" s="2591"/>
      <c r="P14" s="2591"/>
      <c r="Q14" s="2591"/>
      <c r="R14" s="2591"/>
      <c r="S14" s="2591"/>
      <c r="T14" s="2591"/>
      <c r="U14" s="2591"/>
      <c r="V14" s="2591"/>
      <c r="W14" s="2591"/>
      <c r="X14" s="2591"/>
      <c r="Y14" s="2591"/>
      <c r="Z14" s="2591"/>
      <c r="AA14" s="2591"/>
      <c r="AB14" s="2591"/>
      <c r="AC14" s="2591"/>
      <c r="AD14" s="2591"/>
      <c r="AE14" s="2591"/>
    </row>
    <row r="15" spans="1:57">
      <c r="A15" s="1461"/>
      <c r="B15" s="1461"/>
      <c r="E15" s="1462" t="s">
        <v>2268</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2278</v>
      </c>
      <c r="BE15" s="1459">
        <f>'Basis &amp; Credits'!AB55</f>
        <v>2354864.9</v>
      </c>
    </row>
    <row r="16" spans="1:57">
      <c r="A16" s="1461"/>
      <c r="B16" s="1461"/>
      <c r="BC16" s="1459" t="s">
        <v>2279</v>
      </c>
      <c r="BE16" s="1459">
        <f>'Basis &amp; Credits'!T11+'Basis &amp; Credits'!AD11</f>
        <v>39608873</v>
      </c>
    </row>
    <row r="17" spans="1:43">
      <c r="A17" s="1461"/>
      <c r="B17" s="1461"/>
      <c r="D17" s="1459" t="s">
        <v>2269</v>
      </c>
      <c r="E17" s="1462"/>
      <c r="I17" s="1464"/>
      <c r="K17" s="1465"/>
      <c r="U17" s="2592" t="str">
        <f>IF(T13="yes",(BE15/BE16)," ")</f>
        <v xml:space="preserve"> </v>
      </c>
      <c r="V17" s="2592"/>
      <c r="W17" s="2592"/>
      <c r="X17" s="2592"/>
      <c r="Y17" s="2592"/>
    </row>
    <row r="18" spans="1:43">
      <c r="A18" s="1461"/>
      <c r="B18" s="1461"/>
      <c r="E18" s="1462"/>
      <c r="I18" s="1464"/>
      <c r="K18" s="1465"/>
    </row>
    <row r="19" spans="1:43">
      <c r="A19" s="2593" t="s">
        <v>2271</v>
      </c>
      <c r="B19" s="2593"/>
      <c r="C19" s="2593"/>
      <c r="D19" s="2593"/>
      <c r="E19" s="2593"/>
      <c r="F19" s="2593"/>
      <c r="G19" s="2593"/>
      <c r="H19" s="2593"/>
      <c r="I19" s="2593"/>
      <c r="J19" s="2593"/>
      <c r="K19" s="2593"/>
      <c r="L19" s="2593"/>
      <c r="M19" s="2593"/>
      <c r="N19" s="2593"/>
      <c r="O19" s="2593"/>
      <c r="P19" s="2593"/>
      <c r="Q19" s="2593"/>
      <c r="R19" s="2593"/>
      <c r="S19" s="2593"/>
      <c r="T19" s="2593"/>
      <c r="U19" s="2593"/>
      <c r="V19" s="2593"/>
      <c r="W19" s="2593"/>
      <c r="X19" s="2593"/>
      <c r="Y19" s="2593"/>
      <c r="Z19" s="2593"/>
      <c r="AA19" s="2593"/>
      <c r="AB19" s="2593"/>
      <c r="AC19" s="2593"/>
      <c r="AD19" s="2593"/>
      <c r="AE19" s="2593"/>
      <c r="AF19" s="2593"/>
      <c r="AG19" s="2593"/>
      <c r="AH19" s="2593"/>
      <c r="AI19" s="2593"/>
      <c r="AJ19" s="2593"/>
      <c r="AK19" s="2593"/>
      <c r="AL19" s="2593"/>
      <c r="AM19" s="2593"/>
      <c r="AN19" s="2593"/>
      <c r="AO19" s="2593"/>
      <c r="AP19" s="2593"/>
      <c r="AQ19" s="2593"/>
    </row>
    <row r="20" spans="1:43">
      <c r="C20" s="1461"/>
      <c r="D20" s="1461"/>
      <c r="F20" s="1459"/>
      <c r="G20" s="1462"/>
      <c r="J20" s="1463"/>
      <c r="K20" s="1464"/>
      <c r="M20" s="1465"/>
    </row>
    <row r="21" spans="1:43">
      <c r="C21" s="1461"/>
      <c r="D21" s="1461"/>
      <c r="F21" s="1459"/>
      <c r="G21" s="1462"/>
      <c r="J21" s="1463"/>
      <c r="K21" s="1464"/>
      <c r="M21" s="1465"/>
    </row>
    <row r="22" spans="1:43">
      <c r="C22" s="1467" t="s">
        <v>790</v>
      </c>
      <c r="D22" s="1467"/>
      <c r="E22" s="1459" t="s">
        <v>2272</v>
      </c>
      <c r="F22" s="1459"/>
      <c r="H22" s="1468"/>
      <c r="J22" s="1463"/>
      <c r="K22" s="1459"/>
      <c r="M22" s="1469"/>
      <c r="Q22" s="2595">
        <f>ROUND('Basis &amp; Credits'!AB55,0)</f>
        <v>2354865</v>
      </c>
      <c r="R22" s="2595"/>
      <c r="S22" s="2595"/>
      <c r="T22" s="2595"/>
      <c r="U22" s="2595"/>
      <c r="V22" s="2595"/>
      <c r="W22" s="2595"/>
      <c r="X22" s="2595"/>
      <c r="Y22" s="1489"/>
    </row>
    <row r="23" spans="1:43">
      <c r="C23" s="1461"/>
      <c r="D23" s="1461"/>
      <c r="F23" s="1459"/>
      <c r="G23" s="1470"/>
      <c r="H23" s="1471"/>
      <c r="I23" s="1472"/>
      <c r="J23" s="1473"/>
      <c r="K23" s="1470"/>
      <c r="M23" s="1460"/>
    </row>
    <row r="24" spans="1:43" s="1476" customFormat="1">
      <c r="C24" s="1474"/>
      <c r="D24" s="1474"/>
      <c r="E24" s="1475"/>
      <c r="J24" s="1473"/>
      <c r="L24" s="2602" t="s">
        <v>2249</v>
      </c>
      <c r="M24" s="2602"/>
      <c r="N24" s="2602"/>
      <c r="P24" s="2598" t="s">
        <v>2250</v>
      </c>
      <c r="Q24" s="2598"/>
      <c r="R24" s="2598"/>
      <c r="S24" s="2598"/>
      <c r="T24" s="2598"/>
      <c r="V24" s="2598" t="s">
        <v>2251</v>
      </c>
      <c r="W24" s="2598"/>
      <c r="X24" s="2598"/>
      <c r="AC24" s="1459"/>
      <c r="AD24" s="1459"/>
      <c r="AE24" s="1459"/>
      <c r="AF24" s="1459"/>
      <c r="AG24" s="1459"/>
      <c r="AH24" s="1459"/>
    </row>
    <row r="25" spans="1:43">
      <c r="C25" s="1467" t="s">
        <v>206</v>
      </c>
      <c r="D25" s="1467"/>
      <c r="E25" s="1459" t="s">
        <v>1069</v>
      </c>
      <c r="F25" s="1459"/>
      <c r="J25" s="1473"/>
      <c r="L25" s="2599" t="s">
        <v>2252</v>
      </c>
      <c r="M25" s="2599"/>
      <c r="N25" s="2599"/>
      <c r="P25" s="2599" t="s">
        <v>2253</v>
      </c>
      <c r="Q25" s="2599"/>
      <c r="R25" s="2599"/>
      <c r="S25" s="2599"/>
      <c r="T25" s="2599"/>
      <c r="V25" s="2599" t="s">
        <v>2252</v>
      </c>
      <c r="W25" s="2599"/>
      <c r="X25" s="2599"/>
    </row>
    <row r="26" spans="1:43">
      <c r="C26" s="1461"/>
      <c r="D26" s="1461"/>
      <c r="E26" s="1477" t="s">
        <v>2254</v>
      </c>
      <c r="F26" s="1477"/>
      <c r="J26" s="1478"/>
      <c r="L26" s="2603">
        <f>Application!BN627</f>
        <v>0</v>
      </c>
      <c r="M26" s="2603"/>
      <c r="N26" s="2603"/>
      <c r="P26" s="2600">
        <v>0.9</v>
      </c>
      <c r="Q26" s="2600"/>
      <c r="R26" s="2600"/>
      <c r="S26" s="2600"/>
      <c r="T26" s="2600"/>
      <c r="V26" s="2600">
        <f>L26*P26</f>
        <v>0</v>
      </c>
      <c r="W26" s="2600"/>
      <c r="X26" s="2600"/>
    </row>
    <row r="27" spans="1:43">
      <c r="C27" s="1461"/>
      <c r="D27" s="1461"/>
      <c r="E27" s="1476" t="s">
        <v>2255</v>
      </c>
      <c r="F27" s="1476"/>
      <c r="J27" s="1478"/>
      <c r="L27" s="2607">
        <f>Application!BS627</f>
        <v>46</v>
      </c>
      <c r="M27" s="2607">
        <f>Application!BS635+Application!BS644+Application!CX658</f>
        <v>0</v>
      </c>
      <c r="N27" s="2607"/>
      <c r="P27" s="2601">
        <v>1</v>
      </c>
      <c r="Q27" s="2601"/>
      <c r="R27" s="2601"/>
      <c r="S27" s="2601"/>
      <c r="T27" s="2601"/>
      <c r="V27" s="2606">
        <f t="shared" ref="V27:V29" si="0">L27*P27</f>
        <v>46</v>
      </c>
      <c r="W27" s="2606"/>
      <c r="X27" s="2606"/>
    </row>
    <row r="28" spans="1:43">
      <c r="C28" s="1461"/>
      <c r="D28" s="1461"/>
      <c r="E28" s="1476" t="s">
        <v>2256</v>
      </c>
      <c r="F28" s="1476"/>
      <c r="J28" s="1478"/>
      <c r="L28" s="2607">
        <f>Application!BX627</f>
        <v>24</v>
      </c>
      <c r="M28" s="2607">
        <f>Application!BX635+Application!BX644+Application!DC658</f>
        <v>0</v>
      </c>
      <c r="N28" s="2607"/>
      <c r="P28" s="2601">
        <v>1.25</v>
      </c>
      <c r="Q28" s="2601"/>
      <c r="R28" s="2601"/>
      <c r="S28" s="2601"/>
      <c r="T28" s="2601"/>
      <c r="V28" s="2606">
        <f t="shared" si="0"/>
        <v>30</v>
      </c>
      <c r="W28" s="2606"/>
      <c r="X28" s="2606"/>
    </row>
    <row r="29" spans="1:43">
      <c r="C29" s="1461"/>
      <c r="D29" s="1461"/>
      <c r="E29" s="1476" t="s">
        <v>2257</v>
      </c>
      <c r="F29" s="1476"/>
      <c r="J29" s="1478"/>
      <c r="L29" s="2607">
        <f>Application!CC627</f>
        <v>24</v>
      </c>
      <c r="M29" s="2607">
        <f>Application!CC635+Application!CC644+Application!DH658</f>
        <v>0</v>
      </c>
      <c r="N29" s="2607"/>
      <c r="P29" s="2601">
        <v>1.5</v>
      </c>
      <c r="Q29" s="2601"/>
      <c r="R29" s="2601"/>
      <c r="S29" s="2601"/>
      <c r="T29" s="2601"/>
      <c r="V29" s="2606">
        <f t="shared" si="0"/>
        <v>36</v>
      </c>
      <c r="W29" s="2606"/>
      <c r="X29" s="2606"/>
    </row>
    <row r="30" spans="1:43">
      <c r="C30" s="1461"/>
      <c r="D30" s="1461"/>
      <c r="E30" s="1476" t="s">
        <v>2258</v>
      </c>
      <c r="F30" s="1476"/>
      <c r="J30" s="1478"/>
      <c r="L30" s="2608">
        <f>Application!CH627+Application!CM627</f>
        <v>0</v>
      </c>
      <c r="M30" s="2608"/>
      <c r="N30" s="2608"/>
      <c r="P30" s="2601">
        <v>1.75</v>
      </c>
      <c r="Q30" s="2601"/>
      <c r="R30" s="2601">
        <f>1.75+0.25*0</f>
        <v>1.75</v>
      </c>
      <c r="S30" s="2601"/>
      <c r="T30" s="2601"/>
      <c r="V30" s="2612">
        <f>L30*P30</f>
        <v>0</v>
      </c>
      <c r="W30" s="2612"/>
      <c r="X30" s="2612"/>
    </row>
    <row r="31" spans="1:43">
      <c r="C31" s="1461"/>
      <c r="D31" s="1461"/>
      <c r="F31" s="1459"/>
      <c r="J31" s="1463"/>
      <c r="L31" s="2596">
        <f>SUM(L26:N30)</f>
        <v>94</v>
      </c>
      <c r="M31" s="2597"/>
      <c r="N31" s="2597"/>
      <c r="V31" s="2600">
        <f>SUM(V26:X30)</f>
        <v>112</v>
      </c>
      <c r="W31" s="2600"/>
      <c r="X31" s="2600"/>
      <c r="AA31" s="1462"/>
    </row>
    <row r="32" spans="1:43">
      <c r="C32" s="1461"/>
      <c r="D32" s="1461"/>
      <c r="F32" s="1459"/>
      <c r="G32" s="1462"/>
      <c r="J32" s="1463"/>
      <c r="K32" s="1479"/>
      <c r="N32" s="1463"/>
    </row>
    <row r="33" spans="1:27">
      <c r="C33" s="1467" t="s">
        <v>207</v>
      </c>
      <c r="D33" s="1467"/>
      <c r="E33" s="1480" t="s">
        <v>2273</v>
      </c>
      <c r="H33" s="1481"/>
      <c r="I33" s="1482"/>
      <c r="J33" s="1483"/>
      <c r="K33" s="1479"/>
      <c r="M33" s="1460"/>
      <c r="V33" s="2609">
        <f>IF(V31&gt;0,V31/Q22," ")</f>
        <v>4.7561112845110014E-5</v>
      </c>
      <c r="W33" s="2610"/>
      <c r="X33" s="2610"/>
      <c r="Y33" s="2610"/>
      <c r="Z33" s="2610"/>
      <c r="AA33" s="2611"/>
    </row>
    <row r="34" spans="1:27">
      <c r="F34" s="1459"/>
      <c r="J34" s="1463"/>
      <c r="K34" s="1459"/>
      <c r="M34" s="1460"/>
    </row>
    <row r="35" spans="1:27">
      <c r="E35" s="1461" t="s">
        <v>2280</v>
      </c>
      <c r="F35" s="1461"/>
      <c r="G35" s="1461"/>
      <c r="H35" s="1480"/>
      <c r="I35" s="1461"/>
      <c r="J35" s="1480"/>
      <c r="K35" s="1461"/>
      <c r="L35" s="1461"/>
      <c r="M35" s="1491"/>
      <c r="N35" s="1461"/>
      <c r="O35" s="1461"/>
      <c r="P35" s="1461"/>
      <c r="Q35" s="1461"/>
      <c r="R35" s="1461"/>
      <c r="V35" s="2588">
        <f>IF(V31&gt;0,1/V33," ")</f>
        <v>21025.580357142859</v>
      </c>
      <c r="W35" s="2589"/>
      <c r="X35" s="2589"/>
      <c r="Y35" s="2589"/>
      <c r="Z35" s="2589"/>
      <c r="AA35" s="2590"/>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Marie Allen</cp:lastModifiedBy>
  <cp:lastPrinted>2022-06-28T18:16:54Z</cp:lastPrinted>
  <dcterms:created xsi:type="dcterms:W3CDTF">2007-12-27T18:26:28Z</dcterms:created>
  <dcterms:modified xsi:type="dcterms:W3CDTF">2022-06-30T13:47:22Z</dcterms:modified>
</cp:coreProperties>
</file>